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laprevisora-my.sharepoint.com/personal/jason_reyes_previsora_gov_co/Documents/Backup Jason/2023/09. SEPTIEMBRE/"/>
    </mc:Choice>
  </mc:AlternateContent>
  <xr:revisionPtr revIDLastSave="0" documentId="8_{960BDBDE-EE04-4041-9211-3CED4E56376C}" xr6:coauthVersionLast="47" xr6:coauthVersionMax="47" xr10:uidLastSave="{00000000-0000-0000-0000-000000000000}"/>
  <bookViews>
    <workbookView xWindow="-110" yWindow="-110" windowWidth="19420" windowHeight="10420" tabRatio="727" xr2:uid="{00000000-000D-0000-FFFF-FFFF00000000}"/>
  </bookViews>
  <sheets>
    <sheet name="INICIO" sheetId="18" r:id="rId1"/>
    <sheet name="TABLERO DE CONTROL" sheetId="21" state="hidden" r:id="rId2"/>
    <sheet name="01. SECTORIAL" sheetId="2" r:id="rId3"/>
    <sheet name="03. PINAR" sheetId="12" r:id="rId4"/>
    <sheet name="02. INSTITUCIONAL" sheetId="13" r:id="rId5"/>
    <sheet name="05. PETH" sheetId="16" r:id="rId6"/>
    <sheet name="04. PAA" sheetId="15" r:id="rId7"/>
    <sheet name="06. PIC" sheetId="9" r:id="rId8"/>
    <sheet name="07. PII" sheetId="19" r:id="rId9"/>
    <sheet name="08. PSST" sheetId="7" r:id="rId10"/>
    <sheet name="09. PAAC" sheetId="17" r:id="rId11"/>
    <sheet name="10.PETI" sheetId="4" r:id="rId12"/>
    <sheet name="11. PTRSPI" sheetId="6" r:id="rId13"/>
    <sheet name="Hoja1" sheetId="3" state="hidden" r:id="rId14"/>
    <sheet name="12.PSPI" sheetId="8" r:id="rId15"/>
  </sheets>
  <externalReferences>
    <externalReference r:id="rId16"/>
    <externalReference r:id="rId17"/>
    <externalReference r:id="rId18"/>
    <externalReference r:id="rId19"/>
    <externalReference r:id="rId20"/>
    <externalReference r:id="rId21"/>
  </externalReferences>
  <definedNames>
    <definedName name="_xlnm._FilterDatabase" localSheetId="2" hidden="1">'01. SECTORIAL'!$A$12:$AI$27</definedName>
    <definedName name="_xlnm._FilterDatabase" localSheetId="4" hidden="1">'02. INSTITUCIONAL'!$D$12:$H$13</definedName>
    <definedName name="_xlnm._FilterDatabase" localSheetId="9" hidden="1">'08. PSST'!$A$13:$AK$13</definedName>
    <definedName name="_xlnm._FilterDatabase" localSheetId="10" hidden="1">'09. PAAC'!$C$38:$AB$88</definedName>
    <definedName name="Acciones_Categoría_3">'[1]Ponderaciones y parámetros'!$K$6:$N$6</definedName>
    <definedName name="Admin">[2]TABLA!$Q$2:$Q$3</definedName>
    <definedName name="Agricultura" localSheetId="0">[2]TABLA!#REF!</definedName>
    <definedName name="Agricultura" localSheetId="1">[2]TABLA!#REF!</definedName>
    <definedName name="Agricultura">[2]TABLA!#REF!</definedName>
    <definedName name="Agricultura_y_Desarrollo_Rural" localSheetId="0">[2]TABLA!#REF!</definedName>
    <definedName name="Agricultura_y_Desarrollo_Rural" localSheetId="1">[2]TABLA!#REF!</definedName>
    <definedName name="Agricultura_y_Desarrollo_Rural">[2]TABLA!#REF!</definedName>
    <definedName name="Ambiental">'[2]Tablas instituciones'!$D$2:$D$9</definedName>
    <definedName name="ambiente" localSheetId="0">[2]TABLA!#REF!</definedName>
    <definedName name="ambiente" localSheetId="1">[2]TABLA!#REF!</definedName>
    <definedName name="ambiente">[2]TABLA!#REF!</definedName>
    <definedName name="Ambiente_y_Desarrollo_Sostenible" localSheetId="0">[2]TABLA!#REF!</definedName>
    <definedName name="Ambiente_y_Desarrollo_Sostenible" localSheetId="1">[2]TABLA!#REF!</definedName>
    <definedName name="Ambiente_y_Desarrollo_Sostenible">[2]TABLA!#REF!</definedName>
    <definedName name="_xlnm.Print_Area" localSheetId="11">'10.PETI'!$A$1:$AJ$37</definedName>
    <definedName name="_xlnm.Print_Area" localSheetId="0">INICIO!$A$1:$EI$82</definedName>
    <definedName name="_xlnm.Print_Area" localSheetId="1">'TABLERO DE CONTROL'!$A$1:$EI$77</definedName>
    <definedName name="Ciencia__Tecnología_e_innovación" localSheetId="0">[2]TABLA!#REF!</definedName>
    <definedName name="Ciencia__Tecnología_e_innovación" localSheetId="1">[2]TABLA!#REF!</definedName>
    <definedName name="Ciencia__Tecnología_e_innovación">[2]TABLA!#REF!</definedName>
    <definedName name="clases1">[3]TABLA!$G$2:$G$5</definedName>
    <definedName name="Comercio__Industria_y_Turismo" localSheetId="0">[2]TABLA!#REF!</definedName>
    <definedName name="Comercio__Industria_y_Turismo" localSheetId="1">[2]TABLA!#REF!</definedName>
    <definedName name="Comercio__Industria_y_Turismo">[2]TABLA!#REF!</definedName>
    <definedName name="fuente">Hoja1!$C$4:$C$6</definedName>
    <definedName name="inversión">Hoja1!$F$4:$F$11</definedName>
    <definedName name="nindicador">[4]FICHA_DEL_INDICADOR!$AN$60:$AQ$60</definedName>
    <definedName name="nivel">[2]TABLA!$C$2:$C$3</definedName>
    <definedName name="Nombre" localSheetId="0">#REF!</definedName>
    <definedName name="Nombre" localSheetId="1">#REF!</definedName>
    <definedName name="Nombre">#REF!</definedName>
    <definedName name="objetivo">Hoja1!$I$4:$I$13</definedName>
    <definedName name="PF" localSheetId="0">#REF!</definedName>
    <definedName name="PF" localSheetId="1">#REF!</definedName>
    <definedName name="PF">#REF!</definedName>
    <definedName name="Simulador">[1]Listas!$B$2:$B$4</definedName>
    <definedName name="Tipo_acumulación">[5]Hoja2!$D$8:$D$10</definedName>
    <definedName name="Tipo_indicador">[5]Hoja2!$A$8:$A$10</definedName>
    <definedName name="Tipos">[2]TABLA!$G$2:$G$4</definedName>
    <definedName name="vice">'[6]referencia 2018'!$A$1:$A$8</definedName>
    <definedName name="vpauto" localSheetId="0">#REF!</definedName>
    <definedName name="vpauto" localSheetId="1">#REF!</definedName>
    <definedName name="vpaut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7" l="1"/>
  <c r="P6" i="2"/>
  <c r="XFD9" i="21" s="1"/>
  <c r="S111" i="7"/>
  <c r="S109" i="7"/>
  <c r="S107" i="7"/>
  <c r="S105" i="7"/>
  <c r="S103" i="7"/>
  <c r="S101" i="7"/>
  <c r="S99" i="7"/>
  <c r="S97" i="7"/>
  <c r="S95" i="7"/>
  <c r="S93" i="7"/>
  <c r="S91" i="7"/>
  <c r="S89" i="7"/>
  <c r="S87" i="7"/>
  <c r="S85" i="7"/>
  <c r="S83" i="7"/>
  <c r="S81" i="7"/>
  <c r="S79" i="7"/>
  <c r="S77" i="7"/>
  <c r="S75" i="7"/>
  <c r="S73" i="7"/>
  <c r="S71" i="7"/>
  <c r="S69" i="7"/>
  <c r="S67" i="7"/>
  <c r="S65" i="7"/>
  <c r="S63" i="7"/>
  <c r="S61" i="7"/>
  <c r="S59" i="7"/>
  <c r="S57" i="7"/>
  <c r="S55" i="7"/>
  <c r="S53" i="7"/>
  <c r="S51" i="7"/>
  <c r="S49" i="7"/>
  <c r="S47" i="7"/>
  <c r="S45" i="7"/>
  <c r="S43" i="7"/>
  <c r="S41" i="7"/>
  <c r="S39" i="7"/>
  <c r="S37" i="7"/>
  <c r="S35" i="7"/>
  <c r="S33" i="7"/>
  <c r="S31" i="7"/>
  <c r="S29" i="7"/>
  <c r="S27" i="7"/>
  <c r="S25" i="7"/>
  <c r="S23" i="7"/>
  <c r="S21" i="7"/>
  <c r="S19" i="7"/>
  <c r="S17" i="7"/>
  <c r="S15" i="7"/>
  <c r="W6" i="13"/>
  <c r="J6" i="15"/>
  <c r="T6" i="15"/>
  <c r="P6" i="15"/>
  <c r="AD18" i="9"/>
  <c r="X18" i="9" s="1"/>
  <c r="X24" i="13"/>
  <c r="U24" i="13"/>
  <c r="V24" i="13"/>
  <c r="W24" i="13"/>
  <c r="T24" i="13"/>
  <c r="Y24" i="13"/>
  <c r="AD23" i="13"/>
  <c r="AA23" i="13"/>
  <c r="X23" i="13"/>
  <c r="X22" i="13"/>
  <c r="P6" i="16"/>
  <c r="W6" i="2"/>
  <c r="AI6" i="4"/>
  <c r="AF6" i="4"/>
  <c r="Q6" i="4"/>
  <c r="X6" i="4"/>
  <c r="AD22" i="9"/>
  <c r="AD16" i="9"/>
  <c r="AD14" i="9"/>
  <c r="X14" i="9" s="1"/>
  <c r="X16" i="9"/>
  <c r="AD28" i="9"/>
  <c r="X28" i="9" s="1"/>
  <c r="AD26" i="9"/>
  <c r="X26" i="9" s="1"/>
  <c r="AD20" i="9"/>
  <c r="Q25" i="12"/>
  <c r="X29" i="9"/>
  <c r="X27" i="9"/>
  <c r="X21" i="9"/>
  <c r="X19" i="9"/>
  <c r="X17" i="9"/>
  <c r="X20" i="9"/>
  <c r="S16" i="19"/>
  <c r="P6" i="19"/>
  <c r="R6" i="7"/>
  <c r="Y6" i="7"/>
  <c r="P6" i="6"/>
  <c r="V6" i="8"/>
  <c r="AJ6" i="7"/>
  <c r="AG6" i="7"/>
  <c r="R20" i="2"/>
  <c r="Q20" i="2" s="1"/>
  <c r="S83" i="17"/>
  <c r="P83" i="17"/>
  <c r="S14" i="19"/>
  <c r="R14" i="19" s="1"/>
  <c r="W6" i="12"/>
  <c r="T63" i="17"/>
  <c r="S63" i="17"/>
  <c r="AE63" i="17" s="1"/>
  <c r="AG6" i="8"/>
  <c r="AD6" i="8"/>
  <c r="O6" i="8"/>
  <c r="Q23" i="8"/>
  <c r="P23" i="8"/>
  <c r="Q22" i="8"/>
  <c r="P22" i="8"/>
  <c r="Q21" i="8"/>
  <c r="P21" i="8"/>
  <c r="Q20" i="8"/>
  <c r="P20" i="8" s="1"/>
  <c r="Q19" i="8"/>
  <c r="P19" i="8"/>
  <c r="Q18" i="8"/>
  <c r="P18" i="8" s="1"/>
  <c r="Q17" i="8"/>
  <c r="P17" i="8"/>
  <c r="Q16" i="8"/>
  <c r="P16" i="8"/>
  <c r="P15" i="8"/>
  <c r="G6" i="8"/>
  <c r="U6" i="9"/>
  <c r="W6" i="19"/>
  <c r="G6" i="19"/>
  <c r="S39" i="19"/>
  <c r="R39" i="19"/>
  <c r="S38" i="19"/>
  <c r="R38" i="19" s="1"/>
  <c r="S37" i="19"/>
  <c r="R37" i="19"/>
  <c r="S36" i="19"/>
  <c r="R36" i="19"/>
  <c r="S35" i="19"/>
  <c r="R35" i="19"/>
  <c r="S34" i="19"/>
  <c r="R34" i="19"/>
  <c r="S33" i="19"/>
  <c r="R33" i="19"/>
  <c r="S32" i="19"/>
  <c r="R32" i="19"/>
  <c r="S31" i="19"/>
  <c r="R31" i="19"/>
  <c r="S30" i="19"/>
  <c r="R30" i="19"/>
  <c r="S29" i="19"/>
  <c r="R29" i="19"/>
  <c r="S28" i="19"/>
  <c r="R28" i="19"/>
  <c r="S27" i="19"/>
  <c r="R27" i="19"/>
  <c r="S26" i="19"/>
  <c r="R26" i="19"/>
  <c r="S25" i="19"/>
  <c r="R25" i="19"/>
  <c r="S24" i="19"/>
  <c r="R24" i="19" s="1"/>
  <c r="S23" i="19"/>
  <c r="R23" i="19"/>
  <c r="S22" i="19"/>
  <c r="R22" i="19" s="1"/>
  <c r="S21" i="19"/>
  <c r="R21" i="19"/>
  <c r="S20" i="19"/>
  <c r="R20" i="19" s="1"/>
  <c r="S19" i="19"/>
  <c r="R19" i="19"/>
  <c r="S18" i="19"/>
  <c r="R18" i="19" s="1"/>
  <c r="S17" i="19"/>
  <c r="R17" i="19"/>
  <c r="R15" i="19"/>
  <c r="S15" i="19"/>
  <c r="AJ77" i="17"/>
  <c r="AJ39" i="17"/>
  <c r="Y39" i="17"/>
  <c r="AI39" i="17" s="1"/>
  <c r="Z39" i="17"/>
  <c r="V39" i="17"/>
  <c r="AG39" i="17" s="1"/>
  <c r="S39" i="17"/>
  <c r="AE39" i="17"/>
  <c r="W39" i="17"/>
  <c r="AH39" i="17" s="1"/>
  <c r="T39" i="17"/>
  <c r="AF39" i="17" s="1"/>
  <c r="O49" i="17"/>
  <c r="O51" i="17" s="1"/>
  <c r="O87" i="17"/>
  <c r="O85" i="17"/>
  <c r="O83" i="17"/>
  <c r="V83" i="17" s="1"/>
  <c r="AG83" i="17" s="1"/>
  <c r="O81" i="17"/>
  <c r="O79" i="17"/>
  <c r="O77" i="17"/>
  <c r="W77" i="17" s="1"/>
  <c r="AH77" i="17" s="1"/>
  <c r="O75" i="17"/>
  <c r="O73" i="17"/>
  <c r="O71" i="17"/>
  <c r="O69" i="17"/>
  <c r="O67" i="17"/>
  <c r="O65" i="17"/>
  <c r="O63" i="17"/>
  <c r="V63" i="17" s="1"/>
  <c r="AG63" i="17" s="1"/>
  <c r="P6" i="12"/>
  <c r="G6" i="7" l="1"/>
  <c r="AE83" i="17"/>
  <c r="R16" i="19"/>
  <c r="J6" i="19" s="1"/>
  <c r="O53" i="17"/>
  <c r="O55" i="17" s="1"/>
  <c r="O57" i="17" s="1"/>
  <c r="O59" i="17" s="1"/>
  <c r="O61" i="17" s="1"/>
  <c r="W63" i="17"/>
  <c r="AH63" i="17" s="1"/>
  <c r="W83" i="17"/>
  <c r="AH83" i="17" s="1"/>
  <c r="AF63" i="17"/>
  <c r="Y63" i="17"/>
  <c r="AI63" i="17" s="1"/>
  <c r="V77" i="17"/>
  <c r="AG77" i="17" s="1"/>
  <c r="Y83" i="17"/>
  <c r="AI83" i="17" s="1"/>
  <c r="Z63" i="17"/>
  <c r="AJ63" i="17" s="1"/>
  <c r="Y77" i="17"/>
  <c r="AI77" i="17" s="1"/>
  <c r="Z83" i="17"/>
  <c r="AJ83" i="17" s="1"/>
  <c r="S77" i="17"/>
  <c r="AE77" i="17" s="1"/>
  <c r="T77" i="17"/>
  <c r="AF77" i="17" s="1"/>
  <c r="T83" i="17"/>
  <c r="AF83" i="17" s="1"/>
  <c r="T30" i="7"/>
  <c r="AH6" i="12"/>
  <c r="AE6" i="12"/>
  <c r="AH6" i="13"/>
  <c r="AE6" i="13"/>
  <c r="G6" i="13"/>
  <c r="W47" i="17" l="1"/>
  <c r="AH47" i="17" s="1"/>
  <c r="AH89" i="17" s="1"/>
  <c r="S47" i="17"/>
  <c r="AE47" i="17" s="1"/>
  <c r="Z47" i="17"/>
  <c r="AJ47" i="17" s="1"/>
  <c r="AJ89" i="17" s="1"/>
  <c r="Y47" i="17"/>
  <c r="AI47" i="17" s="1"/>
  <c r="AI89" i="17" s="1"/>
  <c r="T47" i="17"/>
  <c r="AF47" i="17" s="1"/>
  <c r="AF89" i="17" s="1"/>
  <c r="V47" i="17"/>
  <c r="AG47" i="17" s="1"/>
  <c r="AG89" i="17" s="1"/>
  <c r="AE89" i="17"/>
  <c r="AH6" i="2"/>
  <c r="AE6" i="2"/>
  <c r="R25" i="4"/>
  <c r="R23" i="4"/>
  <c r="R21" i="4"/>
  <c r="R19" i="4"/>
  <c r="R17" i="4"/>
  <c r="R15" i="4"/>
  <c r="Q19" i="6"/>
  <c r="P19" i="6"/>
  <c r="Q18" i="6"/>
  <c r="P18" i="6"/>
  <c r="Q17" i="6"/>
  <c r="P17" i="6"/>
  <c r="Q16" i="6"/>
  <c r="P16" i="6" s="1"/>
  <c r="P15" i="6"/>
  <c r="G6" i="6"/>
  <c r="S25" i="4"/>
  <c r="S24" i="4"/>
  <c r="R24" i="4" s="1"/>
  <c r="S23" i="4"/>
  <c r="S22" i="4"/>
  <c r="R22" i="4" s="1"/>
  <c r="S21" i="4"/>
  <c r="S20" i="4"/>
  <c r="S19" i="4"/>
  <c r="S18" i="4"/>
  <c r="R18" i="4" s="1"/>
  <c r="S17" i="4"/>
  <c r="S16" i="4"/>
  <c r="R16" i="4" s="1"/>
  <c r="T111" i="7"/>
  <c r="T110" i="7"/>
  <c r="S110" i="7" s="1"/>
  <c r="T109" i="7"/>
  <c r="T108" i="7"/>
  <c r="S108" i="7" s="1"/>
  <c r="T107" i="7"/>
  <c r="T106" i="7"/>
  <c r="S106" i="7" s="1"/>
  <c r="T105" i="7"/>
  <c r="T104" i="7"/>
  <c r="T103" i="7"/>
  <c r="T102" i="7"/>
  <c r="T101" i="7"/>
  <c r="T100" i="7"/>
  <c r="T99" i="7"/>
  <c r="T98" i="7"/>
  <c r="T97" i="7"/>
  <c r="T96" i="7"/>
  <c r="S96" i="7" s="1"/>
  <c r="T95" i="7"/>
  <c r="T94" i="7"/>
  <c r="S94" i="7"/>
  <c r="T93" i="7"/>
  <c r="T92" i="7"/>
  <c r="T91" i="7"/>
  <c r="T90" i="7"/>
  <c r="T89" i="7"/>
  <c r="T88" i="7"/>
  <c r="S88" i="7" s="1"/>
  <c r="T87" i="7"/>
  <c r="T86" i="7"/>
  <c r="T85" i="7"/>
  <c r="T84" i="7"/>
  <c r="T83" i="7"/>
  <c r="T82" i="7"/>
  <c r="S82" i="7" s="1"/>
  <c r="T81" i="7"/>
  <c r="T80" i="7"/>
  <c r="S80" i="7" s="1"/>
  <c r="T79" i="7"/>
  <c r="T78" i="7"/>
  <c r="S78" i="7" s="1"/>
  <c r="T77" i="7"/>
  <c r="T76" i="7"/>
  <c r="S76" i="7" s="1"/>
  <c r="T75" i="7"/>
  <c r="T74" i="7"/>
  <c r="S74" i="7" s="1"/>
  <c r="T73" i="7"/>
  <c r="T72" i="7"/>
  <c r="S72" i="7" s="1"/>
  <c r="T71" i="7"/>
  <c r="T70" i="7"/>
  <c r="S70" i="7" s="1"/>
  <c r="T69" i="7"/>
  <c r="T68" i="7"/>
  <c r="T67" i="7"/>
  <c r="T66" i="7"/>
  <c r="S66" i="7" s="1"/>
  <c r="T65" i="7"/>
  <c r="T64" i="7"/>
  <c r="S64" i="7" s="1"/>
  <c r="T63" i="7"/>
  <c r="T62" i="7"/>
  <c r="S62" i="7" s="1"/>
  <c r="T61" i="7"/>
  <c r="T60" i="7"/>
  <c r="S60" i="7" s="1"/>
  <c r="T59" i="7"/>
  <c r="T58" i="7"/>
  <c r="S58" i="7" s="1"/>
  <c r="T57" i="7"/>
  <c r="T56" i="7"/>
  <c r="S56" i="7" s="1"/>
  <c r="T55" i="7"/>
  <c r="T54" i="7"/>
  <c r="T53" i="7"/>
  <c r="T52" i="7"/>
  <c r="S52" i="7" s="1"/>
  <c r="T51" i="7"/>
  <c r="T50" i="7"/>
  <c r="T49" i="7"/>
  <c r="T48" i="7"/>
  <c r="S48" i="7" s="1"/>
  <c r="T47" i="7"/>
  <c r="T46" i="7"/>
  <c r="T45" i="7"/>
  <c r="T44" i="7"/>
  <c r="S44" i="7" s="1"/>
  <c r="T43" i="7"/>
  <c r="T42" i="7"/>
  <c r="T41" i="7"/>
  <c r="T40" i="7"/>
  <c r="S40" i="7"/>
  <c r="T39" i="7"/>
  <c r="T38" i="7"/>
  <c r="S38" i="7" s="1"/>
  <c r="T37" i="7"/>
  <c r="T36" i="7"/>
  <c r="S36" i="7" s="1"/>
  <c r="T35" i="7"/>
  <c r="T34" i="7"/>
  <c r="S34" i="7" s="1"/>
  <c r="T33" i="7"/>
  <c r="T32" i="7"/>
  <c r="S32" i="7" s="1"/>
  <c r="T31" i="7"/>
  <c r="S30" i="7"/>
  <c r="T29" i="7"/>
  <c r="T28" i="7"/>
  <c r="S28" i="7"/>
  <c r="T27" i="7"/>
  <c r="T26" i="7"/>
  <c r="S26" i="7" s="1"/>
  <c r="T25" i="7"/>
  <c r="T24" i="7"/>
  <c r="S24" i="7"/>
  <c r="T23" i="7"/>
  <c r="T22" i="7"/>
  <c r="S22" i="7"/>
  <c r="T21" i="7"/>
  <c r="T20" i="7"/>
  <c r="S20" i="7" s="1"/>
  <c r="T19" i="7"/>
  <c r="T18" i="7"/>
  <c r="S18" i="7"/>
  <c r="T17" i="7"/>
  <c r="T16" i="7"/>
  <c r="S16" i="7"/>
  <c r="W29" i="9"/>
  <c r="W28" i="9"/>
  <c r="W27" i="9"/>
  <c r="W26" i="9"/>
  <c r="X25" i="9"/>
  <c r="AD24" i="9" s="1"/>
  <c r="P6" i="9" s="1"/>
  <c r="W25" i="9"/>
  <c r="W23" i="9"/>
  <c r="X22" i="9"/>
  <c r="W22" i="9" s="1"/>
  <c r="W21" i="9"/>
  <c r="W20" i="9"/>
  <c r="W19" i="9"/>
  <c r="W17" i="9"/>
  <c r="W16" i="9"/>
  <c r="W15" i="9"/>
  <c r="G6" i="9" s="1"/>
  <c r="V6" i="16"/>
  <c r="G6" i="16"/>
  <c r="Q21" i="16"/>
  <c r="P21" i="16"/>
  <c r="Q20" i="16"/>
  <c r="P20" i="16"/>
  <c r="Q19" i="16"/>
  <c r="P19" i="16"/>
  <c r="Q18" i="16"/>
  <c r="P18" i="16" s="1"/>
  <c r="Q17" i="16"/>
  <c r="P17" i="16"/>
  <c r="Q16" i="16"/>
  <c r="P16" i="16" s="1"/>
  <c r="P15" i="16"/>
  <c r="J39" i="16"/>
  <c r="J38" i="16"/>
  <c r="J40" i="16" s="1"/>
  <c r="Q15" i="16"/>
  <c r="Q14" i="16"/>
  <c r="P14" i="16" s="1"/>
  <c r="R25" i="12"/>
  <c r="R24" i="12"/>
  <c r="Q24" i="12" s="1"/>
  <c r="R23" i="12"/>
  <c r="Q23" i="12"/>
  <c r="R22" i="12"/>
  <c r="R21" i="12"/>
  <c r="Q21" i="12"/>
  <c r="O27" i="12" s="1"/>
  <c r="R20" i="12"/>
  <c r="Q20" i="12" s="1"/>
  <c r="R19" i="12"/>
  <c r="Q19" i="12"/>
  <c r="R18" i="12"/>
  <c r="Q18" i="12" s="1"/>
  <c r="R17" i="12"/>
  <c r="Q17" i="12"/>
  <c r="R16" i="12"/>
  <c r="Q15" i="12"/>
  <c r="R35" i="13"/>
  <c r="Y34" i="13" s="1"/>
  <c r="Q35" i="13"/>
  <c r="R34" i="13"/>
  <c r="R33" i="13"/>
  <c r="Q33" i="13"/>
  <c r="R31" i="13"/>
  <c r="Q31" i="13"/>
  <c r="R30" i="13"/>
  <c r="R29" i="13"/>
  <c r="R28" i="13" s="1"/>
  <c r="Q29" i="13"/>
  <c r="R27" i="13"/>
  <c r="Q27" i="13"/>
  <c r="R26" i="13"/>
  <c r="Q26" i="13" s="1"/>
  <c r="R25" i="13"/>
  <c r="Q25" i="13"/>
  <c r="R23" i="13"/>
  <c r="Q23" i="13"/>
  <c r="R22" i="13"/>
  <c r="Q22" i="13" s="1"/>
  <c r="R21" i="13"/>
  <c r="Q21" i="13"/>
  <c r="R20" i="13"/>
  <c r="Q20" i="13" s="1"/>
  <c r="R19" i="13"/>
  <c r="Q19" i="13"/>
  <c r="R18" i="13"/>
  <c r="Q18" i="13" s="1"/>
  <c r="R17" i="13"/>
  <c r="Q17" i="13"/>
  <c r="R16" i="13"/>
  <c r="Q16" i="13" s="1"/>
  <c r="Q15" i="13"/>
  <c r="R15" i="13"/>
  <c r="R14" i="13"/>
  <c r="J43" i="12"/>
  <c r="J44" i="12" s="1"/>
  <c r="J42" i="12"/>
  <c r="R15" i="12"/>
  <c r="R14" i="12"/>
  <c r="J45" i="9"/>
  <c r="J44" i="9"/>
  <c r="AH30" i="9"/>
  <c r="X15" i="9"/>
  <c r="J41" i="8"/>
  <c r="J40" i="8"/>
  <c r="Q15" i="8"/>
  <c r="Q14" i="8"/>
  <c r="T15" i="7"/>
  <c r="T14" i="7"/>
  <c r="J37" i="6"/>
  <c r="J36" i="6"/>
  <c r="Q15" i="6"/>
  <c r="Q14" i="6"/>
  <c r="P14" i="6" s="1"/>
  <c r="J35" i="4"/>
  <c r="J34" i="4"/>
  <c r="S15" i="4"/>
  <c r="S14" i="4"/>
  <c r="R16" i="2"/>
  <c r="Q16" i="2" s="1"/>
  <c r="R17" i="2"/>
  <c r="R18" i="2"/>
  <c r="Q18" i="2" s="1"/>
  <c r="R19" i="2"/>
  <c r="R21" i="2"/>
  <c r="R22" i="2"/>
  <c r="Q22" i="2" s="1"/>
  <c r="R23" i="2"/>
  <c r="R24" i="2"/>
  <c r="Q24" i="2" s="1"/>
  <c r="R25" i="2"/>
  <c r="R26" i="2"/>
  <c r="R27" i="2"/>
  <c r="R14" i="2"/>
  <c r="Q14" i="2" s="1"/>
  <c r="R15" i="2"/>
  <c r="Q27" i="2"/>
  <c r="Q25" i="2"/>
  <c r="Q23" i="2"/>
  <c r="Q21" i="2"/>
  <c r="Q19" i="2"/>
  <c r="Q17" i="2"/>
  <c r="R24" i="13" l="1"/>
  <c r="Q24" i="13" s="1"/>
  <c r="V32" i="13"/>
  <c r="Y32" i="13"/>
  <c r="U32" i="13"/>
  <c r="X32" i="13"/>
  <c r="T32" i="13"/>
  <c r="W32" i="13"/>
  <c r="X24" i="9"/>
  <c r="W24" i="9" s="1"/>
  <c r="J6" i="16"/>
  <c r="AH90" i="17"/>
  <c r="AJ90" i="17"/>
  <c r="AF90" i="17"/>
  <c r="S92" i="7"/>
  <c r="S42" i="7"/>
  <c r="S46" i="7"/>
  <c r="S86" i="7"/>
  <c r="S100" i="7"/>
  <c r="S104" i="7"/>
  <c r="S50" i="7"/>
  <c r="S54" i="7"/>
  <c r="S68" i="7"/>
  <c r="S84" i="7"/>
  <c r="S98" i="7"/>
  <c r="S102" i="7"/>
  <c r="S90" i="7"/>
  <c r="Q22" i="12"/>
  <c r="Q16" i="12"/>
  <c r="G6" i="4"/>
  <c r="R20" i="4"/>
  <c r="X29" i="8"/>
  <c r="AA30" i="8" s="1"/>
  <c r="R25" i="8"/>
  <c r="X25" i="8"/>
  <c r="AA26" i="8" s="1"/>
  <c r="AA35" i="8" s="1"/>
  <c r="R29" i="8"/>
  <c r="AC29" i="8"/>
  <c r="P14" i="8"/>
  <c r="J6" i="8" s="1"/>
  <c r="J42" i="8"/>
  <c r="J6" i="6"/>
  <c r="J38" i="6"/>
  <c r="AB25" i="6"/>
  <c r="X21" i="6"/>
  <c r="AA22" i="6" s="1"/>
  <c r="AC25" i="6"/>
  <c r="X25" i="6"/>
  <c r="AA26" i="6" s="1"/>
  <c r="AA31" i="6" s="1"/>
  <c r="R25" i="6"/>
  <c r="R21" i="6"/>
  <c r="R14" i="4"/>
  <c r="J36" i="4"/>
  <c r="S14" i="7"/>
  <c r="W18" i="9"/>
  <c r="W14" i="9"/>
  <c r="AH33" i="9"/>
  <c r="AJ33" i="9"/>
  <c r="AE33" i="9"/>
  <c r="AH34" i="9" s="1"/>
  <c r="AH39" i="9" s="1"/>
  <c r="Y33" i="9"/>
  <c r="J46" i="9"/>
  <c r="AC27" i="16"/>
  <c r="AC23" i="16"/>
  <c r="R23" i="16"/>
  <c r="X23" i="16"/>
  <c r="AA24" i="16" s="1"/>
  <c r="X27" i="16"/>
  <c r="AA28" i="16" s="1"/>
  <c r="AA33" i="16" s="1"/>
  <c r="S23" i="16"/>
  <c r="Y23" i="16"/>
  <c r="S27" i="16"/>
  <c r="Y27" i="16"/>
  <c r="T23" i="16"/>
  <c r="W24" i="16" s="1"/>
  <c r="Z23" i="16"/>
  <c r="T27" i="16"/>
  <c r="W28" i="16" s="1"/>
  <c r="Z27" i="16"/>
  <c r="AA23" i="16"/>
  <c r="R27" i="16"/>
  <c r="O23" i="16"/>
  <c r="O24" i="16" s="1"/>
  <c r="U23" i="16"/>
  <c r="O27" i="16"/>
  <c r="O28" i="16" s="1"/>
  <c r="O29" i="16" s="1"/>
  <c r="U27" i="16"/>
  <c r="AA27" i="16"/>
  <c r="P23" i="16"/>
  <c r="S24" i="16" s="1"/>
  <c r="V23" i="16"/>
  <c r="AB23" i="16"/>
  <c r="P27" i="16"/>
  <c r="S28" i="16" s="1"/>
  <c r="V27" i="16"/>
  <c r="AB27" i="16"/>
  <c r="Q23" i="16"/>
  <c r="W23" i="16"/>
  <c r="Q27" i="16"/>
  <c r="W27" i="16"/>
  <c r="U27" i="12"/>
  <c r="X28" i="12" s="1"/>
  <c r="AD31" i="12"/>
  <c r="AA27" i="12"/>
  <c r="Y31" i="12"/>
  <c r="AB32" i="12" s="1"/>
  <c r="G6" i="12"/>
  <c r="S31" i="12"/>
  <c r="P27" i="12"/>
  <c r="P28" i="12" s="1"/>
  <c r="P40" i="12" s="1"/>
  <c r="V27" i="12"/>
  <c r="T31" i="12"/>
  <c r="Z31" i="12"/>
  <c r="W27" i="12"/>
  <c r="O31" i="12"/>
  <c r="J31" i="12" s="1"/>
  <c r="R27" i="12"/>
  <c r="X27" i="12"/>
  <c r="AD27" i="12"/>
  <c r="P31" i="12"/>
  <c r="P32" i="12" s="1"/>
  <c r="P33" i="12" s="1"/>
  <c r="V31" i="12"/>
  <c r="AB31" i="12"/>
  <c r="S27" i="12"/>
  <c r="Y27" i="12"/>
  <c r="AB28" i="12" s="1"/>
  <c r="Q31" i="12"/>
  <c r="T32" i="12" s="1"/>
  <c r="W31" i="12"/>
  <c r="AC31" i="12"/>
  <c r="AB27" i="12"/>
  <c r="Q27" i="12"/>
  <c r="T28" i="12" s="1"/>
  <c r="AB29" i="12" s="1"/>
  <c r="AC27" i="12"/>
  <c r="U31" i="12"/>
  <c r="X32" i="12" s="1"/>
  <c r="AA31" i="12"/>
  <c r="Q14" i="12"/>
  <c r="J27" i="12"/>
  <c r="T27" i="12"/>
  <c r="Z27" i="12"/>
  <c r="R31" i="12"/>
  <c r="X31" i="12"/>
  <c r="Q28" i="13"/>
  <c r="Q34" i="13"/>
  <c r="Q30" i="13"/>
  <c r="Q14" i="13"/>
  <c r="O36" i="12"/>
  <c r="Z33" i="9"/>
  <c r="AF33" i="9"/>
  <c r="O33" i="9"/>
  <c r="J33" i="9" s="1"/>
  <c r="AA33" i="9"/>
  <c r="AD34" i="9" s="1"/>
  <c r="AG33" i="9"/>
  <c r="V30" i="9"/>
  <c r="V33" i="9"/>
  <c r="V34" i="9" s="1"/>
  <c r="V35" i="9" s="1"/>
  <c r="AB33" i="9"/>
  <c r="Z30" i="9"/>
  <c r="W33" i="9"/>
  <c r="Z34" i="9" s="1"/>
  <c r="AC33" i="9"/>
  <c r="AI33" i="9"/>
  <c r="AD30" i="9"/>
  <c r="X33" i="9"/>
  <c r="AD33" i="9"/>
  <c r="S25" i="8"/>
  <c r="Y25" i="8"/>
  <c r="S29" i="8"/>
  <c r="Y29" i="8"/>
  <c r="N25" i="8"/>
  <c r="T25" i="8"/>
  <c r="W26" i="8" s="1"/>
  <c r="Z25" i="8"/>
  <c r="N29" i="8"/>
  <c r="J29" i="8" s="1"/>
  <c r="T29" i="8"/>
  <c r="W30" i="8" s="1"/>
  <c r="Z29" i="8"/>
  <c r="O25" i="8"/>
  <c r="O26" i="8" s="1"/>
  <c r="U25" i="8"/>
  <c r="AA25" i="8"/>
  <c r="O29" i="8"/>
  <c r="O30" i="8" s="1"/>
  <c r="O31" i="8" s="1"/>
  <c r="U29" i="8"/>
  <c r="AA29" i="8"/>
  <c r="P25" i="8"/>
  <c r="S26" i="8" s="1"/>
  <c r="V25" i="8"/>
  <c r="AB25" i="8"/>
  <c r="P29" i="8"/>
  <c r="S30" i="8" s="1"/>
  <c r="V29" i="8"/>
  <c r="AB29" i="8"/>
  <c r="Q25" i="8"/>
  <c r="W25" i="8"/>
  <c r="AC25" i="8"/>
  <c r="Q29" i="8"/>
  <c r="W29" i="8"/>
  <c r="S21" i="6"/>
  <c r="S25" i="6"/>
  <c r="Y25" i="6"/>
  <c r="T21" i="6"/>
  <c r="W22" i="6" s="1"/>
  <c r="Z21" i="6"/>
  <c r="T25" i="6"/>
  <c r="W26" i="6" s="1"/>
  <c r="Z25" i="6"/>
  <c r="O21" i="6"/>
  <c r="O22" i="6" s="1"/>
  <c r="U21" i="6"/>
  <c r="AA21" i="6"/>
  <c r="O25" i="6"/>
  <c r="O26" i="6" s="1"/>
  <c r="O27" i="6" s="1"/>
  <c r="U25" i="6"/>
  <c r="AA25" i="6"/>
  <c r="P21" i="6"/>
  <c r="S22" i="6" s="1"/>
  <c r="V21" i="6"/>
  <c r="AB21" i="6"/>
  <c r="P25" i="6"/>
  <c r="S26" i="6" s="1"/>
  <c r="V25" i="6"/>
  <c r="Y21" i="6"/>
  <c r="Q21" i="6"/>
  <c r="W21" i="6"/>
  <c r="AC21" i="6"/>
  <c r="Q25" i="6"/>
  <c r="W25" i="6"/>
  <c r="Q26" i="2"/>
  <c r="J6" i="2" s="1"/>
  <c r="P6" i="13" l="1"/>
  <c r="R32" i="13"/>
  <c r="Q32" i="13" s="1"/>
  <c r="X37" i="12"/>
  <c r="J6" i="9"/>
  <c r="J6" i="13"/>
  <c r="J6" i="4"/>
  <c r="J6" i="12"/>
  <c r="AA31" i="8"/>
  <c r="AA32" i="8" s="1"/>
  <c r="W31" i="6"/>
  <c r="J25" i="6"/>
  <c r="AA27" i="6"/>
  <c r="AC29" i="4"/>
  <c r="AH35" i="9"/>
  <c r="AH36" i="9" s="1"/>
  <c r="AD39" i="9"/>
  <c r="J27" i="16"/>
  <c r="AA29" i="16"/>
  <c r="O35" i="16"/>
  <c r="AA34" i="16"/>
  <c r="O25" i="16"/>
  <c r="W34" i="16"/>
  <c r="O33" i="16"/>
  <c r="AA35" i="16"/>
  <c r="AA36" i="16"/>
  <c r="S34" i="16"/>
  <c r="O36" i="16"/>
  <c r="O34" i="16"/>
  <c r="AA25" i="16"/>
  <c r="S33" i="16"/>
  <c r="W33" i="16"/>
  <c r="Z32" i="16"/>
  <c r="T32" i="16"/>
  <c r="X31" i="16"/>
  <c r="R31" i="16"/>
  <c r="Y32" i="16"/>
  <c r="S32" i="16"/>
  <c r="AC31" i="16"/>
  <c r="W31" i="16"/>
  <c r="Q31" i="16"/>
  <c r="X32" i="16"/>
  <c r="R32" i="16"/>
  <c r="AB31" i="16"/>
  <c r="P31" i="16"/>
  <c r="U32" i="16"/>
  <c r="S31" i="16"/>
  <c r="V31" i="16"/>
  <c r="AC32" i="16"/>
  <c r="W32" i="16"/>
  <c r="Q32" i="16"/>
  <c r="AA31" i="16"/>
  <c r="U31" i="16"/>
  <c r="O31" i="16"/>
  <c r="AB32" i="16"/>
  <c r="V32" i="16"/>
  <c r="P32" i="16"/>
  <c r="Z31" i="16"/>
  <c r="T31" i="16"/>
  <c r="J23" i="16"/>
  <c r="AA32" i="16"/>
  <c r="O32" i="16"/>
  <c r="Y31" i="16"/>
  <c r="AA30" i="16"/>
  <c r="AB33" i="12"/>
  <c r="AB34" i="12" s="1"/>
  <c r="R35" i="12"/>
  <c r="AB37" i="12"/>
  <c r="P38" i="12"/>
  <c r="Q36" i="12"/>
  <c r="P36" i="12"/>
  <c r="X38" i="12"/>
  <c r="R36" i="12"/>
  <c r="W36" i="12"/>
  <c r="P29" i="12"/>
  <c r="AB30" i="12" s="1"/>
  <c r="T38" i="12"/>
  <c r="Y35" i="12"/>
  <c r="AB39" i="12"/>
  <c r="Q35" i="12"/>
  <c r="P37" i="12"/>
  <c r="S35" i="12"/>
  <c r="AB38" i="12"/>
  <c r="Z35" i="12"/>
  <c r="X36" i="12"/>
  <c r="AA36" i="12"/>
  <c r="Y36" i="12"/>
  <c r="V35" i="12"/>
  <c r="T37" i="12"/>
  <c r="AB35" i="12"/>
  <c r="O35" i="12"/>
  <c r="AD36" i="12"/>
  <c r="X35" i="12"/>
  <c r="AB36" i="12"/>
  <c r="U36" i="12"/>
  <c r="AC35" i="12"/>
  <c r="Z36" i="12"/>
  <c r="P35" i="12"/>
  <c r="V36" i="12"/>
  <c r="P39" i="12"/>
  <c r="AA35" i="12"/>
  <c r="T36" i="12"/>
  <c r="S36" i="12"/>
  <c r="AB40" i="12"/>
  <c r="U35" i="12"/>
  <c r="AD35" i="12"/>
  <c r="W35" i="12"/>
  <c r="AC36" i="12"/>
  <c r="T35" i="12"/>
  <c r="AG38" i="9"/>
  <c r="AA38" i="9"/>
  <c r="O38" i="9"/>
  <c r="AE37" i="9"/>
  <c r="Y37" i="9"/>
  <c r="AB37" i="9"/>
  <c r="AH38" i="9"/>
  <c r="AB38" i="9"/>
  <c r="AF37" i="9"/>
  <c r="AF38" i="9"/>
  <c r="Z38" i="9"/>
  <c r="AJ37" i="9"/>
  <c r="AD37" i="9"/>
  <c r="X37" i="9"/>
  <c r="AA37" i="9"/>
  <c r="AE38" i="9"/>
  <c r="Y38" i="9"/>
  <c r="AI37" i="9"/>
  <c r="AC37" i="9"/>
  <c r="W37" i="9"/>
  <c r="AJ38" i="9"/>
  <c r="AD38" i="9"/>
  <c r="X38" i="9"/>
  <c r="AH37" i="9"/>
  <c r="V37" i="9"/>
  <c r="AI38" i="9"/>
  <c r="AC38" i="9"/>
  <c r="W38" i="9"/>
  <c r="AG37" i="9"/>
  <c r="O37" i="9"/>
  <c r="V38" i="9"/>
  <c r="Z37" i="9"/>
  <c r="AH31" i="9"/>
  <c r="Z39" i="9"/>
  <c r="V41" i="9"/>
  <c r="Z40" i="9"/>
  <c r="AH40" i="9"/>
  <c r="V31" i="9"/>
  <c r="AD40" i="9"/>
  <c r="V39" i="9"/>
  <c r="AH42" i="9"/>
  <c r="V42" i="9"/>
  <c r="V40" i="9"/>
  <c r="AH41" i="9"/>
  <c r="W35" i="8"/>
  <c r="AA27" i="8"/>
  <c r="S35" i="8"/>
  <c r="O37" i="8"/>
  <c r="AA36" i="8"/>
  <c r="O27" i="8"/>
  <c r="W36" i="8"/>
  <c r="O35" i="8"/>
  <c r="AA38" i="8"/>
  <c r="S36" i="8"/>
  <c r="O38" i="8"/>
  <c r="O36" i="8"/>
  <c r="AA37" i="8"/>
  <c r="Z34" i="8"/>
  <c r="T34" i="8"/>
  <c r="N34" i="8"/>
  <c r="X33" i="8"/>
  <c r="R33" i="8"/>
  <c r="U34" i="8"/>
  <c r="S33" i="8"/>
  <c r="Y34" i="8"/>
  <c r="S34" i="8"/>
  <c r="AC33" i="8"/>
  <c r="W33" i="8"/>
  <c r="Q33" i="8"/>
  <c r="O34" i="8"/>
  <c r="X34" i="8"/>
  <c r="R34" i="8"/>
  <c r="AB33" i="8"/>
  <c r="V33" i="8"/>
  <c r="P33" i="8"/>
  <c r="AA34" i="8"/>
  <c r="AC34" i="8"/>
  <c r="W34" i="8"/>
  <c r="Q34" i="8"/>
  <c r="AA33" i="8"/>
  <c r="U33" i="8"/>
  <c r="O33" i="8"/>
  <c r="AB34" i="8"/>
  <c r="V34" i="8"/>
  <c r="P34" i="8"/>
  <c r="Z33" i="8"/>
  <c r="T33" i="8"/>
  <c r="N33" i="8"/>
  <c r="J25" i="8"/>
  <c r="Y33" i="8"/>
  <c r="O33" i="6"/>
  <c r="AA32" i="6"/>
  <c r="O23" i="6"/>
  <c r="W32" i="6"/>
  <c r="O31" i="6"/>
  <c r="AA34" i="6"/>
  <c r="S32" i="6"/>
  <c r="O34" i="6"/>
  <c r="O32" i="6"/>
  <c r="AA33" i="6"/>
  <c r="Z30" i="6"/>
  <c r="T30" i="6"/>
  <c r="X29" i="6"/>
  <c r="R29" i="6"/>
  <c r="Y30" i="6"/>
  <c r="S30" i="6"/>
  <c r="AC29" i="6"/>
  <c r="W29" i="6"/>
  <c r="Q29" i="6"/>
  <c r="Y29" i="6"/>
  <c r="X30" i="6"/>
  <c r="R30" i="6"/>
  <c r="AB29" i="6"/>
  <c r="V29" i="6"/>
  <c r="P29" i="6"/>
  <c r="O30" i="6"/>
  <c r="AC30" i="6"/>
  <c r="W30" i="6"/>
  <c r="Q30" i="6"/>
  <c r="AA29" i="6"/>
  <c r="U29" i="6"/>
  <c r="O29" i="6"/>
  <c r="AB30" i="6"/>
  <c r="V30" i="6"/>
  <c r="P30" i="6"/>
  <c r="Z29" i="6"/>
  <c r="T29" i="6"/>
  <c r="J21" i="6"/>
  <c r="AA30" i="6"/>
  <c r="U30" i="6"/>
  <c r="S29" i="6"/>
  <c r="AA23" i="6"/>
  <c r="S31" i="6"/>
  <c r="AA28" i="6"/>
  <c r="AC26" i="4"/>
  <c r="Q31" i="4"/>
  <c r="AC30" i="4"/>
  <c r="AC31" i="4"/>
  <c r="Y30" i="4"/>
  <c r="Q29" i="4"/>
  <c r="Q30" i="4"/>
  <c r="AC32" i="4"/>
  <c r="U30" i="4"/>
  <c r="Q32" i="4"/>
  <c r="Y29" i="4"/>
  <c r="AB28" i="4"/>
  <c r="V28" i="4"/>
  <c r="P28" i="4"/>
  <c r="Z27" i="4"/>
  <c r="T27" i="4"/>
  <c r="AA28" i="4"/>
  <c r="U28" i="4"/>
  <c r="AE27" i="4"/>
  <c r="Y27" i="4"/>
  <c r="S27" i="4"/>
  <c r="AD28" i="4"/>
  <c r="AB27" i="4"/>
  <c r="P27" i="4"/>
  <c r="AC28" i="4"/>
  <c r="W28" i="4"/>
  <c r="Q28" i="4"/>
  <c r="AA27" i="4"/>
  <c r="U27" i="4"/>
  <c r="Z28" i="4"/>
  <c r="T28" i="4"/>
  <c r="AD27" i="4"/>
  <c r="X27" i="4"/>
  <c r="R27" i="4"/>
  <c r="X28" i="4"/>
  <c r="R28" i="4"/>
  <c r="V27" i="4"/>
  <c r="AE28" i="4"/>
  <c r="Y28" i="4"/>
  <c r="S28" i="4"/>
  <c r="AC27" i="4"/>
  <c r="W27" i="4"/>
  <c r="Q27" i="4"/>
  <c r="U29" i="4"/>
  <c r="AH32" i="9" l="1"/>
  <c r="AA26" i="16"/>
  <c r="AA28" i="8"/>
  <c r="AA24" i="6"/>
  <c r="Q15" i="2" l="1"/>
  <c r="G6" i="2" l="1"/>
  <c r="J45" i="2" l="1"/>
  <c r="P29" i="2" l="1"/>
  <c r="Q29" i="2"/>
  <c r="R29" i="2"/>
  <c r="S29" i="2"/>
  <c r="T29" i="2"/>
  <c r="U29" i="2"/>
  <c r="V29" i="2"/>
  <c r="W29" i="2"/>
  <c r="X29" i="2"/>
  <c r="Y29" i="2"/>
  <c r="Z29" i="2"/>
  <c r="AA29" i="2"/>
  <c r="AB29" i="2"/>
  <c r="AC29" i="2"/>
  <c r="AD29" i="2"/>
  <c r="O29" i="2"/>
  <c r="P33" i="2"/>
  <c r="Q33" i="2"/>
  <c r="R33" i="2"/>
  <c r="S33" i="2"/>
  <c r="T33" i="2"/>
  <c r="U33" i="2"/>
  <c r="V33" i="2"/>
  <c r="W33" i="2"/>
  <c r="X33" i="2"/>
  <c r="Y33" i="2"/>
  <c r="Z33" i="2"/>
  <c r="AA33" i="2"/>
  <c r="AB33" i="2"/>
  <c r="AC33" i="2"/>
  <c r="AD33" i="2"/>
  <c r="O33" i="2"/>
  <c r="O38" i="2" l="1"/>
  <c r="U38" i="2"/>
  <c r="AA38" i="2"/>
  <c r="P38" i="2"/>
  <c r="V38" i="2"/>
  <c r="AB38" i="2"/>
  <c r="Q38" i="2"/>
  <c r="W38" i="2"/>
  <c r="AC38" i="2"/>
  <c r="X38" i="2"/>
  <c r="R38" i="2"/>
  <c r="S38" i="2"/>
  <c r="Y38" i="2"/>
  <c r="T38" i="2"/>
  <c r="Z38" i="2"/>
  <c r="AD38" i="2"/>
  <c r="P37" i="2"/>
  <c r="AA37" i="2"/>
  <c r="T37" i="2"/>
  <c r="Q37" i="2"/>
  <c r="Z37" i="2"/>
  <c r="S37" i="2"/>
  <c r="Y37" i="2"/>
  <c r="AD37" i="2"/>
  <c r="W37" i="2"/>
  <c r="X37" i="2"/>
  <c r="AC37" i="2"/>
  <c r="V37" i="2"/>
  <c r="J44" i="2"/>
  <c r="AB37" i="2"/>
  <c r="U37" i="2"/>
  <c r="R37" i="2"/>
  <c r="AB30" i="2"/>
  <c r="O37" i="2"/>
  <c r="J33" i="2"/>
  <c r="P30" i="2"/>
  <c r="J29" i="2"/>
  <c r="AB34" i="2"/>
  <c r="P34" i="2"/>
  <c r="X30" i="2"/>
  <c r="X34" i="2"/>
  <c r="T30" i="2"/>
  <c r="T34" i="2"/>
  <c r="X39" i="2" l="1"/>
  <c r="AB39" i="2"/>
  <c r="T39" i="2"/>
  <c r="AB35" i="2"/>
  <c r="P41" i="2"/>
  <c r="AB41" i="2"/>
  <c r="P40" i="2"/>
  <c r="P39" i="2"/>
  <c r="T40" i="2"/>
  <c r="X40" i="2"/>
  <c r="P42" i="2"/>
  <c r="AB40" i="2"/>
  <c r="AB42" i="2"/>
  <c r="P31" i="2"/>
  <c r="P35" i="2"/>
  <c r="AB31" i="2"/>
  <c r="AB36" i="2" l="1"/>
  <c r="AB32" i="2"/>
  <c r="J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4D9DC69F-7EB3-4696-BE27-E0F425318050}">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FC534883-0E6C-4C66-B50E-7A9F1E03621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C98FFED6-8369-45D4-AB13-1E4AB8BA672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AF431877-75D8-4A23-9B3A-C66557AC66FE}">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49828359-41D4-4E1C-AC3A-E25A026F3A3B}">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L11" authorId="0" shapeId="0" xr:uid="{D11F7AD5-A3D1-4F9F-89FE-EFE3503623F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1" authorId="0" shapeId="0" xr:uid="{1DA12D47-A495-4D0B-9883-F7548F58542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H11" authorId="0" shapeId="0" xr:uid="{A61195D2-8BA1-4283-BC65-E3556E5D7879}">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1" authorId="0" shapeId="0" xr:uid="{9EA6EFD7-4582-4B1A-A655-072523D09FF3}">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AACC9175-C3CF-411C-976C-E144C29FBCB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sharedStrings.xml><?xml version="1.0" encoding="utf-8"?>
<sst xmlns="http://schemas.openxmlformats.org/spreadsheetml/2006/main" count="7889" uniqueCount="1481">
  <si>
    <r>
      <rPr>
        <b/>
        <sz val="20"/>
        <color theme="1"/>
        <rFont val="Calibri Light"/>
        <family val="2"/>
        <scheme val="major"/>
      </rPr>
      <t>NOTA:</t>
    </r>
    <r>
      <rPr>
        <sz val="20"/>
        <color theme="1"/>
        <rFont val="Calibri Light"/>
        <family val="2"/>
        <scheme val="major"/>
      </rPr>
      <t xml:space="preserve"> Los Planes No. 04 y No. 05, no aplican a la Compañía.</t>
    </r>
  </si>
  <si>
    <t>CONTROL DE CAMBIOS</t>
  </si>
  <si>
    <t>VERSIÓN</t>
  </si>
  <si>
    <t>FECHA</t>
  </si>
  <si>
    <t>CAMBIOS REALIZADOS</t>
  </si>
  <si>
    <t>CREACIÓN DEL DOCUMENTO</t>
  </si>
  <si>
    <t>MODIFICACIÓN Y AJUSTE DE ACTIVIDADES RELACIONADAS CON EL PLAN ESTRATÉGICO DE T.I Y PLAN DE SEGURIDAD Y PRIVACIDAD DE LA INFORMACIÓN</t>
  </si>
  <si>
    <t>ACTUALIZACIÓN DEL PAAC Y EL PII</t>
  </si>
  <si>
    <t xml:space="preserve">PLAN INTEGRADO DE ACCIÓN ANUAL 2023 - TABLERO DE CONTROL </t>
  </si>
  <si>
    <t>PLAN</t>
  </si>
  <si>
    <t>AVANCE I TRIM</t>
  </si>
  <si>
    <t>SECTORIAL</t>
  </si>
  <si>
    <t xml:space="preserve">INSTITUCIONAL </t>
  </si>
  <si>
    <t>PINAR</t>
  </si>
  <si>
    <t>PAA</t>
  </si>
  <si>
    <t>PETH</t>
  </si>
  <si>
    <t>PIC</t>
  </si>
  <si>
    <t>PII</t>
  </si>
  <si>
    <t>PAAC</t>
  </si>
  <si>
    <t>PSST</t>
  </si>
  <si>
    <t>PETI</t>
  </si>
  <si>
    <t>PTRSPI</t>
  </si>
  <si>
    <t>PSPI</t>
  </si>
  <si>
    <t xml:space="preserve">PLAN INTEGRADO DE ACCIÓN ANUAL 2023 - SECTORIAL </t>
  </si>
  <si>
    <t>CONTROL EJECUCIÓN</t>
  </si>
  <si>
    <t>ROJO</t>
  </si>
  <si>
    <t>CONTROL CUMPLIMIENTO</t>
  </si>
  <si>
    <t>VERDE</t>
  </si>
  <si>
    <t>RESPONSABLE SEGUIMIENTO:</t>
  </si>
  <si>
    <t>GERENCIA DE INNOVACIÓN Y PROCESOS</t>
  </si>
  <si>
    <t>TOTAL PROGRAMADO:</t>
  </si>
  <si>
    <t>TOTAL EJECUTADO GLOBAL:</t>
  </si>
  <si>
    <t>META</t>
  </si>
  <si>
    <t xml:space="preserve">TOTAL CUMPLIMIENTO I TRIMESTRE </t>
  </si>
  <si>
    <t>TOTAL CUMPLIMIENTO II TRIMESTRE</t>
  </si>
  <si>
    <t>TOTAL CUMPLIMIENTO III TRIMESTRE</t>
  </si>
  <si>
    <t>TOTAL CUMPLIMIENTO IV TRIMESTRE</t>
  </si>
  <si>
    <t>PARTE 1. ALINEACIÓN PLANEACIÓN ESTRATÉGICA</t>
  </si>
  <si>
    <t>PARTE 2. PLANIFICACIÓN ACTIVIDADES 2023</t>
  </si>
  <si>
    <t>PARTE 3. SEGUIMIENTO CUANTITATIVO</t>
  </si>
  <si>
    <t>PARTE 4. SEGUIMIENTO CUALITATIVO</t>
  </si>
  <si>
    <t xml:space="preserve">No. </t>
  </si>
  <si>
    <t>OBJETIVO ESTRATÉGICO  SECTORIAL</t>
  </si>
  <si>
    <t>OBJETIVO ESTRATEGICO PREVISORA</t>
  </si>
  <si>
    <t>DIMENSIÓN MIPG</t>
  </si>
  <si>
    <t>POLÍTICA MIPG</t>
  </si>
  <si>
    <t>RESPONSABLE</t>
  </si>
  <si>
    <t>INICIATIVA</t>
  </si>
  <si>
    <t>DESCRIPCIÓN TAREA</t>
  </si>
  <si>
    <t xml:space="preserve">MEDICIÓN   </t>
  </si>
  <si>
    <t>RECURSOS</t>
  </si>
  <si>
    <t>PRESUPUESTO (FUENTE DE FINANCIAMIENTO)</t>
  </si>
  <si>
    <t>SEGUIMIENTO</t>
  </si>
  <si>
    <t>FECHA INICIAL</t>
  </si>
  <si>
    <t>FECHA FINAL</t>
  </si>
  <si>
    <t>PLANIFICACIÓN</t>
  </si>
  <si>
    <t>% Peso actividad dentro del plan</t>
  </si>
  <si>
    <t xml:space="preserve">Total % de avance </t>
  </si>
  <si>
    <t>ENERO</t>
  </si>
  <si>
    <t>FEBRERO</t>
  </si>
  <si>
    <t>MARZO</t>
  </si>
  <si>
    <t>ABRIL</t>
  </si>
  <si>
    <t>MAYO</t>
  </si>
  <si>
    <t>JUNIO</t>
  </si>
  <si>
    <t>JULIO</t>
  </si>
  <si>
    <t>AGOSTO</t>
  </si>
  <si>
    <t>SEPTIEMBRE</t>
  </si>
  <si>
    <t>OCTUBRE</t>
  </si>
  <si>
    <t>NOVIEMBRE</t>
  </si>
  <si>
    <t>DICIEMBRE</t>
  </si>
  <si>
    <t>ENERO 2024</t>
  </si>
  <si>
    <t>SEGUIMIENTO I TRIMESTRE</t>
  </si>
  <si>
    <t>SEGUIMIENTO II TRIMESTRE</t>
  </si>
  <si>
    <t>SEGUIMIENTO III TRIMESTRE</t>
  </si>
  <si>
    <t>SEGUIMIENTO IV TRIMESTRE</t>
  </si>
  <si>
    <t xml:space="preserve">GR1. Fortalecer los mecanismos para una cultura de transparencia y participación ciudadana en las entidades del Sector Hacienda. </t>
  </si>
  <si>
    <t>Crear valor de manera apropiada, diferencial y continua para los clientes objetivo de Previsora</t>
  </si>
  <si>
    <t>DIMENSIÓN 3. GESTIÓN CON VALORES PARA RESULTADOS</t>
  </si>
  <si>
    <t>D3. SERVICIO AL CIUDADANO</t>
  </si>
  <si>
    <t xml:space="preserve">PLAN SECTORIAL </t>
  </si>
  <si>
    <t>GERENCIA DE SERVICIO</t>
  </si>
  <si>
    <t>Participar en las actividades que se definan en las mesas sectoriales de relacionamiento ciudadano</t>
  </si>
  <si>
    <t>Evidencia de asistencia
Insumos producto de mesas de trabajo,
Registro SMGI</t>
  </si>
  <si>
    <t>RECURSOS HUMANOS</t>
  </si>
  <si>
    <t>N/A</t>
  </si>
  <si>
    <t>Trimestral</t>
  </si>
  <si>
    <t>Ejecutado</t>
  </si>
  <si>
    <t>se participo en la sesion programada el 26 de enero - Capacitacion masiva servicio a la ciudadania</t>
  </si>
  <si>
    <t>se participo en la sesion programada el 27 de junio</t>
  </si>
  <si>
    <t>Programado</t>
  </si>
  <si>
    <t>DIMENSIÓN 5. INFORMACIÓN Y COMUNICACIÓN</t>
  </si>
  <si>
    <t>D5. TRANSPARENCIA, ACCESO A LA INFORMACIÓN PÚBLICA Y LUCHA CONTRA LA CORRUPCIÓN</t>
  </si>
  <si>
    <t>OFICINA DE CONTROL INTERNO DISCIPLINARIO</t>
  </si>
  <si>
    <t>Asistencia y participación entidades del Sector Hacienda.</t>
  </si>
  <si>
    <t>RECURSOS HUMANOS - TÉCNOLOGICOS</t>
  </si>
  <si>
    <t xml:space="preserve">Se asistió a convocatorias desde el MHCP los dias 09 de febrero y 29 de marzo del 2023 respectivamente. Se adjuntan evidencias. </t>
  </si>
  <si>
    <t>Se asistió a la convocatoria desde el MHCP los días 11 de mayo y 29 de junio de 2023 respectivamente. Se adjuntan evidencias</t>
  </si>
  <si>
    <t>GR2. Fortalecer  la gestión de conocimiento e innovación  en las entidades del Sector Hacienda.</t>
  </si>
  <si>
    <t>Fortalecer la innovación para crear y mejorar productos y servicios, promover la eficiencia de la compañía y consolidar los factores de competitividad</t>
  </si>
  <si>
    <t>DIMENSIÓN 6. GESTIÓN DEL CONOCIMIENTO</t>
  </si>
  <si>
    <t>D6. GESTIÓN DEL CONOCIMIENTO Y LA INNOVACIÓN</t>
  </si>
  <si>
    <t>Participar en las actividades definidas en la política de gestión de conocimiento e innovación</t>
  </si>
  <si>
    <t>No se han recibido convocatorias para participar en las mesas y actividades sectoriales de la Política de Gestión del Conocimiento y la Innovación</t>
  </si>
  <si>
    <t>Optimizar el modelo operativo con procesos transversales para ser más ágiles, flexibles y eficaces</t>
  </si>
  <si>
    <t>D5. GESTIÓN DOCUMENTAL</t>
  </si>
  <si>
    <t>SUBGERENCIA DE RECURSOS FÍSICOS</t>
  </si>
  <si>
    <t>Participar en las mesas y actividades sectoriales de gestión documental</t>
  </si>
  <si>
    <t>No se han recibido convocatorias para participar en las mesas y actividades sectoriales de gestión documental</t>
  </si>
  <si>
    <t xml:space="preserve">Se hace participación en la convocatoria del Jueves 22 de junio del 2023 - El propósito fue el de dar a conocer los resultados del último Diagnóstico para la Consolidación y Fortalecimiento de la Gestión Documental.   </t>
  </si>
  <si>
    <t>GR3. Promover la transformación digital en las entidades del sector para contribuir a la modernización de los procesos de entrega productos y Servicios de cada entidad,</t>
  </si>
  <si>
    <t>Implementar la transformación digital de Previsora y asegurar las capacidades, infraestructura tecnológica y procesos eficientes para lograr una experiencia empática y ágil con los clientes e intermediarios</t>
  </si>
  <si>
    <t>D3. GOBIERNO DIGITAL</t>
  </si>
  <si>
    <t>GERENCIA DE TECNOLOGIAS DE LA INFORMACIÓN</t>
  </si>
  <si>
    <t xml:space="preserve">No se recibieron convocatorias sectoriales frente al seguimiento a la apropiación de tecnologías emergentes por parte del Ministerio de Hacienda y Crédito Público. </t>
  </si>
  <si>
    <t>GC1. Fortalecer las capacidades del Talento Humano y promover la cultura de integridad del Sector Hacienda.</t>
  </si>
  <si>
    <t>Integrar y potenciar las capacidades de la organización, competencias y valores del equipo humano requeridas para ser una organización colaborativa y flexible que cumple su misión</t>
  </si>
  <si>
    <t>DIMENSIÓN 1. TALENTO HUMANO</t>
  </si>
  <si>
    <t>D1. TALENTO HUMANO</t>
  </si>
  <si>
    <t>GERENCIA DE TALENTO HUMANO</t>
  </si>
  <si>
    <t>Participar en las mesas sectoriales de la política de integridad</t>
  </si>
  <si>
    <t>La Gerente de Talento Humano Tatiana Urrutia y la Secretaria General Leidy Mojica, participaron en la Mesa Sectorial Plan de Formalizacion del Empleo Publico en Equidad desarrollada el 21 de abril de 2023 en el auditorio del DAFP.</t>
  </si>
  <si>
    <t>GC2. Fortalecer la gestion pública  a través de procesos administrativos, financieros y jurídicos del Sector Hacienda.</t>
  </si>
  <si>
    <t>D3. DEFENSA JURÍDICA</t>
  </si>
  <si>
    <t>GERENCIA DE LITIGIOS</t>
  </si>
  <si>
    <t xml:space="preserve">Participar en las mesas sectoriales de la política de Defensa Jurídica del Sector Hacienda </t>
  </si>
  <si>
    <t>Actas de subcomité y listas de asistencia Dos veces al año</t>
  </si>
  <si>
    <t>Semestral</t>
  </si>
  <si>
    <t xml:space="preserve">No se recibió citación o invitación para participar de la mesa sectorial de política de defensa jurídica sector hacienda. </t>
  </si>
  <si>
    <t>No se recibió citación o invitación para participar de la mesa sectorial de política de defensa jurídica sector hacienda. A la espera de confirmar si la primera sesión se realizó antes del 30 de junio de 2023.</t>
  </si>
  <si>
    <t>EJECUTADO</t>
  </si>
  <si>
    <t>Ejecutado por semana</t>
  </si>
  <si>
    <t>Ejecutado por mes</t>
  </si>
  <si>
    <t>Ejecutado por trimestre</t>
  </si>
  <si>
    <t>Ejecutado por año acumulado</t>
  </si>
  <si>
    <t>PROGRAMADO</t>
  </si>
  <si>
    <t>Programado por semana</t>
  </si>
  <si>
    <t>Programado por mes</t>
  </si>
  <si>
    <t>Programado por trimestre</t>
  </si>
  <si>
    <t>Programado por año acumulado</t>
  </si>
  <si>
    <t>% C SEMANAL A / META SEMANAL A</t>
  </si>
  <si>
    <t>% C SEMANAL ACUMULADO / META PW</t>
  </si>
  <si>
    <t>%C MES / META MES</t>
  </si>
  <si>
    <t>%C MES ACUMULADO / META PW</t>
  </si>
  <si>
    <t>%C TRIMESTRE / META TRIMESTRE A</t>
  </si>
  <si>
    <t>%C TRIMESTRE / META PW</t>
  </si>
  <si>
    <t xml:space="preserve">% DE AVANCE PW  </t>
  </si>
  <si>
    <t xml:space="preserve">% META PROGRAMADA  </t>
  </si>
  <si>
    <t xml:space="preserve">% CUMPLIMIENTO  </t>
  </si>
  <si>
    <t>PLAN INTEGRADO DE ACCIÓN ANUAL 2023 - INSTITUCIONAL</t>
  </si>
  <si>
    <t>GERENCIA DE INNOVACIÓN Y PROCESOS
GERENCIA DE PLANEACIÓN</t>
  </si>
  <si>
    <t>GR3. Fortalecer la gestión organizacional y por procesos  de las entidades del Sector Hacienda</t>
  </si>
  <si>
    <t>D3. FORTALECIMIENTO ORGANIZACIONAL Y SIMPLIFICACIÓN DE PROCESOS</t>
  </si>
  <si>
    <t xml:space="preserve">PLAN INSTITUCIONAL </t>
  </si>
  <si>
    <t>Optimizar los procesos misionales propios y tercerizados mediante un esquema de automatización</t>
  </si>
  <si>
    <t>Cumplimiento del plan de automatización (Contrato Marco de Automatización); medición bajo el esquema de gestión de proyectos.</t>
  </si>
  <si>
    <t>Cumplimiento gestión del proyecto: (% Avance Real / % Planeado).
Nota: Basado en un cronograma definido para alcanzar el 100% del alcance</t>
  </si>
  <si>
    <t>Gastos de Operación - Recursos Propios</t>
  </si>
  <si>
    <t>El resultado del indicador (88,5/100) se sustenta en la relación Ejecutado / Programado de cada uno de los frentes de automatización que se están adelantando con los proveedores OFICOMCO y ENTERDEV, en relación con las 5 automatizaciones en curso de la Compañía y en los cronogramas de ejecución de cada uno de dichos frentes con corte al 30 de marzo de 2023.</t>
  </si>
  <si>
    <t>El cronograma del robot de Automóviles de Enterdev se encuentra suspendido mientras se recibe retroalimentación de Sistrán sobre los ajustes y correcciones. El robot de incendio cumple con el avance esperado. Los robot de Indemnizaciones se encuentran en etapa final de desarrollo, implementación y estabilización. De acuerdo con lo anterior el promedio de ejecución es del 94%.</t>
  </si>
  <si>
    <t>SUBGERENCIA DE MEJORAMIENTO DE PROCESOS</t>
  </si>
  <si>
    <t>Cumplimiento del Plan de Mantenimiento del SGI (Sistema de Gestión Integral)</t>
  </si>
  <si>
    <t xml:space="preserve">Cumplir con el Plan de Mantenimiento del SGI  para cerrar brechas identificadas la medición del MIPG, y mantenimiento de las normas ISO 9001, ISO 14001 y su integración con otros sistemas de gestión de la compañía no certificados. </t>
  </si>
  <si>
    <t>Plan medido (% Avance Real / % Planeado).
Nota: Basado en un cronograma definido para alcanzar el 100% del alcance</t>
  </si>
  <si>
    <t>RECURSOS HUMANOS
RECURSOS FINANCIEROS
RECURSOS TECNOLÓGICOS</t>
  </si>
  <si>
    <t xml:space="preserve">Durante el primer trimestre del 2023, se realizó la planificación del año, incluyendo actividades de diagnóstico para la integración con el sistema de gestión de seguridad de la información, del innovación y de ERF, se realizaron las actividades de mantenimiento del SGI como son seguimiento a acciones de mejora, seguimiento a solicitudes documentales, socialización de documentos actualizados en Isolución mensualmente entre otras. 
</t>
  </si>
  <si>
    <t xml:space="preserve">Durante el segundo trimestre del 2023, se continuó avanzando con el plan de integración del SGI, donde se realizaron actividades cómo: validación de la matriz de partes interesadas para todos los Sistemas de gestión en integración, validación de elementos integrables del modelo ERF y el SGSI, Entendimiento del Elemento 2. Definición y Orientación Estratégica del Modelo EFR, revisión y propuesta de ajuste de la Política y Objetivos del SGI enfocada a la integración de todos los Sistemas, se avanzó en la posibilidad de integrar las políticas de  gestión de riesgos, se lanzo la trivia del SGI para socializar roles y responsabilidad del SGC, SGA y SGST, y se realizó sensibilización sobre las Salidas No conformes (SNC) en el proceso de Emisión para las sucursales, se revisó el Elemento 8. Cadena de Valor del Modelo EFR, así como requisitos del SG-SI para su integración dentro del proceso de contratación, se inició análisis y respuesta del FURAG, Se realizó el seguimiento al Plan de Acción Anual del Trimestre I, se realizó el reporte consolidado de SNC del Trimestre I, Se realizó el seguimiento a acciones vencidas y próximas a vencer de manera mensual, se realizó el seguimiento a las solicitudes documentales que llevan más de 30 días en flujo, se realizó el seguimiento a las acciones que llevan más de 30 días sin plan de acción, Se realizó el primer comité de Gestión y Desempeño, se generaron los seguimientos al registro de indicadores en el BSC y alertas a los indicadores en Rojo, se generaron los informes mensuales de acciones y solicitudes documentales entre otras. 
</t>
  </si>
  <si>
    <t>Lograr sostenibilidad económica, social, ambiental y de buen gobierno buscando rentabilidad para los accionistas</t>
  </si>
  <si>
    <t>D7. CONTROL INTERNO</t>
  </si>
  <si>
    <t>Ejecutar actividades de Mantenimiento del Sistema de Control Interno de la compañía de conformidad con las brechas identificadas en la medición del MECI y FURAG.</t>
  </si>
  <si>
    <t>Realizar la actualización de la Circular 338 - Políticas relacionadas con el Sistema de Control Interno, de acuerdo con el análisis de la evaluación al Sistema de Control Interno realizado por la Oficina de Control Interno</t>
  </si>
  <si>
    <t>Meta: una (1) Circular actualizada y publicada en ISOLUCIÓN</t>
  </si>
  <si>
    <t>Se realiza sesión de trabajo convocada desde la Función de Cumplimiento Normativo con el fin de socializar la Circular Externa 008 de 2023 relacionada con las nuevas políticas de control interno. El plazo de implementación va hasta mayo de 2024, no obstante se continuará con la elaboración de plan de trabajo para avanzar en 2023.</t>
  </si>
  <si>
    <t xml:space="preserve">GR1. Fortalecer las relaciones de las entidades del Sector Hacienda con sus grupos de valor </t>
  </si>
  <si>
    <t>D3. PARTICIPACIÓN CIUDADANA EN LA GESTIÓN PÚBLICA</t>
  </si>
  <si>
    <t>Fortalecer la implementación de la política Participación Ciudadana</t>
  </si>
  <si>
    <t>Publicar para retroalimentación de la ciudadania el PAAC y PIAA 2023 antes de su publicación en pagina web</t>
  </si>
  <si>
    <t>Banner y acceso a borrador planes</t>
  </si>
  <si>
    <t xml:space="preserve">La versión 2 del Plan de Acción se publicó en la página Web de la Compañía con los ajustes del PETI y el PSPI. </t>
  </si>
  <si>
    <t>Cumplir con el Plan de Mantenimiento del SGIN  para cerrar brechas identificadas en la medición del MIPG y respaldar el Sello de Buenas Prácticas de Innovación.</t>
  </si>
  <si>
    <t>Plan medido (% Avance Real / % Planeado).
Nota: Basado en un cronograma definido para alcanzar el 100% del alcance</t>
  </si>
  <si>
    <t>Se realizo seguimiento a la solicitud de complemento al DOFA, se realizó  revisión de la Matriz de partes interesadas, se inicio la actualización del Manual del SGIN, se participó en el inicio de revisión de la Política del SGI y se realizaron reuniones de seguimiento de Propiedad Intelectual.</t>
  </si>
  <si>
    <t>Se realizo seguimiento a la solicitud de complemento al DOFA, se finalizó la revisión de la Matriz de partes interesadas, se continuo con la actualización del Manual del SGIN y se inició la revisión de la documentación del proceso del SGIN, se finalizó la revisión de la Política del SGI y se incorporó otro indicador para medir el objetivo de innovación, se realizaron reuniones de seguimiento de Propiedad Intelectual, se ajusto la propuesta para compilar el to be de la Unidad de Innovación.</t>
  </si>
  <si>
    <t>abril</t>
  </si>
  <si>
    <t>Implementar un modelo de alianzas estratégicas para potenciar la propuesta de valor</t>
  </si>
  <si>
    <t>GERENCIA DE PLANEACIÓN</t>
  </si>
  <si>
    <t>Diseñar Modelo de alianzas estratégicas a partir de ecosistema de actores que ayuden a apalancar la propuesta de valor</t>
  </si>
  <si>
    <t>Gestión proyecto Modelo de Alianzas Estratégicas: Implementación Fase l y Gestión Preliminar Fases ll y lll</t>
  </si>
  <si>
    <t>Cumplimiento gestión del proyecto: (% Avance Real / % Planeado).
Nota: Basado en un cronograma definido para alcanzar el 100% del alcance</t>
  </si>
  <si>
    <t>RECURSOS HUMANOS
RECURSOS FINANCIEROS
RECURSOS FINANCIEROS
RECURSOS TECNOLÓGICOS</t>
  </si>
  <si>
    <t>Mensual</t>
  </si>
  <si>
    <t>Se extrae resultado de indicador medido en el plan estratégico para el I Trimestre, el cual arroja como resultado 100% global para el periodo medido. 
Fuente: https://pr0980bsc/scorecards/18568</t>
  </si>
  <si>
    <t>Se extrae resultado de indicador medido en el plan estratégico para el II Trimestre, el cual arroja como resultado 97.8% global para el periodo medido. 
Fuente: 
https://balancedscorecard.previsora.col/scorecards/18568/metrics</t>
  </si>
  <si>
    <t>GR2. Fortalecer la Gestión TIC y de la Información en las Entidades del Sector Hacienda</t>
  </si>
  <si>
    <t xml:space="preserve">Alcanzar el índice colaborador horizontal en la medición de madurez digital  </t>
  </si>
  <si>
    <t>Medición utilizando el instrumento de madurez digital establecido por la PWC y ajustado por Previsora.</t>
  </si>
  <si>
    <t>Índice de madurez digital: Media geométrica de los resultados de cada dimensión</t>
  </si>
  <si>
    <t>Se realizará la evaluación de madurez del 24 al 31 de julio y los resultados serán procesados en el mes de agosto.  
No Obstante se registra avance del Plan de Trabajo de Madurez Digital, el cual queda a corte 30 junio en el 21%</t>
  </si>
  <si>
    <t>Adoptar decisiones apalancadas en un modelo de analítica de datos que trasciendan a toda la organización</t>
  </si>
  <si>
    <t>Alcanzar el coeficiente capacidades analíticas de la Compañía</t>
  </si>
  <si>
    <t>Alcanzar al 2025 el nivel de colaborador horizontal bajo el esquema de madurez digital en la dimensión de datos y analítica establecido por la PWC y ajustado por Previsora.</t>
  </si>
  <si>
    <t>Coeficiente capacidades analíticas: % promedio de la evaluación en la dimensión de datos y analítica.</t>
  </si>
  <si>
    <t>Implementar un Modelo de gobierno y analítica de datos</t>
  </si>
  <si>
    <t>Cumplimiento gestión del proyecto estratégico de ingesta y centralización de información</t>
  </si>
  <si>
    <t>Cumplimiento gestión del proyecto: (% Avance Real / % Planeado).
Nota: Basado en un cronograma definido para alcanzar el 100% del alcance.</t>
  </si>
  <si>
    <t>GM1. Contribuir al logro de los pactos del Plan Nacional  de Desarrollo en los cuales participa el Sector Hacienda</t>
  </si>
  <si>
    <t>DIMENSIÓN 4. EVALUACIÓN DE RESULTADOS</t>
  </si>
  <si>
    <t>D2. GESTIÓN PRESUPUESTAL Y EFICIENCIA DEL GASTO PÚBLICO</t>
  </si>
  <si>
    <t>Cumplimiento del presupuesto del ramo agropecuario</t>
  </si>
  <si>
    <t>Cumplir el presupuesto de primas emitidas del producto agropecuario.</t>
  </si>
  <si>
    <t>(primas emitidas ramo/  presupuesto ramo) x 100.</t>
  </si>
  <si>
    <t>Se extrae resultado de indicador medido en el plan estratégico para el I Trimestre, el cual arroja como resultado 111.5%  global para el periodo medido. 
Fuente: https://pr0980bsc/scorecards/18568</t>
  </si>
  <si>
    <t>Se extrae resultado de indicador medido en el plan estratégico para el II Trimestre, el cual arroja como resultado 35.7%  global para el periodo medido. (Por febajo de la meta)
https://balancedscorecard.previsora.col/scorecards/18509/metrics</t>
  </si>
  <si>
    <t xml:space="preserve">Participación de inversiones verdes dentro del portafolio </t>
  </si>
  <si>
    <t>Porcentaje del portafolio de inversión cuyos emisores cuentan con actividades de taxonomía verde.</t>
  </si>
  <si>
    <t>M/A</t>
  </si>
  <si>
    <t xml:space="preserve">Se extrae resultado de indicador medido en el plan estratégico para el I Trimestre, el cual arroja como resultado 93.9%  global para el periodo medido. </t>
  </si>
  <si>
    <t>PLAN INTEGRADO DE ACCIÓN ANUAL 2023 - PLAN INSTITUCIONAL DE ARCHIVO</t>
  </si>
  <si>
    <t>OBJETIVO PINAR</t>
  </si>
  <si>
    <t>ACTIVIDAD ANUAL</t>
  </si>
  <si>
    <t>GCI1. Fortalecer las capacidades del talento humano y la innovación en las entidades del Sector Hacienda</t>
  </si>
  <si>
    <t xml:space="preserve">Subgerencia de Recursos Físicos </t>
  </si>
  <si>
    <t>Elaborar, implementar y hacer seguimiento a los instrumentos archivisticos que contempla la normatividad vigente</t>
  </si>
  <si>
    <t>Actualización Instrumentos archivísticos (Programa de gestión documental PGD - Plan Institucional de Archivos PINAR) Elaboración de Tablas de control de Acceso TCA</t>
  </si>
  <si>
    <t>Actividades ejecutadas del Plan Institucional de Archivos - PINAR  /Actividades planeadas en el Plan Institucional de Archivos -Pinar</t>
  </si>
  <si>
    <t>Presupuesto contemplado en Servicios de manejo documental</t>
  </si>
  <si>
    <t xml:space="preserve">Presupuesto contemplado Gastos de archivo y microfilmación </t>
  </si>
  <si>
    <t>Se realiza la conformación del banco terminológico – BANTER el cual estandariza la denominación de series y subseries documentales producidas en razón de las funciones administrativas de la Previsora S.A.</t>
  </si>
  <si>
    <t xml:space="preserve">
Conformación estructura linea del tiempo Tablas de Retención Documental - TRD </t>
  </si>
  <si>
    <t>Subgerencia de Recursos Físicos</t>
  </si>
  <si>
    <t xml:space="preserve">Asegurar que los documentos que se produzcan y tramitan en medio electrónico, toda su gestión  y permanencia durante su ciclo vital se desarrolle en este mismo medio, conformando expedientes electrónicos. </t>
  </si>
  <si>
    <t>Implementación Sistema de gestión de documentos electrónicos de Archivo - SGDEA</t>
  </si>
  <si>
    <t xml:space="preserve">Se ejecuta el plan de contingencia de archivos electrónicos el cual contempla la conformación de expedientes digitales de acuerdo con las tablas de retención documental TRD convalidadas en la Previsora S.A.
Incluye capacitaciones a los funcionarios de la previsora en Organización digital – acompañamiento al proceso de migración, depuración. 
</t>
  </si>
  <si>
    <t xml:space="preserve">Se estructura el documento de protocolo de migración expedientes electrónicos de archivo. </t>
  </si>
  <si>
    <t xml:space="preserve">Organizar el Fondo Documental Acumulado de la compañía con el fin de racionalizar recursos de custodia y almacenamiento, garantizando el ciclo vital de los documentos. </t>
  </si>
  <si>
    <t>Elaboración Tablas de valoración Documental</t>
  </si>
  <si>
    <t xml:space="preserve">Se consolidan los inventarios en estado natural – el cual será insumo fundamental para la construcción de las tablas de valoración documental TVD – con el fin de mejorar los fondos documentales de la Previsora S.A. reduciendo la ocupación de espacio físico del archivo optimizando la gestión de los documentos, llevando a la organización a disminuir los costos operativos asociados al almacenamiento, tiempo y riesgo por el manejo inadecuado de los documentos. </t>
  </si>
  <si>
    <t xml:space="preserve">Consolidación de inventarios en estado natural – bodegas cali, medellín, barranquilla y centro de acopio ( bogotá) el cual será insumo fundamental para la construcción de las tablas de valoración documental TVD – con el fin de mejorar los fondos documentales de la Previsora S.A. reduciendo la ocupación de espacio físico del archivo optimizando la gestión de los documentos, llevando a la organización a disminuir los costos operativos asociados al almacenamiento, tiempo y riesgo por el manejo inadecuado de los documentos. </t>
  </si>
  <si>
    <t>Elaborar, administrar y hacer seguimiento al sistema integrado de Conservación, teniendo en cuenta los diferentes medios y formatos en los que se produce la documentación con el fin de asegurar las condiciones óptimas de los registros y expedientes de la compañia.</t>
  </si>
  <si>
    <t>Actualización Instrumentos archivísticos (Sistema Integrado de Conservación SIC)  - Elaboración el Plan de Preservación Digital.</t>
  </si>
  <si>
    <t xml:space="preserve">Se realiza capacitación de acuerdo con el Programa de monitoreo y control de condiciones ambientales definiendo los formatos, el reporte mensual por parte de las sucursales. 
Seguimiento al  Programa de Inspección y Mantenimiento con la implementación del formato de Control de Ingreso y Salida de Personas - Bodega de Archivo FO-DOC-015. 
</t>
  </si>
  <si>
    <t xml:space="preserve">Seguimiento al Programa de monitoreo y control de condiciones ambientales definiendo los formatos, generando reporte mensual por parte de las sucursales. </t>
  </si>
  <si>
    <t xml:space="preserve">Gestionar la convalidación ante el ente rector de las TRD a fin de garantizar la retención y disposición final de los documentos de la Compañia. </t>
  </si>
  <si>
    <t xml:space="preserve">gestionar la Inscripción en el Registro único de Series Documentales — RUSD ante el ente rector AGN </t>
  </si>
  <si>
    <t>Se consolidan las evidencias para ser presentadas en el mes de Abril.</t>
  </si>
  <si>
    <t xml:space="preserve">Se estructura el documento para la presentación ante el Archivo General de la Nación. </t>
  </si>
  <si>
    <t xml:space="preserve">Sensibilizar, capacitar y divulgar a los servidores de la Compañía sobre la importancia del manejo de la información que produce en razón de sus funciones, haciendo énfasis en el manejo de OnBase y los procesos y procedimientos de gestión documental. </t>
  </si>
  <si>
    <t>Plan de Capacitación funcionarios, Participación Mesas Sectoriales en Gestión Documental</t>
  </si>
  <si>
    <t>Se apoya en la capacitación a nuevos funcionarios de la entidad, y se tiene proyectado para el 21 de abril capacitación a toda la compañia "Sensibilización en Procesos Documentales Físicos y Digitales"</t>
  </si>
  <si>
    <t xml:space="preserve">Se realiza la capacitación a 380 funcionarios de la compañia en "Sensibilización en Procesos Documentales Físicos y Digitales".  </t>
  </si>
  <si>
    <t>PLAN INTEGRADO DE ACCIÓN ANUAL 2023 - PLAN ESTRATÉGICO DE TALENTO HUMANO</t>
  </si>
  <si>
    <t>TOTAL CUMPLIMIENTO I SEMESTRE</t>
  </si>
  <si>
    <t>TOTAL CUMPLIMIENTO II SEMESTRE</t>
  </si>
  <si>
    <t>Cumplimiento del Plan Institucional de Capacitación</t>
  </si>
  <si>
    <t>Actividades ejecutadas del Plan de Capacitación/Actividades planeadas en el Plan de Capacitación)x100</t>
  </si>
  <si>
    <t>Presupuesto definido para el rubro de Capacitación y de acuerdo al programa y población final</t>
  </si>
  <si>
    <t>Presupuesto  autorizado para el rubro de Capacitación de personal y congresos, foros, seminarios y similares</t>
  </si>
  <si>
    <t>Febrero</t>
  </si>
  <si>
    <t>Diciembre</t>
  </si>
  <si>
    <t>Se gestionaron todas las actividades planeadas en el Plan de Formación para el primer Semestre</t>
  </si>
  <si>
    <t>Cumplimiento del Plan de incentivos institucionales</t>
  </si>
  <si>
    <t>(Actividades ejecutadas del plan de incentivos/ actividades planeadas en el plan de incentivos)*100</t>
  </si>
  <si>
    <t>Presupuesto definido para el rubro de Premios Concursos Internos</t>
  </si>
  <si>
    <t>Se gestionaron todas las actividades planeadas en el Plan Institucional de Incentivos para el primer Semestre</t>
  </si>
  <si>
    <t>Cumplir con el Plan Anual de Seguridad y Salud en el Trabajo</t>
  </si>
  <si>
    <t>(Actividades ejecutadas del plan de seguridad y salud en el trabajo/ actividades planeadas en el plan de seguridad y salud en el trabajo)*100.</t>
  </si>
  <si>
    <t>Presupuesto definido para el Rubro de Programas de Bienestar Social y Recreación</t>
  </si>
  <si>
    <t>Presupuesto definido para el Rubro de Programas de Binestar Social y Recreación</t>
  </si>
  <si>
    <t>Noviembre</t>
  </si>
  <si>
    <t>Se gestionaron todas las actividades planeadas en el Plan Anual del SG-SST Para el primer semestre</t>
  </si>
  <si>
    <t>Gestión de alto desempeño</t>
  </si>
  <si>
    <t>(Número de empleados con resultado de evaluación del 85% o mas / Número total de evaluaciones realizadas) x 100</t>
  </si>
  <si>
    <t>Presupuesto definido para el Rubro de Selección de Personal</t>
  </si>
  <si>
    <t>Anual</t>
  </si>
  <si>
    <t>Enero</t>
  </si>
  <si>
    <t>PLAN INTEGRADO DE ACCIÓN ANUAL 2023 - PLAN ANUAL DE ADQUISICIONES</t>
  </si>
  <si>
    <t>GERENCIA DE CONTRATACIÓN</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</si>
  <si>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</si>
  <si>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</si>
  <si>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</si>
  <si>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</si>
  <si>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</si>
  <si>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</si>
  <si>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</si>
  <si>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</si>
  <si>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</si>
  <si>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</si>
  <si>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</si>
  <si>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</si>
  <si>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</si>
  <si>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</si>
  <si>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</si>
  <si>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</si>
  <si>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</si>
  <si>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</si>
  <si>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</si>
  <si>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52141502</t>
  </si>
  <si>
    <t>Para uso de los funcionarios, calentar almuerzos</t>
  </si>
  <si>
    <t>2</t>
  </si>
  <si>
    <t>15</t>
  </si>
  <si>
    <t>0</t>
  </si>
  <si>
    <t>CCE-11||03</t>
  </si>
  <si>
    <t>1</t>
  </si>
  <si>
    <t>CO-CAL-17001</t>
  </si>
  <si>
    <t>YULIANA LARA</t>
  </si>
  <si>
    <t>3485757</t>
  </si>
  <si>
    <t>contratacion@previsora.gov.co</t>
  </si>
  <si>
    <t>56101522</t>
  </si>
  <si>
    <t>Para uso de los funcionarios</t>
  </si>
  <si>
    <t>72101511</t>
  </si>
  <si>
    <t>Mantenimiento de Aires Acondicionados</t>
  </si>
  <si>
    <t>365</t>
  </si>
  <si>
    <t>80131500</t>
  </si>
  <si>
    <t>arrendamiento de la oficina</t>
  </si>
  <si>
    <t>6</t>
  </si>
  <si>
    <t>Administracion oficina</t>
  </si>
  <si>
    <t>80131502</t>
  </si>
  <si>
    <t>Arrendamiento parqueaderos para funcionarios de la sucursal</t>
  </si>
  <si>
    <t>40101900</t>
  </si>
  <si>
    <t>Reparaciones locativas en sala de ventas por humedad</t>
  </si>
  <si>
    <t>4</t>
  </si>
  <si>
    <t>CO-QUI-63001</t>
  </si>
  <si>
    <t>DARIO MARIN</t>
  </si>
  <si>
    <t>72101510</t>
  </si>
  <si>
    <t>Arreglo plomeria en cocina sucursal</t>
  </si>
  <si>
    <t>CO-SUC-70001</t>
  </si>
  <si>
    <t>JUAN CARLOS BEJARANO</t>
  </si>
  <si>
    <t>Reposicion de sillas funcionarios Sucursal</t>
  </si>
  <si>
    <t>3</t>
  </si>
  <si>
    <t>30</t>
  </si>
  <si>
    <t>72151302</t>
  </si>
  <si>
    <t>Servicio de Pintura oficina</t>
  </si>
  <si>
    <t>CO-VAC-76001</t>
  </si>
  <si>
    <t xml:space="preserve">CARMEN CHARRIA </t>
  </si>
  <si>
    <t>Reposicion de sillas para funcionario por deterioro</t>
  </si>
  <si>
    <t>56112102</t>
  </si>
  <si>
    <t xml:space="preserve">Reposicion de sillas para sala de juntas </t>
  </si>
  <si>
    <t>48101909</t>
  </si>
  <si>
    <t>Compra de grecca para hacer el café a servicio de funcionarios de la sucursal</t>
  </si>
  <si>
    <t>10</t>
  </si>
  <si>
    <t>CO-BOL-13001</t>
  </si>
  <si>
    <t xml:space="preserve">JUAN CAMILO VILLEGAS </t>
  </si>
  <si>
    <t>Contratar servicio de Mantenimiento de aires acondicionados de la Suc. Cartagena</t>
  </si>
  <si>
    <t>73152108</t>
  </si>
  <si>
    <t>Contratar Servicio de Mantenimiento de Planta electrica</t>
  </si>
  <si>
    <t>72102900</t>
  </si>
  <si>
    <t>Servicio de pintura oficina Suc. Cartagena</t>
  </si>
  <si>
    <t>72153613</t>
  </si>
  <si>
    <t>Contratar servicio de mantenimiento de Sillas de oficina</t>
  </si>
  <si>
    <t>40101701</t>
  </si>
  <si>
    <t>compra de condensadoras de aires acondicionados</t>
  </si>
  <si>
    <t>82121503</t>
  </si>
  <si>
    <t>Contratar servicio de marcacion de carnets para asegurados de polizas AP</t>
  </si>
  <si>
    <t>78181703</t>
  </si>
  <si>
    <t>Contratar alquiler de parqueaderos de automoviles para funcionarios de la sucursal</t>
  </si>
  <si>
    <t>90</t>
  </si>
  <si>
    <t>CO-DC-11001</t>
  </si>
  <si>
    <t>JORGE ANDRES GIL</t>
  </si>
  <si>
    <t>48102001</t>
  </si>
  <si>
    <t>Compra de sillas para el comedor sucursal</t>
  </si>
  <si>
    <t>56101538</t>
  </si>
  <si>
    <t>Mesas para el comerdor sucursal</t>
  </si>
  <si>
    <t>CO-RIS-66001</t>
  </si>
  <si>
    <t>JOSE ELIAS OVIEDO</t>
  </si>
  <si>
    <t>72151300</t>
  </si>
  <si>
    <t>Pintura y Vinilos oficina</t>
  </si>
  <si>
    <t>72121103</t>
  </si>
  <si>
    <t>Adecuacion de recepacion oficina</t>
  </si>
  <si>
    <t>Arrendamiento oficina</t>
  </si>
  <si>
    <t>adquisicion silla tecnico de emision</t>
  </si>
  <si>
    <t>CO-PUT-86001</t>
  </si>
  <si>
    <t>ANA BELEN GUTIERREZ</t>
  </si>
  <si>
    <t>52141501</t>
  </si>
  <si>
    <t>Adquisicion de nevera para los funcionario de la sucursal</t>
  </si>
  <si>
    <t>Pintura de la oficina</t>
  </si>
  <si>
    <t>56101510</t>
  </si>
  <si>
    <t>division en vidrio segundo piso</t>
  </si>
  <si>
    <t>72151207</t>
  </si>
  <si>
    <t>Contratar el servicio de mantenimiento trimestral de los aires acondicionados para la sucursal florencia</t>
  </si>
  <si>
    <t>364</t>
  </si>
  <si>
    <t>CO-CAQ-18001</t>
  </si>
  <si>
    <t>DANIELA CUESTA PARRA</t>
  </si>
  <si>
    <t>80101510</t>
  </si>
  <si>
    <t>contratar el servicio de  inspecciones de riesgos para suscripcion de la sucursal florencia.</t>
  </si>
  <si>
    <t>Compra de greca para hacer el café para los funcionarios y clientes de la sucursal</t>
  </si>
  <si>
    <t>Mantenimiento sillas sucursal</t>
  </si>
  <si>
    <t>Compra sillas ergonimicas para funcionarios con el fin de reemplazar las deterioradas</t>
  </si>
  <si>
    <t>Mantenimiento pintura paredes sucursal</t>
  </si>
  <si>
    <t>Cambio cielo raso sucursal</t>
  </si>
  <si>
    <t>30191601</t>
  </si>
  <si>
    <t>Compra pasamanos para la escalera de la oficina de la gerencia</t>
  </si>
  <si>
    <t>30191600</t>
  </si>
  <si>
    <t>Compra escalera de 5 pies para la limpieza de los ventanales de la sucursal</t>
  </si>
  <si>
    <t>81112200</t>
  </si>
  <si>
    <t>Soporte SalesForce</t>
  </si>
  <si>
    <t>240</t>
  </si>
  <si>
    <t>PEDRO LUIS BERNAL SIERRA</t>
  </si>
  <si>
    <t>80151503</t>
  </si>
  <si>
    <t>PUBLICACIONES, SUSCRIPCIONES Y BIBLIOTECA</t>
  </si>
  <si>
    <t>NIDIA EMMA VELASQUEZ CORTES</t>
  </si>
  <si>
    <t>80141500</t>
  </si>
  <si>
    <t>INVESTIGACIÓN DE MERCADOS</t>
  </si>
  <si>
    <t>82111902</t>
  </si>
  <si>
    <t xml:space="preserve">Suscripcion al servicio de informacion juridica www.contratacionenlinea.co para el suministro de informacion especializada en contratacion y procedimiento administrativo estatal </t>
  </si>
  <si>
    <t>Carlos Javier Sua Forero</t>
  </si>
  <si>
    <t>Grabación y personalización carnet´s AP</t>
  </si>
  <si>
    <t>5</t>
  </si>
  <si>
    <t>200</t>
  </si>
  <si>
    <t>MARLY JOHANA PINEDA MEDINA</t>
  </si>
  <si>
    <t>50202301</t>
  </si>
  <si>
    <t>Suministro agua en botellón</t>
  </si>
  <si>
    <t>360</t>
  </si>
  <si>
    <t>Impresión de carnets para pólizas de AP y vida</t>
  </si>
  <si>
    <t>CLAUDIA ROCIO BOHORQUEZ FIGUEROA</t>
  </si>
  <si>
    <t>30 Sillas interlocutoras</t>
  </si>
  <si>
    <t>60</t>
  </si>
  <si>
    <t>82101800</t>
  </si>
  <si>
    <t>Contratacion proveedor mercadeo 360° y Comunicaciones externas y PR</t>
  </si>
  <si>
    <t>Natalia Orrego Quintero</t>
  </si>
  <si>
    <t>82101500</t>
  </si>
  <si>
    <t>Suministro de piezas gráficas impresas correspondientes al material publicitario y merchandising.</t>
  </si>
  <si>
    <t>80141600</t>
  </si>
  <si>
    <t>Comites de Gestion</t>
  </si>
  <si>
    <t>82101600</t>
  </si>
  <si>
    <t>Promocionales</t>
  </si>
  <si>
    <t>compra de 2 aires acondicionados</t>
  </si>
  <si>
    <t>CO-MET-50001</t>
  </si>
  <si>
    <t>ANGELA JIMENA GUERRERO PARRADO</t>
  </si>
  <si>
    <t>Compra de nevera para la oficina</t>
  </si>
  <si>
    <t>Mantenimiento Aires Acondicionados</t>
  </si>
  <si>
    <t>administración de riesgos en ramos</t>
  </si>
  <si>
    <t>39131709</t>
  </si>
  <si>
    <t>mantenimiento de cableado y tomas corrientes en la sucursal</t>
  </si>
  <si>
    <t>7</t>
  </si>
  <si>
    <t>72154028</t>
  </si>
  <si>
    <t>Mantenimiento del aviso de la sucursal</t>
  </si>
  <si>
    <t>46191601</t>
  </si>
  <si>
    <t>Mantenimiento Extintores</t>
  </si>
  <si>
    <t>9</t>
  </si>
  <si>
    <t>86131502</t>
  </si>
  <si>
    <t>Pintura escritorio y sillas de madera de la gerencia sucursal</t>
  </si>
  <si>
    <t>78102203</t>
  </si>
  <si>
    <t>Servicio de correo intermunicipal</t>
  </si>
  <si>
    <t>ARRIENDO OFICINA SUCURSAL</t>
  </si>
  <si>
    <t>Mantenimiento de sillas giratorias de los   funcionarios</t>
  </si>
  <si>
    <t>CO-NSA-54001</t>
  </si>
  <si>
    <t>CARMEN CECILIA LAVERDE</t>
  </si>
  <si>
    <t>Arriendo oficina</t>
  </si>
  <si>
    <t>Mantenimiento de Aire Acondicionado</t>
  </si>
  <si>
    <t>Recarga extintores</t>
  </si>
  <si>
    <t>Pintura de las instalaciones de la oficina</t>
  </si>
  <si>
    <t xml:space="preserve">Cambio de cableado eléctrico que distribuye energía a los puestos de trabajo  de la sucursal </t>
  </si>
  <si>
    <t>72151605</t>
  </si>
  <si>
    <t>Cambio del cableado estructurado de red a 6A y organización del RACK de comunicaciones</t>
  </si>
  <si>
    <t>Adecuacion y redistribución módulos de puestos de trabajo- reubicación archivo</t>
  </si>
  <si>
    <t>86121700</t>
  </si>
  <si>
    <t>Capacitaciones a intermediarios de seguros</t>
  </si>
  <si>
    <t>120</t>
  </si>
  <si>
    <t>MILENA LUCIA ACOSTA</t>
  </si>
  <si>
    <t>84121806</t>
  </si>
  <si>
    <t>Administrar los pagarés para la vinculación de intermediarios</t>
  </si>
  <si>
    <t>11</t>
  </si>
  <si>
    <t>730</t>
  </si>
  <si>
    <t>JOSE IGNACIO MARTINEZ</t>
  </si>
  <si>
    <t>86132000</t>
  </si>
  <si>
    <t>Capacitaciones a intermediarios para certificar idoneidad</t>
  </si>
  <si>
    <t>JUAN CARLOS CABALLERO</t>
  </si>
  <si>
    <t>84141701</t>
  </si>
  <si>
    <t>Servicios de consulta en línea y en batch de datos personales, información comercial y gestión de cobranza de personas naturales y/o jurídicas, que se encuentren en procesos de vinculación y/o vinculadas comercialmente</t>
  </si>
  <si>
    <t>1095</t>
  </si>
  <si>
    <t>NUBIA YOLANDA ROCHA</t>
  </si>
  <si>
    <t>43232300</t>
  </si>
  <si>
    <t>Sistema de consulta de intermediarios de seguros SUCIS</t>
  </si>
  <si>
    <t>AMINTA PUYO</t>
  </si>
  <si>
    <t>83111507</t>
  </si>
  <si>
    <t>Contratación de los servicios de operación y administración del contact center de la Compañía</t>
  </si>
  <si>
    <t>Diana Paola Aragón</t>
  </si>
  <si>
    <t>Prestación de los servicios de asesoría, diseño y desarrollo de contenidos conceptuales o teóricos, así como un programa de coaching financiero en cumplimiento de los criterios del sello de calidad definidos en la Resolución 0240 del 2022 emitida por la Superintendencia Financiera, mediante herramientas prácticas, talleres, material educativo, entre otros, que fortalezcan el programa de Educación Financiera actual de LA PREVISORA S.A, Saber Seguro.</t>
  </si>
  <si>
    <t>93151514</t>
  </si>
  <si>
    <t>Prestar los servicios profesionales como Defensor del consumidor financiero, principal y suplente, para ejercer con autonomia e independencia y garantizar que se atienda de forma eficaz, eficiente y oportuna a los Consumidores Financieros.</t>
  </si>
  <si>
    <t>52131600</t>
  </si>
  <si>
    <t xml:space="preserve">Compra persiana </t>
  </si>
  <si>
    <t>CO-TOL-73001</t>
  </si>
  <si>
    <t>LELIA ROSA LOPEZ HERNANDEZ</t>
  </si>
  <si>
    <t>30161707</t>
  </si>
  <si>
    <t xml:space="preserve">Cambio de Pisos oficinas Sucursal área local propio </t>
  </si>
  <si>
    <t>45</t>
  </si>
  <si>
    <t>56111511</t>
  </si>
  <si>
    <t>Cambio  escritorios oficina sucursal proyección traslado de Sucursal</t>
  </si>
  <si>
    <t>8</t>
  </si>
  <si>
    <t>30171613</t>
  </si>
  <si>
    <t>División Vidrio Templado salón de reuniones y área de archivo</t>
  </si>
  <si>
    <t>lELIA ROSA LOPEZ HERNANDEZ</t>
  </si>
  <si>
    <t xml:space="preserve">Peinado del cableado estructurado y eléctrico </t>
  </si>
  <si>
    <t>20</t>
  </si>
  <si>
    <t>Compra e instalación de un Aire Acondicionado para el CAD</t>
  </si>
  <si>
    <t>44103107</t>
  </si>
  <si>
    <t xml:space="preserve">No definido </t>
  </si>
  <si>
    <t>Recarga Extintores</t>
  </si>
  <si>
    <t>LELIAROSA LOPEZ HERNANDEZ</t>
  </si>
  <si>
    <t>72151200</t>
  </si>
  <si>
    <t>Contratar servicio de mantenimiento aire acondicionado</t>
  </si>
  <si>
    <t>300</t>
  </si>
  <si>
    <t>CO-BOY-15001</t>
  </si>
  <si>
    <t>MARIA LEONOR MONTOYA AVELLA</t>
  </si>
  <si>
    <t>Contratar servicio de correo de enero a diciembre de la sucursal</t>
  </si>
  <si>
    <t>Contratar oficina para archivo</t>
  </si>
  <si>
    <t>40101843</t>
  </si>
  <si>
    <t>Compra horno para servicio de funcionarios</t>
  </si>
  <si>
    <t>Compra sillas giratorias para funcionarios y gerente</t>
  </si>
  <si>
    <t>72153605</t>
  </si>
  <si>
    <t>Servicio para remodelar cocina de la Sucursal</t>
  </si>
  <si>
    <t>72153600</t>
  </si>
  <si>
    <t>Contratar empresa para arreglos, pintura y cambios de mobiliario requeridos por daño/deterioro</t>
  </si>
  <si>
    <t>contratación servicio de correo intermunicipal</t>
  </si>
  <si>
    <t>335</t>
  </si>
  <si>
    <t>CO-HUI-41001</t>
  </si>
  <si>
    <t>GINA PAOLA OSORIO RODRÍGUEZ</t>
  </si>
  <si>
    <t xml:space="preserve">contratación el servicio de mantenimiento de aires acondicionados </t>
  </si>
  <si>
    <t>308</t>
  </si>
  <si>
    <t>72154300</t>
  </si>
  <si>
    <t>Contración servicio de mantenimiento planta electrica</t>
  </si>
  <si>
    <t>CONTRATAR EL SERVICIO DE MANTENIMIENTO DE LOS AIRES ACONDCIONADOS DE LA SUCURSAL BUCARA</t>
  </si>
  <si>
    <t>350</t>
  </si>
  <si>
    <t>CO-SAN-68001</t>
  </si>
  <si>
    <t>MIGUEL ANGEL CEPEDA RUEDA</t>
  </si>
  <si>
    <t>80161801</t>
  </si>
  <si>
    <t xml:space="preserve">CONTRATAR EL SERVICIO DE ALQUILER DE LA FOTOCOPIADORA </t>
  </si>
  <si>
    <t>72101516</t>
  </si>
  <si>
    <t>CONTRATAR EL SERVICIO DE MANTENIMIENTO Y RECARGA DE EXTINTORES DE LA SUCURSAL</t>
  </si>
  <si>
    <t>CONTRATAR EL SERVICIO DE MANTENIMIENTO DE LAS SILLAS DE LA SUCURSAL BUCARAMANGA</t>
  </si>
  <si>
    <t>CONTRATAR LA ADQUISICION DE UNA CAFETERA O GRECA PARA LA SUCURSAL</t>
  </si>
  <si>
    <t>56121400</t>
  </si>
  <si>
    <t>CONTRATAR LA INSTALACION Y COMPRA DE GABINETE MUEBLE FLOTANTE DE COCINA</t>
  </si>
  <si>
    <t>CONTRATAR EL SERVICIO DE CORREO PARA LA SUCURSAL BUCARAMANGA</t>
  </si>
  <si>
    <t>333</t>
  </si>
  <si>
    <t>CONTRATAR EL SERVICIO DE PINTURA FACHADA EXTERNA E INSTALACIONES INTERNA 3 PISOS PREVISORA</t>
  </si>
  <si>
    <t>CONTRATAR LA ADQUISICION E INSTALACION Y PUESTA EN MARCHA DE AIRES ACONDICIONADOS EN LA SUCURSAL</t>
  </si>
  <si>
    <t>CO-VAC-76109</t>
  </si>
  <si>
    <t>82121512</t>
  </si>
  <si>
    <t>ELABORACION DE CARNETS PARA LAS POLIZAS DE ACCIDENTES PERSONALES DE LA SUCURSAL POPAYAN</t>
  </si>
  <si>
    <t>CO-CAU-19001</t>
  </si>
  <si>
    <t>GERMAN ELIAS PARRA GUACANEME</t>
  </si>
  <si>
    <t>82121700</t>
  </si>
  <si>
    <t xml:space="preserve">SUMINISTRO DE FOTOCOPIAS PARA LICITACIONES </t>
  </si>
  <si>
    <t>MANTENIMIENTO DE AIRE ACONDICIONADO</t>
  </si>
  <si>
    <t>275</t>
  </si>
  <si>
    <t>72151511</t>
  </si>
  <si>
    <t>MANTENIMIENTO, SUMINISTRO E INSTALACION TUBOS LED</t>
  </si>
  <si>
    <t>Realizar mantenimiento preventivo o correctivo con suministro de repuestos  de los aires acondicionados de la sucursal Yopal, con una periodicidad trimestral.</t>
  </si>
  <si>
    <t>330</t>
  </si>
  <si>
    <t>CO-CAS-85001</t>
  </si>
  <si>
    <t>KARENN YELITZA CRUZ GOYENECHE</t>
  </si>
  <si>
    <t>52101508</t>
  </si>
  <si>
    <t>Compra de tapete para la entrada de la oficina</t>
  </si>
  <si>
    <t>Contratar la impresión de carnets para los asegurados de las pólizas de accidentes personales y vida grupo</t>
  </si>
  <si>
    <t>MANTENIMIENTO AIRE</t>
  </si>
  <si>
    <t>CO-NAR-52001</t>
  </si>
  <si>
    <t>OSCAR IVAN ESTRADA</t>
  </si>
  <si>
    <t>MANTENIMIENTO PLANTA ELECTRICA</t>
  </si>
  <si>
    <t>44101501</t>
  </si>
  <si>
    <t>MANTENIMIENTO FOTOCOPIADORA</t>
  </si>
  <si>
    <t>Cambio de sillas funcionarios de la sucursal</t>
  </si>
  <si>
    <t xml:space="preserve">Mantenimiento Aire Acondicionado </t>
  </si>
  <si>
    <t>CO-ANT-05001</t>
  </si>
  <si>
    <t xml:space="preserve">ANA CRISTINA ARBOLEDA </t>
  </si>
  <si>
    <t xml:space="preserve">ADECUACION (PINTURA Y DEMAS PENDIENTES) OFICINA FRONT MEDELLIN </t>
  </si>
  <si>
    <t>72101509</t>
  </si>
  <si>
    <t xml:space="preserve">MANTENIMIENTO CUARTOS TECNICOS </t>
  </si>
  <si>
    <t xml:space="preserve">MANTENIMIENTO DE MUEBLES Y SILLAS,  BLACKOUT </t>
  </si>
  <si>
    <t>72154066</t>
  </si>
  <si>
    <t xml:space="preserve">Mantenimiento general equipos de oficina, como planta y sistema de ingreso con huella , sistema de cableado </t>
  </si>
  <si>
    <t>49101609</t>
  </si>
  <si>
    <t xml:space="preserve">Decoracion navidad para el 2023 pues la sucursal cuenta con elementos ya deteriorados </t>
  </si>
  <si>
    <t>MANTENIMIENTO DE LOS DOS AIRES ACONDICIONADO CENTRAL Y DOS MINI SPLIT</t>
  </si>
  <si>
    <t>CO-COR-23001</t>
  </si>
  <si>
    <t>PATRICIA MORALES ESTRELLA</t>
  </si>
  <si>
    <t>SERVICIO DE PARQUEADERO PARA LOS VEHICULOS DE LOS FUNCIONARIOS DE LA SUCURSAL MONTERIA</t>
  </si>
  <si>
    <t>82121507</t>
  </si>
  <si>
    <t>SERVICIO DE IMPRESION DE LOS CARNETS ESTUDIANTILES</t>
  </si>
  <si>
    <t>77101501</t>
  </si>
  <si>
    <t xml:space="preserve">INSPECCIONES DE RIESGO PARA SUSCRIPCION </t>
  </si>
  <si>
    <t xml:space="preserve">MANTENIMIENTO, RECARGA  Y COMPRA DE UN EXTINTOR </t>
  </si>
  <si>
    <t>Ordenamiento del cableado y adquisición nuevo mueble de rack</t>
  </si>
  <si>
    <t>CO-ARA</t>
  </si>
  <si>
    <t>PEDRO ARMANDO PEÑA TOLOZA</t>
  </si>
  <si>
    <t>MANTENIMIENTO Y CAMBIO DE LUMINARIAS</t>
  </si>
  <si>
    <t xml:space="preserve">MANTENIMIENTO, RECARGA DE TRES EXTINTORES </t>
  </si>
  <si>
    <t>84131602</t>
  </si>
  <si>
    <t>Poliza de hospitalizacion y cirugia para los funcionarios convencionados según convencion colectiva de trabajo 2020-2023 durante la vigencia 2024</t>
  </si>
  <si>
    <t>VERONICA TATIANA URRUTIA AGUIRRE</t>
  </si>
  <si>
    <t>84131601</t>
  </si>
  <si>
    <t>Poliza de vida grupo y exequias para los funcionarios convencionados según convencion colectiva de trabaja 2020-2023 durante la vigencia 2024</t>
  </si>
  <si>
    <t>84131501</t>
  </si>
  <si>
    <t>Poliza de incendio y terremoto para los inmuebles que se encuentran hipotecados a favor de la compañía por el prestamo otorgado a las funcionarios según la convencion colectiva de trabajo 2020-2023 durante la vigencia 2024</t>
  </si>
  <si>
    <t>Poliza vida grupo deudor para los prestamos hipotecarios que han sido otorgados a los funcionarios según lo defino en la convencion colectiva de trabajo 2020-2023 durante la vigencia 2024</t>
  </si>
  <si>
    <t>70171708</t>
  </si>
  <si>
    <t>Intermediacion de seguros para realizar la asesoría necesaria para obtener el cubrimiento de los riesgos derivados de la póliza de hospitalización y cirugía.</t>
  </si>
  <si>
    <t>84121804</t>
  </si>
  <si>
    <t>Suministro de bonos canastaSuministro de bonos dotaciónSuministro de bonos regalo</t>
  </si>
  <si>
    <t>720</t>
  </si>
  <si>
    <t>VERÓNICA TATIANA URRUTIA AGUIRRE</t>
  </si>
  <si>
    <t>80111600</t>
  </si>
  <si>
    <t xml:space="preserve">Suministro de personal temporal </t>
  </si>
  <si>
    <t>80121706</t>
  </si>
  <si>
    <t>Asesor laboral y de seguridad social integral</t>
  </si>
  <si>
    <t>Asesor laboral y de seguridad social integral, para la negociación de la Convencion colectiva de trabajo</t>
  </si>
  <si>
    <t>180</t>
  </si>
  <si>
    <t>Contratacion Poliza de Vida Grupo plan de beneficios directivos</t>
  </si>
  <si>
    <t>84111600</t>
  </si>
  <si>
    <t>Auditoria externa EFR -Icontec</t>
  </si>
  <si>
    <t xml:space="preserve">Derechos utilización de Marca -  EFR </t>
  </si>
  <si>
    <t>80141607</t>
  </si>
  <si>
    <t>Plan de bienestar que incluye organizacion de eventos  programados en el plan de bienestar</t>
  </si>
  <si>
    <t>93141808</t>
  </si>
  <si>
    <t>Realizacion examenes ocupacionales compra elementos de botiquin y elementos de planes de emergencia</t>
  </si>
  <si>
    <t>81161801</t>
  </si>
  <si>
    <t>Contratar el servicio de uso y administración de plataforma virtual para pruebas de conocimientos de ingreso a LA PREVISORA S.A. así como el diseño de preguntas para los cargos que esta requiera.</t>
  </si>
  <si>
    <t>12</t>
  </si>
  <si>
    <t>LIANA ABRIL</t>
  </si>
  <si>
    <t>Suministrar por medio de la plataforma a la PREVISORA S.A un stock de pruebas psicológicas especializadas en evaluación de competencias y personalidad</t>
  </si>
  <si>
    <t xml:space="preserve">Contratar la suscripción al portal El Empleo para la publicación de ofertas de empleo que La Previsora considere necesarioas asi como la consecucion de hojas de vida. </t>
  </si>
  <si>
    <t>80111702</t>
  </si>
  <si>
    <t>Contratar un proveedor que se encargue de realizar los estudios de seguridad a cada uno de los candidatos que sean seleccionados para cubrir las diferentes vacantes de LA PREVISORA S.A.</t>
  </si>
  <si>
    <t>80111508</t>
  </si>
  <si>
    <t>Contratar el servicio de una plataforma web para uso ilimitado de los módulos de competencias desempeño por objetivos tareas análisis de potencial volatilidad planes de desarrollo clima organizacional organigrama perfiles de cargo criticidad de cargos y planes de sucesión incluido el servicio de hosting.</t>
  </si>
  <si>
    <t>80111703</t>
  </si>
  <si>
    <t>Contratar un proveedor que preste los servicios especializados en busca de talentos (head hunter) para suplir las vacantes  de cargos directivos</t>
  </si>
  <si>
    <t>80111504</t>
  </si>
  <si>
    <t xml:space="preserve">Contratar un proveedorque preste los servicios para el diseño e implementacion  de los programas que hacen parte de la oferta de formacion anual de la Universidad Corporativa </t>
  </si>
  <si>
    <t xml:space="preserve">Contratar un aliado que brinde el  servicio del Plan de Formación en habilidades informáticas de Excel dirigida a los funcionarios de la Compañia </t>
  </si>
  <si>
    <t>Contratar proveedores especializados para los procesos de formación definidos en el Plan Anual 2022</t>
  </si>
  <si>
    <t>Contratar proveedores especializados  que brinde de acuerdo a las necesidades de capacitación entrenamiento y/o desarrollo de los colaboradores de La Previsora en diferentes cursos congresos foros y seminarios</t>
  </si>
  <si>
    <t>Contratar un proveedor que se encargue de implementar estrategias y herramientas necesarias para afianzar la cultura organizacional basado en un proceso de integridad gestión del cambio y liderazgo así como la implementación del modelo de competencias</t>
  </si>
  <si>
    <t>Contrato Arriendo Sintraprevi</t>
  </si>
  <si>
    <t>Sandra Patricia González Bello</t>
  </si>
  <si>
    <t>80131802</t>
  </si>
  <si>
    <t>Contratar saneamiento administrativo  de los inmuebles de las compañía</t>
  </si>
  <si>
    <t>731</t>
  </si>
  <si>
    <t>Contrato arriendo Local 26 Dreszer</t>
  </si>
  <si>
    <t>Contrato arriendo Local 20 Kusguen</t>
  </si>
  <si>
    <t>Contrato arriendo Almacén</t>
  </si>
  <si>
    <t xml:space="preserve">Contrato Arriendo Fimprevi. </t>
  </si>
  <si>
    <t xml:space="preserve">Contrato Arriendo Fep </t>
  </si>
  <si>
    <t>Contrato Arriendo Asoprevi</t>
  </si>
  <si>
    <t>Contrato Arriendo Asdecos</t>
  </si>
  <si>
    <t>78101801</t>
  </si>
  <si>
    <t>Contratación ACARREOS</t>
  </si>
  <si>
    <t>334</t>
  </si>
  <si>
    <t>Nancy Patricia Puentes / Jennifer Gutiérrez</t>
  </si>
  <si>
    <t>15101506</t>
  </si>
  <si>
    <t xml:space="preserve">Gasolina planta eléctrica y vehículos. Colombia Compra Eficiente. </t>
  </si>
  <si>
    <t>Martha Puerto</t>
  </si>
  <si>
    <t>73131505</t>
  </si>
  <si>
    <t>Contratar el suministro para  los funcionarios y visitantes de Casa Matriz las bebidas hidratantes.</t>
  </si>
  <si>
    <t>Contratar el servicio de fotocopias para todas las dependencias de Casa Matriz</t>
  </si>
  <si>
    <t>77101802</t>
  </si>
  <si>
    <t>Contratar la recertificación del transporte vertical y puertas electricas de Casa Matriz</t>
  </si>
  <si>
    <t>46171604</t>
  </si>
  <si>
    <t>Contratacion mantenimiento preventivo y correctivo sistema de deteccion de incendio y cambio de agente limpio centro de computo</t>
  </si>
  <si>
    <t>39121105</t>
  </si>
  <si>
    <t>Contratar el mantenimiento preventivo y correctivo del conmutador</t>
  </si>
  <si>
    <t>95122401</t>
  </si>
  <si>
    <t>Contratar el mantenimiento preventivo y correctivo de los vehiculos de la Compañía</t>
  </si>
  <si>
    <t>48101705</t>
  </si>
  <si>
    <t>Contratar el mantenimiento de las maquinas de café y la compra de termos</t>
  </si>
  <si>
    <t>55121621</t>
  </si>
  <si>
    <t>Contratar los gasto notariales para las diferentes dependencias de casa matriz</t>
  </si>
  <si>
    <t>Contratar el mantenimiento preventivo y correctivo de los aires acondicionados de casa matriz y la "L"</t>
  </si>
  <si>
    <t>Contratar el intermediario para la renovacion del programa de seguros</t>
  </si>
  <si>
    <t>72154043</t>
  </si>
  <si>
    <t>Contratar el servicio de fumigacion para las instalaciones de casa matriz. aparcadero las palmas. oficinas edificio vima y bodega tequendama</t>
  </si>
  <si>
    <t>48101505</t>
  </si>
  <si>
    <t>Contratar la compra de los termos para el servicio de cafeteria de casa matriz</t>
  </si>
  <si>
    <t>55101506</t>
  </si>
  <si>
    <t>Contratar la el periodico diario La Republica</t>
  </si>
  <si>
    <t>39121613</t>
  </si>
  <si>
    <t>Mantenimiento polo a tierra y para rayos - Casa Matriz y oficinas de la "L "</t>
  </si>
  <si>
    <t>THELMIRA NUÑEZ</t>
  </si>
  <si>
    <t>43211507</t>
  </si>
  <si>
    <t xml:space="preserve">Adquisicion equipo de computo para recepciones de Casa Matriz y oficinas de la L </t>
  </si>
  <si>
    <t>77101700</t>
  </si>
  <si>
    <t>se hace necesaria la contratación de una persona mediante modalidad de prestación de servicios, experta en temas de RSE, con el fin de fortalecer algunos componentes fundamentales que apuntan a la meta de contribuir al desarrollo sostenible, comportamientos socialmente responsables que producen mejoras en aspectos clave en la organización como ventaja competitiva, reputación, capacidad para atraer y retener trabajadores, clientes y usuarios, así como productividad y la percepción de las partes interesadas.</t>
  </si>
  <si>
    <t>LEYDY VIVIANA MOJICA</t>
  </si>
  <si>
    <t>70141803</t>
  </si>
  <si>
    <t>Contratar una herramienta de emisión de pólizas del ramo Agropecuario</t>
  </si>
  <si>
    <t>Andrés Felipe Guerra</t>
  </si>
  <si>
    <t>Desarrollar el módulo de integración por parte de SISTRAN en SISE 2g para pólizas del ramo Agropecuario</t>
  </si>
  <si>
    <t>80161506</t>
  </si>
  <si>
    <t xml:space="preserve">Contratar el servicio de Recopilación de la información sobre las características físicas de los bienes inmuebles de ciertas pólizas y/o carteras. para poder georreferenciar dichos bienes o riesgos. </t>
  </si>
  <si>
    <t>Misael Sierra Salgado</t>
  </si>
  <si>
    <t>Prestar el servicio de administración de riesgos de Responsabilidad Civil Profesional de Clínicas y Hospitales para las instituciones Hospitalarias asignadas por LA PREVISORA S.A. a través de las Oficinas de Prevención de Riesgos y de Responsabilidad Civil</t>
  </si>
  <si>
    <t>Alonso Blanco Medina</t>
  </si>
  <si>
    <t xml:space="preserve">Prestar los servicios de administración de riesgos, control de pérdidas y procedimientos especializados para los diferentes riesgos amparados en negocios nuevos o vigentes del ramo de automóviles. </t>
  </si>
  <si>
    <t>Prestar el servicio de diagnóstico para transformadores mediante el análisis de aceites dieléctricos a los transformadores de los asegurados distribuidos a nivel nacional y que determine LA PREVISORA S.A, para disminuir la probabilidad de ocurrencia y minimizar las pérdidas en caso de siniestros por rotura de maquinaria y su respectivo lucro cesante</t>
  </si>
  <si>
    <t>Prestar el servicio de administración de riesgos y control de pérdidas, inspecciones y conceptos procedimientos especializados para la suscripción de riesgos de seguros del ramo de transportes</t>
  </si>
  <si>
    <t>prestar los servicios de inspección de los bienes asegurables y/o asegurados y/o servicios de administración de riesgos y control de pérdidas, de riesgos en curso y/o por suscribir asignados por LA PREVISORA S.A. que permita establecer si el riesgo es asegurable y de serlo las actividades necesarias para lograr un mejoramiento de los riesgos identificados, disminuyendo la probabilidad y severidad de pérdidas para los asegurados y la compañía</t>
  </si>
  <si>
    <t>80161500</t>
  </si>
  <si>
    <t>La Previsora S.A. Compañía de Seguros requiere contratar la prestación de servicios especializados para la operación del Ramo SOAT.</t>
  </si>
  <si>
    <t>JUAN PABLO MORA TRUJILLO</t>
  </si>
  <si>
    <t>81102702</t>
  </si>
  <si>
    <t>realización de los trabajos de control técnico de las construcciones que vayan a asegurarse frente a daños materiales con el fin de facilitar la contratación del Seguro Decenal.</t>
  </si>
  <si>
    <t>Carlos Eduardo González Triviño</t>
  </si>
  <si>
    <t>81112001</t>
  </si>
  <si>
    <t>Prestar los servicios de consulta en línea y en batch de datos personales, información comercial y gestión de cobranza de personas naturales y/o jurídicas, que se encuentren en procesos de vinculación y/o vinculadas comercialmente con LA PREVISORA S.A., así como la generación de procesos que permitan gestionar el riesgo al que se pueda ver expuesta LA PREVISORA S.A. en el desarrollo de sus relaciones comerciales con clientes e intermediarios</t>
  </si>
  <si>
    <t>Maria Isabel Wilches Segovia</t>
  </si>
  <si>
    <t>Servicio administración, emisión y custodia pagarés desmaterializados seguros de cumplimiento y manejo</t>
  </si>
  <si>
    <t>84131503</t>
  </si>
  <si>
    <t>Permitir el acceso para la consulta de información a las bases de datos de los sistemas informáticos denominados SISA y CEXPER.</t>
  </si>
  <si>
    <t>1080</t>
  </si>
  <si>
    <t>Wilson Orlando Parra Núñez</t>
  </si>
  <si>
    <t>Prestación de servicio de vehículo de reemplazo</t>
  </si>
  <si>
    <t>Prestación de servicios de asistencia vehícular</t>
  </si>
  <si>
    <t>78141602</t>
  </si>
  <si>
    <t>Inspección de mercancías en puerto</t>
  </si>
  <si>
    <t>Jorge Beltrán Rendón</t>
  </si>
  <si>
    <t>80111610</t>
  </si>
  <si>
    <t>Captura de información de despachos para producción</t>
  </si>
  <si>
    <t>84131701</t>
  </si>
  <si>
    <t>Realizar el calculo actuarial de pensiones bajo las normas NIF y norma local colombiana, además del cálculo de beneficios post empleo, diligenciamiento de la proforma respectiva de la SFC, detalle del cálculo para informes contables de la compañía y respuestas a posibles requerimientos a que haya lugar relacionados con los cálculos.</t>
  </si>
  <si>
    <t>Maryori Paola García</t>
  </si>
  <si>
    <t>43231512</t>
  </si>
  <si>
    <t>Renovación del licenciamiento del software SAS, del paquete SAS OFFICE ANALYTICS, compra de una liciencia adicional, la prestación del servicio de soporte técnicoespecializado e integral a la plataforma y copacitación para los funcionarios asignados.</t>
  </si>
  <si>
    <t>Soporte y mantenimiento de la plataforma para la adminsitración y emision del ramo SOAT</t>
  </si>
  <si>
    <t>Consulta al web services de RUNT</t>
  </si>
  <si>
    <t>80121609</t>
  </si>
  <si>
    <t xml:space="preserve">Investigación Estudio de bienes </t>
  </si>
  <si>
    <t>DANIEL PALACIOS</t>
  </si>
  <si>
    <t>80101500</t>
  </si>
  <si>
    <t>Servicio de asesoría y otros a demanda para la Vicepresidencia</t>
  </si>
  <si>
    <t>AMANDA LOPEZ</t>
  </si>
  <si>
    <t>80121704</t>
  </si>
  <si>
    <t xml:space="preserve">PRESTACION DE SERVICIOS PROFESIONALES ESPECIALIZADOS </t>
  </si>
  <si>
    <t>SANDRA CECILIA REY</t>
  </si>
  <si>
    <t>80121604</t>
  </si>
  <si>
    <t>Prestación de servicios profesionales para asesorías jurídicas en contratación estatal y privada con el fin de brindar asistencia y ejercer la representación de la Compañía en los procesos licitatorios y/o concursos de selección, en los cuales la Compañía participe como oferente, proponente y/o tenga algún interés; así como asesoría jurídica en propiedad intelectual, marcas y los demás asuntos que le sean asignados.</t>
  </si>
  <si>
    <t>JULIANA BARRERA</t>
  </si>
  <si>
    <t>80121600</t>
  </si>
  <si>
    <t>Asesoría y soporte en materia de Protección de Datos Personales a la compañía, incluido al Comité de protección de datos personales el cual cumple las funciones asignadas como Oficial de Protección de Datos Personales de La Previsora S.A Compañía de Seguros.</t>
  </si>
  <si>
    <t>94131603</t>
  </si>
  <si>
    <t>Atención de asesorias y conceptos jurídicos especializados a demanda</t>
  </si>
  <si>
    <t>86101705</t>
  </si>
  <si>
    <t>Evento capacitacion anual abogados internos y externos de la Vicepresidencia Jurídica</t>
  </si>
  <si>
    <t>Representación y defensa judicial en los litigios de la compañía para zona Bogotá y Cundinamarca</t>
  </si>
  <si>
    <t>Representación y defensa judicial en los litigios de la compañía para zona Antioquia</t>
  </si>
  <si>
    <t>Representación y defensa judicial en los litigios de la compañía (a demanda de la necesidad por zona geográfica)</t>
  </si>
  <si>
    <t>EL ABOGADO se obliga en su condición de apoderado especial o general según anexos 1, 2 y/o 3 del  contrato a  representar  en calidad tanto activa como pasiva a LA PREVISORA S.A. en los procesos judiciales, prejudiciales, de responsabilidad fiscal, procedimientos administrativos, arbitramentos, acciones constitucionales de tutela y en general en todo tipo de litigio o procedimiento que le sean asignados, dentro del marco de las actividades relacionadas con la Vicepresidencia Jurídica - Gerencia de Litigios.</t>
  </si>
  <si>
    <t>SCARLETT BAENA</t>
  </si>
  <si>
    <t>76121501</t>
  </si>
  <si>
    <t>Recoleccion de sobrantes, piezas y salvamentos.</t>
  </si>
  <si>
    <t>ADRIANA ORJUELA MARTINEZ</t>
  </si>
  <si>
    <t>81101600</t>
  </si>
  <si>
    <t xml:space="preserve">Se requiere contratar una persona jurídica que preste sus servicios profesionales de peritaje especializado de daños que sufran y/o causen los vehículos que conforman el parque automotor asegurado por La Previsora y que afecten las pólizas expedidas bajo el ramo de automóviles (incluye todos los amparos). </t>
  </si>
  <si>
    <t>PAOLA ANDREA GOMEZ MESA</t>
  </si>
  <si>
    <t>81111700</t>
  </si>
  <si>
    <t>Se requiere contratar herramienta tecnologica para realizar todo el proceso de gestión de la atención integral a los siniestros derivados de las  pólizas expedidas bajo el ramo de automóviles.</t>
  </si>
  <si>
    <t>95141706</t>
  </si>
  <si>
    <t>Se requiere contratar un proveedor que preste y garantice el servicio integral de bodegaje, almacenamiento y custodia de salvamentos de seguros generales (muebles, enseres, entre otros) y vehículos, asegurados por LA PREVISORA S.A. COMPAÑÍA DE SEGUROS</t>
  </si>
  <si>
    <t>85122201</t>
  </si>
  <si>
    <t>Valoración de pérdida de capacidad laboral para las reclamaciones del amparo de incapacidad permante de los ramos de Soat y AP</t>
  </si>
  <si>
    <t>MARITZA GISELA AYURE AGUILAR</t>
  </si>
  <si>
    <t>80121610</t>
  </si>
  <si>
    <t>Servicios de financiación de primas de seguros y gestión y administración de recuperación o cobro de cartera</t>
  </si>
  <si>
    <t>María Andrea Riveros</t>
  </si>
  <si>
    <t>43232313</t>
  </si>
  <si>
    <t>Compra de transacciones para pagos en línea.</t>
  </si>
  <si>
    <t>Mónica Ximena Cabrera Rodríguez</t>
  </si>
  <si>
    <t>Gestion de cobranza</t>
  </si>
  <si>
    <t>Carlos Villamil Mendieta</t>
  </si>
  <si>
    <t>84121704</t>
  </si>
  <si>
    <t>Asesoría  jurídica especializada para administrar la información de La Previsora S.A. Compañía de Seguros en la plataforma Markit de ISDA con el fin de vigilar, suministrar, actualizar y/o modificar periódicamente, la información necesaria en dicha plataforma.</t>
  </si>
  <si>
    <t>Maria Teresa Romero</t>
  </si>
  <si>
    <t>Asesoría jurídica para obtener la renovación del Legal Entity Identifier (LEI) necesario para la negociación de instrumentos derivados</t>
  </si>
  <si>
    <t>84121701</t>
  </si>
  <si>
    <t>Orientación, herramientas de gestión, perspectivas frente a normatividad e investigaciones sobre asuntos ASG</t>
  </si>
  <si>
    <t>84121801</t>
  </si>
  <si>
    <t>Servicio de software informativo financiero sobre noticias y datos macroecónomicos locales e internacionales que integra bases de datos, noticias, gráficos, calculadoras, email. Información Multimedia y herramientas.</t>
  </si>
  <si>
    <t>84121702</t>
  </si>
  <si>
    <t>servicio de proveeduría o suministro de información para la valoración de las inversiones de la compañía, de acuerdo con las metodologías de valoración de Precia Proveedor de Precios para valoración S.A., incluyendo las no objetadas Superintendencia Financiera de Colombia.</t>
  </si>
  <si>
    <t xml:space="preserve">Maria Teresa Romero                        </t>
  </si>
  <si>
    <t>93161800</t>
  </si>
  <si>
    <t>Servicios profesionales de asesoría permanente y emisión de conceptos en materia tributaria, aplicable a los impuestos nacionales y municipales, así como servicio de soporte en los procesos de planeación, supervisión y revisión de la declaración del Impuesto sobre la Renta y Complementarios y brindar apoyo en la contestación de requerimientos realizados por los entes de control a nivel interno y externo.</t>
  </si>
  <si>
    <t>1096</t>
  </si>
  <si>
    <t>JENNY AREVALO</t>
  </si>
  <si>
    <t>94101610</t>
  </si>
  <si>
    <t>Afiliar a La Previsora S.A. Compañía de Seguros a la agremiación durante el periodo Junio 2023 a Mayo de 2024.</t>
  </si>
  <si>
    <t>214</t>
  </si>
  <si>
    <t>Participación a las 47 Jornadas Colombianas de Derecho Tributario.</t>
  </si>
  <si>
    <t>80101505</t>
  </si>
  <si>
    <t>Prestar los servicios especializados para la consultoría, acompañamiento y capacitación a los funcionarios de LA PREVISORA S.A. en la aplicación de las Normas Internacionales de Información Financiera (NIIF).</t>
  </si>
  <si>
    <t>HONORARIOS_ADMINISTRATIVOS</t>
  </si>
  <si>
    <t>80121607</t>
  </si>
  <si>
    <t>Previsora requiere una opinión legal actualizada en la cual se indique, con base en las nuevas regulaciones, si se encuentra obligado a enviar reportes frente en cumplimiento de las disposiciones FATCA y CRS.</t>
  </si>
  <si>
    <t>Inés Nieto Quintero</t>
  </si>
  <si>
    <t>Servicio de consulta de listas restrictivas</t>
  </si>
  <si>
    <t>Carolina Osorio</t>
  </si>
  <si>
    <t>Servicios profesionales  especializados, para la ejecución de las actividades de planeación, control, dirección y realización de acciones que permitan la adecuada gestión, operación, monitoreo,  mejora, mantenimiento y madurez del Sistema de Seguridad de la Información (SGSI) y Ciberseguridad</t>
  </si>
  <si>
    <t>Sandra Cediel</t>
  </si>
  <si>
    <t>43231500</t>
  </si>
  <si>
    <t>Servicio para el diligenciamiento de manera virtual del formulario de conocimiento del cliente.</t>
  </si>
  <si>
    <t>84121802</t>
  </si>
  <si>
    <t>Proveeduría del calculo del CVA,DVA y factor de voltilidad para las inversiones en instrumentos derivados.</t>
  </si>
  <si>
    <t>Sebastian Rivera</t>
  </si>
  <si>
    <t>Plan de continuidad de negocio</t>
  </si>
  <si>
    <t>Servicios de conusltoria para marco de apetito de riesgos.</t>
  </si>
  <si>
    <t>Margarita González</t>
  </si>
  <si>
    <t>81112218</t>
  </si>
  <si>
    <t>Servicio de licenciamiento, mantenimiento y actualización del Software Midas</t>
  </si>
  <si>
    <t xml:space="preserve">servicios profesionales de abogado, analizando y proyectando lasdecisiones de segunda instancia de los procesos disciplinarios </t>
  </si>
  <si>
    <t>Cindy Katherine Rincon</t>
  </si>
  <si>
    <t>Servicios profesionales para apoyar y asesorar a la Presidencia</t>
  </si>
  <si>
    <t>Retos de InnovaciónEjercicio de innovación abierta. Consultoria. Mediante diferentes técnicas lanza un reto que se establece desde previsora, y la empresa convoca a diferentes participantes para que con su asesoría planteen una solución innovadora</t>
  </si>
  <si>
    <t>Cesar Esteban Tenorio / Mitzi Tatiana Ferro</t>
  </si>
  <si>
    <t>Auditoria Icontec | Seguimiento en ISO 9001:2015 y 14001:2015Auditoria Icontec | Sello Buenas Prácticas de Innovación</t>
  </si>
  <si>
    <t>Natalia Gómez Lara / Mitzi Tatiana Ferro</t>
  </si>
  <si>
    <t>81111504</t>
  </si>
  <si>
    <t>Herramienta AgilitySuministro de licencias que permita el uso de la herramienta Agility y los asistentes robóticos desarrollados, así como también el servicio especializado para el soporte y mantenimiento de los asistentes de procesos implementados en la entidad basados en tecnología RPA y bolsa de horas para atender los ajustes requeridos a dichos asistentes.</t>
  </si>
  <si>
    <t>Rossmary Pulido Amézquita</t>
  </si>
  <si>
    <t>IsoluciónSoporte y Mantenimiento anual de la herramienta de Gestión Documental Isolución</t>
  </si>
  <si>
    <t>John Javier Mejia Tolosa</t>
  </si>
  <si>
    <t>LA PREVISORA S.A. requiere contratar los servicios especializados de una empresa que tenga experiencia en desarrollo de soluciones digitales por medio del canal Whatsapp Business y Whatsapp Business API</t>
  </si>
  <si>
    <t>Maria Lucía Lleras</t>
  </si>
  <si>
    <t>43232400</t>
  </si>
  <si>
    <t>EL PROVEEDOR se obliga con LA PREVISORA S.A., a prestar los servicios especializados por demanda de una fábrica de software de nivel cinco (5), de acuerdo con el modelo CMMI, que garantice la integración con aplicaciones legadas, optimizaciones de los productos existentes y en construcción de nuevos productos y servicios de software con plataformas modernas, alineadas con las nuevas prácticas ágiles de la industria que mantengan y fortalezcan el logro de la estrategia de transformación digital de la Previsora</t>
  </si>
  <si>
    <t>Joel Armando Romero Ramirez</t>
  </si>
  <si>
    <t>Asesorias y/o apoyo para la ejecución e implementación de la estrategia</t>
  </si>
  <si>
    <t>81112103</t>
  </si>
  <si>
    <t>Dar continuidad a la evolución y desarrollo de servicios asociados al portal transaccional de de intermediarios desarrollado previamente dentro del proyecto de página web 2.0</t>
  </si>
  <si>
    <t>LA PREVISORA S.A. requiere contratar los servicios especializados de una empresa que brinde el apoyo para la adopción de una tecnología de integración de información desde tipos de fuente estructurada y no estructurada y su posterior centralización en una colocación de información gobernada, que facilite la aplicación de ejercicios de calidad, metadata y rastreo de información y permitan el desarrollo de un almacén de datos que fomente la confiablidad de los datos y el enriquecimiento de los mismos, para la aplicación de ejercicios de analítica de datos avanzados.(honorios 640 y arrendamiento 560)</t>
  </si>
  <si>
    <t>LA PREVISORA S.A. Requiere contratar los servicios especializados de una empresa que ayude a apalancar el levantamiento, especificación, definición, desarrollo e implementación de modelos analíticos que bajo el uso de métodos de machine learning, Deep learning, inteligencia artificial, minería de datos u otras herramientas  relacionadas, permitan a la organización incorporar estas capacidades en particular para el desarrollo de ejercicios de segmentación, clasificación, venta cruzada, prevención de fraude, churn, entre otros.</t>
  </si>
  <si>
    <t>83121600</t>
  </si>
  <si>
    <t>LA PREVISORA S.A. Requiere contratar los servicios especializados de una empresa que apoye la generación de programas de formación de habilidades duras y blandas  enfocados en el desarrollo de habilidades digitales en temáticas como la ciencia de datos, el desarrollo y administración de software, base de datos, marketing digital, digitalización de servicios y nuevas formas de trabajo con base al mundo digital.</t>
  </si>
  <si>
    <t>94101503</t>
  </si>
  <si>
    <t>Contratar la suscripción a la membresía de la Asociación Colombiana de Empresas de Tecnología e Innovación Financiera - Colombia Fintech.</t>
  </si>
  <si>
    <t>Wendy Jimenez</t>
  </si>
  <si>
    <t>81141902</t>
  </si>
  <si>
    <t>Suscripcion de Tiendas y Productos Digitales</t>
  </si>
  <si>
    <t>Consultoria para la definición del plan de implementación del programa de descarbonización</t>
  </si>
  <si>
    <t>Apoyo en comunicación y divulgación  de la estrategia</t>
  </si>
  <si>
    <t>43232305</t>
  </si>
  <si>
    <t>Contratación herramienta de generación de reportes para cumplir norma de solvencia</t>
  </si>
  <si>
    <t>Realizar una consultoría para la revisión, estudio, análisis, evaluación y propuesta para la selección del ERP financiero</t>
  </si>
  <si>
    <t>81111508</t>
  </si>
  <si>
    <t>GIGA COLOMBIA_HORAS PARA DESARROLLOS</t>
  </si>
  <si>
    <t>SAÚL MARTÍN_NELSON CAMACHO</t>
  </si>
  <si>
    <t>81112300</t>
  </si>
  <si>
    <t>BIOMÉTRICOS PARA TRANSMISIÓN A ENTES DE CONTROL</t>
  </si>
  <si>
    <t>JUAN DIEGO_ SERGIO SUÁREZ</t>
  </si>
  <si>
    <t xml:space="preserve">SISTEMA GRABACIÓN DE LLAMADAS </t>
  </si>
  <si>
    <t>JUAN DIEGO_MANUEL CÁRDENAS</t>
  </si>
  <si>
    <t>APP VULNERABILIDADES</t>
  </si>
  <si>
    <t>JUAN DIEGO_LORENA PEDROZA</t>
  </si>
  <si>
    <t>80101507</t>
  </si>
  <si>
    <t>ENTIDAD CERTIFICADORA</t>
  </si>
  <si>
    <t>SISE</t>
  </si>
  <si>
    <t>1065</t>
  </si>
  <si>
    <t>SAÚL MARTÍN_ DELFIN ALEXANDER</t>
  </si>
  <si>
    <t>ARRENDAMIENTO - EQUIPOS DE CÓMPUTO</t>
  </si>
  <si>
    <t xml:space="preserve">GIGA COLOMBIA_SOPORTE </t>
  </si>
  <si>
    <t>SAÚL MARTÍN_ NELSON ANDRÉS_ DELFIN ALEXANDER_ RAMÓN HERNANDO</t>
  </si>
  <si>
    <t>43231501</t>
  </si>
  <si>
    <t>MESA DE AYUDA DE SERVICIOS</t>
  </si>
  <si>
    <t>JUAN DIEGO_ ÁNGEL ANDRÉS</t>
  </si>
  <si>
    <t>LICENCIAMIENTO PLATAFORMA DE INTEROPERABILIDAD</t>
  </si>
  <si>
    <t>JIMMY PEDROZA_ CARLOS ALBERTO</t>
  </si>
  <si>
    <t>EQUIPO EXPERTO QUE HACE LA IMPLEMENTACIÓN DE LA PLATAFORMA DE INTEROPERABILIDAD</t>
  </si>
  <si>
    <t>DESARROLLOS Y AJUSTES DE LOS WEBSERVICES DE LA COMPAÑÍA_INTEROPERABILIDAD</t>
  </si>
  <si>
    <t>FÁBRICA DE PRUEBAS</t>
  </si>
  <si>
    <t>DELFIN ALEXANDER</t>
  </si>
  <si>
    <t>81112306</t>
  </si>
  <si>
    <t>OUTSORCING DE IMPRESIÓN</t>
  </si>
  <si>
    <t>JUAN DIEGO_ÁNGEL ANDRES</t>
  </si>
  <si>
    <t>ADQUISICIÓN UPS</t>
  </si>
  <si>
    <t>MANUEL CÁRDENAS_JUAN DIEGO</t>
  </si>
  <si>
    <t xml:space="preserve">SISTEMA DE GESTIÓN PRESUPUESTAL </t>
  </si>
  <si>
    <t>DELFIN ALEXANDER_RAMÓN HERNANDO</t>
  </si>
  <si>
    <t>TELEFONÍA VOIP</t>
  </si>
  <si>
    <t>JUAN DIEGO_ MANUEL ANTONIO</t>
  </si>
  <si>
    <t>CERTIMAIL_CERTIFICADOS DE FIRMAS DIGITALES</t>
  </si>
  <si>
    <t>JUAN DIEGO_ ÁNGELA ALEXANDRA_ LORENA PEDROZA_NELSON ANDRÉS</t>
  </si>
  <si>
    <t>PROGRAMA DE ARQUITECTURA EMPRESARIAL</t>
  </si>
  <si>
    <t>SWITCHES</t>
  </si>
  <si>
    <t>REFUERZO NAC</t>
  </si>
  <si>
    <t xml:space="preserve">CERTIFICADOS TRIBUTARIOS </t>
  </si>
  <si>
    <t>DELFIN ALEXANDER_ JUAN CARLOS</t>
  </si>
  <si>
    <t>SOATSOFT  -  SUPERSOFT</t>
  </si>
  <si>
    <t>DELFIN ALEXANDER_ DIANA MARULANDA</t>
  </si>
  <si>
    <t>Arrandamiento Herramienta de seguimiento de riesgo Agropecuario</t>
  </si>
  <si>
    <t>31161500</t>
  </si>
  <si>
    <t>Suministro y distribución continua de herramientas, materiales de construcción, materiales eléctricos y de ferretería.</t>
  </si>
  <si>
    <t>Diana Patricia Martínez/Magda Rodríguez</t>
  </si>
  <si>
    <t>47131700;95121503;14111828</t>
  </si>
  <si>
    <t>Suministro y distribución de elementos de oficina, útiles, papelería, cafetería y aseo a nivel nacional, así como a elaborar, suministrar y distribuir formas preimpresas especiales.</t>
  </si>
  <si>
    <t>PLAN INTEGRADO DE ACCIÓN ANUAL 2023 - PLAN INSTITUCIONAL DE CAPACITACIÓN</t>
  </si>
  <si>
    <t>FACULTAD</t>
  </si>
  <si>
    <t>PROGRAMA</t>
  </si>
  <si>
    <t>OBJETIVO PIC</t>
  </si>
  <si>
    <t>FORMADOR</t>
  </si>
  <si>
    <t>MODALIDAD</t>
  </si>
  <si>
    <t>TIPO</t>
  </si>
  <si>
    <t>POBLACIÓN A IMPACTAR</t>
  </si>
  <si>
    <t>DURACIÓN (HRS)</t>
  </si>
  <si>
    <t># FUNCIONARIOS</t>
  </si>
  <si>
    <t>(PREPARACIÓN ACADEMICA)</t>
  </si>
  <si>
    <t>(EJECUCIÓN ACADEMICA)</t>
  </si>
  <si>
    <t>CAPACIDADES PARA EL DESEMPEÑO</t>
  </si>
  <si>
    <t>INNOVACIÓN</t>
  </si>
  <si>
    <t xml:space="preserve">Desarrollar las competencias y habilidades de los funcionarios para crear y mejorar productos y servicios, promover la eficiencia de la compañía y consolidar los factores de competitividad </t>
  </si>
  <si>
    <t>MIXTO</t>
  </si>
  <si>
    <t>VOLUNTARIO</t>
  </si>
  <si>
    <t>Funcionarios de Planta de acuerdo a las necesidades de las áreas</t>
  </si>
  <si>
    <t>De acuerdo al programa que se defina x necesidades</t>
  </si>
  <si>
    <t>Enero - Mayo</t>
  </si>
  <si>
    <t>Segundo semestre</t>
  </si>
  <si>
    <t xml:space="preserve">Se gestionó formación para:
-Semana de la Innovación
-Vicepresidencia de Desarrollo Corporativo en Emprendimiento, Gestión del Conocimiento e Innovación.
-Escuela de Liderazgo con el componente de Creatividad e Innovación </t>
  </si>
  <si>
    <t>CAPACIDADES HUMANAS</t>
  </si>
  <si>
    <t>EXPERIENCIAL DEL CLIENTE</t>
  </si>
  <si>
    <t>Desarrollar conocimientos que permitan crear valor de manera apropiada, diferencial y continua para los clientes objetivo de Previsora</t>
  </si>
  <si>
    <t>Segundo trimestre</t>
  </si>
  <si>
    <t>Se realizo formación en:
-Mapas de Experiencia
-Taller Arquetipo
-Proyecto Exploración Experiencia al Cliente Previsora.
-Seminario el Poder de las Ventas - Sucursales</t>
  </si>
  <si>
    <t>TRANSFORMACIÓN DIGITAL</t>
  </si>
  <si>
    <t>Desarrollar las competencias y habilidades digitales de los funcionarios para crear y mejorar productos y servicios</t>
  </si>
  <si>
    <t>Febrero - Mayo</t>
  </si>
  <si>
    <t>Se realizó formación en:
-Habilidades Ofimáticas
-Uso y apropiación de Office 365
-Vicepresidencia de Desarrollo Corporativo en Emprendimiento, Gestión del Conocimiento e Innovación.</t>
  </si>
  <si>
    <t>CAPACIDADES MEDULARES</t>
  </si>
  <si>
    <t>CURSOS NORMATIVOS</t>
  </si>
  <si>
    <t xml:space="preserve">Fortalecer los conocimientos de la organización a través de los Cursos Normativos </t>
  </si>
  <si>
    <t>OBLIGATORIO</t>
  </si>
  <si>
    <t>Funcionarios de Planta</t>
  </si>
  <si>
    <t>De acuerdo al programa o tipo de formación que se defina.</t>
  </si>
  <si>
    <t>Presupuesto definido para el rubro de Capacitación y de acuerdo al programa final</t>
  </si>
  <si>
    <t>Enero-Febrero</t>
  </si>
  <si>
    <t>Para el 2023 los cursos normativos se trabajarán bajo las siguientes Actividades:
-Los ingresos realizarán la formación Normativa correspondiente en la Plataforma de la Universidad de la Sabana
- Se realizó capacitación de SAC 
- Se realizó evento de Comunicacione de SARO
- Se publico el curso virtual de Seguridad de la Información.</t>
  </si>
  <si>
    <t>ANÁLITICA DE DATOS</t>
  </si>
  <si>
    <t>Fortalecer los conocimientos para la toma de decisiones apalancadas en un modelo de analítica de datos que trasciendan a toda la organización.</t>
  </si>
  <si>
    <t>Primer trimestre</t>
  </si>
  <si>
    <t>Segundo Trimestre</t>
  </si>
  <si>
    <t>Se inicio: 
-Escuela de Liderazgo con el componente de TOGAF y Arquitectura Empresarial
-Se encuentra en planeación de las actividades: Ciencia de Datos y Programa de Power BI</t>
  </si>
  <si>
    <t>CULTURA ORGANIZACIONAL</t>
  </si>
  <si>
    <t>Sesión de alineación estratégica con Gerencia de Talento Humano, con el fin de conocer los principales elementos claves de impacto para el desarrollo del proyecto de Cultura Resiliente. La sesión se llevó a cabo el 26 de enero de 2023. 
Se alinearon los temas de Comunicaciones con el fin de acompañar el plan de endomarketing para el desarrollo del proyecto de Cultura Resiliente.
Presentación del plan de gestión integral del modelo de liderazgo en cada una de sus dimensiones; el documento fue entregado el 10 de febrero.
Realización del taller con líderes “Cultura Resiliente”; con el fin de crear y movilzar la co-responsabilidad y la contribución como parte fundamental en la consolidación del ecosistema cultural: Sesión realizada el 15 de febrero.Reuniones virtuales con los equipos por vicepresidencias. Listas de asistencia.
Se envía campaña de expectativa dando apertura al proceso de fortalecimiento de cultura resiliente en el 2023.
Se entrega material trabajado en el taller de co-creación a todos los líderes que participaron de la actividad.
Se hace entrega del manifiesto de líder Previsora para socialización.  Se envió material para video (palabras doctor Vélez, líderes hablando del manifiesto).
Ejecución de los talleres culturales en las sucursales Estatal y Centro Empresarial
Se realiza alineación del open cultural con la Gerencia de Servicio y la Presidencia Corporativo
Se diseña pieza gráfica para el open cultural con los respectivos ajustes.
Ejecución de los talleres culturales en la sucursal Centro de Servicios Masivos
Se revisa propuesta del guion y se replantea la actividad del panel por actividad de participación por áreas
Se diseña pieza gráfica para el open cultural con los respectivos ajustes.Se envía link para prueba y revisión de la encuesta de gestión del cambio a una muestra representativa.
Se definen fechas de citación junto con la pieza gráfica programando las sesiones del programa HRBP dirigido al equipo de Talento Humano.
Pieza de expectativa para actividad Entornos Saludables “YO”.
Actividad que promueve las buenas prácticas al interior de las áreas
Realización del taller Resignificando el propósito con el equipo de Talento Humano. Sesión 1 y 2 Canva Cultural
Realización de las sesiones 1 y 2 del programa de formación HRBP dirigido al equipo de Talento Humano.
Realización del open cultural como estrategia de conexión del proyecto con las personas y con el enfoque de orientación a potenciar desde la cultura la experiencia del cliente.
Elaboración estrategias y piezas de comunicación transversales al proyecto.
Taller Resignificando mi contribución, dirigido al equipo de Secretaría General
Taller Cultrua Resiliente dirigido al equipo sindical ASDECOS</t>
  </si>
  <si>
    <t>FORMACIÓN INTERNA EN PROCESOS DE LA COMPAÑÍA</t>
  </si>
  <si>
    <t xml:space="preserve">Brindar y gestionar capacitaciones adicionales producto de cambios en los procesos o información de interes que se requiera difundir por las áreas. </t>
  </si>
  <si>
    <t>En el transcurso del año de acuerdo a los requerimientos de las áreas</t>
  </si>
  <si>
    <t>Se realizar las capacitaciones internas solicitadas por las areas en el primer semestre de acuerdo al informe adjunto en soportes.</t>
  </si>
  <si>
    <t>FORMACIÓN EXTERNA PARA ACTUALIZACIÓN DE CONOCIMIENTOS RELACIONADOS CON LOS PROCESOS DE LA COMPAÑÍA</t>
  </si>
  <si>
    <t>Actualizar conocimientos y adquirir nuevas destrezas y habilidades que permitan una mejor adaptación al cambio y un desempeño eficiente en el entorno laboral.</t>
  </si>
  <si>
    <t>PROVEEDOR</t>
  </si>
  <si>
    <t>Presupuesto definido para el rubro de Capacitación Congresos Foros y Seminarios y de acuerdo al programa y población final</t>
  </si>
  <si>
    <t xml:space="preserve">Se gestionaron los requerimientos solicitadas por las areas en el primer semestre.
</t>
  </si>
  <si>
    <t>PLAN INTEGRADO DE ACCIÓN ANUAL 2023 - PLAN DE INCENTIVOS INSTITUCIONALES</t>
  </si>
  <si>
    <t>CATEGORIA</t>
  </si>
  <si>
    <t>NOMBRE DE LA ACTIVIDAD</t>
  </si>
  <si>
    <t>DESCRIPCION DE LA ACTIVIDAD</t>
  </si>
  <si>
    <t>ÁREA LÍDER</t>
  </si>
  <si>
    <t>PREMIO</t>
  </si>
  <si>
    <t>INDIVIDUAL</t>
  </si>
  <si>
    <t>COLECTIVO</t>
  </si>
  <si>
    <t>MES DE EJECUCIÓN</t>
  </si>
  <si>
    <t>MES DE PREMIACIÓN</t>
  </si>
  <si>
    <t>CRITERIOS DE EVALUACIÓN</t>
  </si>
  <si>
    <t>PLAN DE INCENTIVOS INSTITUCIONALES</t>
  </si>
  <si>
    <t>GESTION DEL DESEMPEÑO</t>
  </si>
  <si>
    <t>Reconocimiento Evaluación de Desempeño</t>
  </si>
  <si>
    <t>Se reconocerá el desempeño eficiente y sobresaliente por la calificación de evaluación de desempeño recibida durante el año inmediatamente anterior a los colaboradores que en su evaluación obtengan un puntaje superior al 95% y que hayan cumplido al 100% con su oferta de formación.</t>
  </si>
  <si>
    <t>GERENCIA DE TALENTO HUMANO - SUBGERENCIA DE DESARROLLO DE TALENTO HUMANO</t>
  </si>
  <si>
    <t>Bonos BigPass</t>
  </si>
  <si>
    <t>X</t>
  </si>
  <si>
    <t>Junio de 2023</t>
  </si>
  <si>
    <t>Julio de 2023</t>
  </si>
  <si>
    <t>40 funcionarios destacados en la evaluación de desempeño del año anterior y según la distribución de cupos de cada Vicepresidencia</t>
  </si>
  <si>
    <t>Concurso ejecutado</t>
  </si>
  <si>
    <t>Premiación de las 40 personas por Desempeño</t>
  </si>
  <si>
    <t>DESARROLLO Y CULTURA</t>
  </si>
  <si>
    <t>Programa "Tu sello cultural, nuestra identidad"</t>
  </si>
  <si>
    <t>Consta de 8 actividades que buscan fortalecer la apropiación del programa de cultura resiliente.</t>
  </si>
  <si>
    <t>Bonos BigPass y Puntos Compensar</t>
  </si>
  <si>
    <t>Abril a Diciembre de 2023</t>
  </si>
  <si>
    <t>Todos los colaboradores de la compañía que participen de los retos y actividades planteadas</t>
  </si>
  <si>
    <t>Se inició con el desarrollo de concursos planteados dentro de esta categoría</t>
  </si>
  <si>
    <t>Programa "Yo soy un líder trascendente"</t>
  </si>
  <si>
    <t>Consta de 4 actividades que buscan fortalecer el modelo de liderazgo trascendente.</t>
  </si>
  <si>
    <t>Programa "En Previsora somos mejora continua"</t>
  </si>
  <si>
    <t>Se invitará a los funcionarios a interiorizar los roles y responsabilidades del Sistema de Gestión Integral a través de una actividad lúdica (trivia), que será divulgada a través de Yammer, con el fin de lograr la toma de conciencia y aplicabilidad de sus responsabilidades frente al SGI</t>
  </si>
  <si>
    <t>GERENCIA DE INNOVACIÓN Y SUBGERENCIA DE ADMINISTRACIÓN DE PERSONAL</t>
  </si>
  <si>
    <t>Puntos Compensar</t>
  </si>
  <si>
    <t>Abril de 2023</t>
  </si>
  <si>
    <t>Criterios de Evaluación: Serán ganadores de la trivia los primeros 3 funcionarios que contesten mas rápido de acuerdo al registro establecido por el yammer.</t>
  </si>
  <si>
    <t>DIMENSIÓN 2. DIRECCIONAMIENTO ESTRATÉGICO</t>
  </si>
  <si>
    <t xml:space="preserve">D2. PLANEACIÓN INSTITUCIONAL </t>
  </si>
  <si>
    <t>#SEREXPERIENCIA</t>
  </si>
  <si>
    <t>Satisfacción cliente</t>
  </si>
  <si>
    <t>Premiación áreas con resultados destacados en la encuesta cliente interno y final.</t>
  </si>
  <si>
    <t>Enero a Diciembre de 2022</t>
  </si>
  <si>
    <t>Se premiarán a las 4 áreas de casa matriz que obtengan los mejores puntajes en la encuesta de cliente interno.
Se premiarán a las 4 sucursales que obtengan los mejores puntajes en la encuesta de cliente final.</t>
  </si>
  <si>
    <t>TRANSFORMACION DIGITAL E INNOVACION</t>
  </si>
  <si>
    <t>Semana de la Creatividad y la Innovación</t>
  </si>
  <si>
    <t>La Gerencia de Innovación y Procesos como área estratégica y transversal a la entidad fomenta y desarrolla acciones orientadas a la generación de una cultura de innovación en la compañía, enmarcado en la Campaña Cultura NOVA lanzada en 2020 y que desde el 2021 celebra de manera anual la semana de la innovación con motivo del día internacional de la creatividad y la innovación. En esta semana confluyen actividades basadas en las directrices estratégicas de #innovaciónaplicada, #aunclic, #clientecentrico, #agilidad empresarial con la participación de actores internos y externos, juegos, concursos, webinars, entre otros.</t>
  </si>
  <si>
    <t>Mayo de 2023</t>
  </si>
  <si>
    <t>Va dirigida a toda la compañía, no obstante se buscará incentivar principalmente grupos de trabajo interdisciplinarios y funcionarios que logren los objetivos propuestos para cada día. Se propone premiar como mínimo 5 grupos de 4 personas cada uno (interdisciplinarios) y 5 personas (una por cada día).</t>
  </si>
  <si>
    <t>Innovación abierta</t>
  </si>
  <si>
    <t>La innovación abierta consiste en un modelo de gestión de la innovación basado en la colaboración con partes interesadas de las empresas (internos y externos). Genera una cultura de creatividad, aumenta la empatía con partes interesadas, fortalece la comunicación en doble vía, incrementa el acceso a soluciones disruptivas y gestiona abiertamente el conocimiento para prototipar barato y reducir el time to market. Se ejecutará durante un mes a través del apoyo de un consultor externo.</t>
  </si>
  <si>
    <t>Bonos Sodexo</t>
  </si>
  <si>
    <t>Va dirigido a partes interesadas internas y externas que constituirán equipos de trabajo para idear, cocrear, prototipar y testear las soluciones. Se premiarán a las 3 mejores soluciones propuestas por los equipos integrados por internos y externos.
Así mismo, busca incentivar a los funcionarios que participen del 100% de las sesiones convocadas.</t>
  </si>
  <si>
    <t>En proceso</t>
  </si>
  <si>
    <t>Programa de Gestión del Conocimiento y la Innovación</t>
  </si>
  <si>
    <t>Programa que se compone de una serie de actividades enfocadas a fortalecer las competencias, habilidades, destrezas y conocimientos de los funcionarios en los dos elementos clave del Programa, así como en diferentes metodologías, herramientas, tips, buenas prácticas, entre otros. Se ejecutará a través de un plan de trabajo definido y un plan de Comunicaciones (Conexión NOVA) a través de los cuales se generarán diferentes retos para aplicar el conocimiento.</t>
  </si>
  <si>
    <t>De febrero a noviembre de 2023</t>
  </si>
  <si>
    <t>De marzo a diciembre de 2023</t>
  </si>
  <si>
    <t>Todos los funcionarios, buscando incentivar a equipos multidisciplinarios o funcionarios individuales según la complejidad de cada actividad.</t>
  </si>
  <si>
    <t>Mi álbum de transformación digital</t>
  </si>
  <si>
    <t>Reconocer el impacto que han tenido las diferentes iniciativas de transformación digital (proyectos,  herramientas colaborativas,  campañas informativas, fortalecimiento de la estrategia) en la operación diaria de nuestros procesos.
Generación de contenido creativo digital apoyado en aplicaciones y/o herramientas de edición fotográfica o video que den como resultado un videoclip, reels, podcast de máximo un minuto en el que se comparta, de forma individual, como se vive la transformación digital y se invite a la audiencia a sumarse al cambio en Previsora.
La actividad consiste en 5 módulos tipo juego, que al ser resueltos darán 6 láminas digitales por cada actividad, para un total de 30 láminas. las actividades se lanzaran 2 por semana. El colaborador podrá intercambiar láminas con otros colaboradores ya que las láminas se otorgan de manera aleatoria.</t>
  </si>
  <si>
    <t>SUBGERENCIA DE TRANSFORMACIÓN DIGITAL</t>
  </si>
  <si>
    <t>Marzo y abril de 2023</t>
  </si>
  <si>
    <t>Todos los colaboradores de la compañía: Los ganadores de la actividad serán aquellos que llenen el álbum digital a la menor brevedad. Por lo que los incentivos se otorgarán en un raniking que los colaboradores puedan ver en tiempo real el puesto en el que se encuentran.
1 Puesto- $ 1,000,000 
2 Puesto-$ 800,000 
3 Puesto-$ 500,000 
4 Puesto-$ 200,000 
5 Puesto- $ 200,000 
6 Puesto- $ 200,000 
7 Puesto- $ 200,000 
8 Puesto- $ 100,000 
9 Puesto- $ 100,000 
10 Puesto- $ 100,000 
8 sorteos aleatorios de $100,000 cada uno para los participantes que completen las 30 láminas desde la posición 11 en adelante.</t>
  </si>
  <si>
    <t>NUESTRA ESTRATEGIA</t>
  </si>
  <si>
    <t>Recordemos "Nuestra estrategia corporativa"</t>
  </si>
  <si>
    <t>Juego para reforzar el conocimiento de nuestro plan estratégico corporativo. Adicionalmente, comunicar los ajustes al Plan Estratégico alineado al plan de gobierno nacional.</t>
  </si>
  <si>
    <t>GERENCIA DE PLANEACION</t>
  </si>
  <si>
    <t>Julio y agosto de 2023</t>
  </si>
  <si>
    <t>Septiembre de 2023</t>
  </si>
  <si>
    <t>Por definir de acuerdo con lo que se trabaje con la Universidad de la Sabana.
Presupuesto estimado: $3.000.000</t>
  </si>
  <si>
    <t xml:space="preserve">Concurso de fotografía </t>
  </si>
  <si>
    <t>Participar con una foto relacionada con los productos foco definidos desde Negocios privados para el 2023, fotos propias, ceder derechos de autor, cumplir con una buena resolución, calidad y composición ser estética.
Participar con una foto relacionada con el ambiente laboral, equipo de trabajo y día a día en Previsora Seguros, fotos propias, ceder derechos de autor, cumplir con una buena resolución, calidad y composición ser estética, incluir la Marca Previsora.</t>
  </si>
  <si>
    <t>OFICINA DE MERCADEO Y PUBLICIDAD</t>
  </si>
  <si>
    <t>Abril y mayo de 2023</t>
  </si>
  <si>
    <t>Todos los colaboradores de la compañía que participen enviando por lo menos una foto que cumpla con todas las especificaciones definidas en el concurso.</t>
  </si>
  <si>
    <t>Campaña "Servidores Públicos"</t>
  </si>
  <si>
    <t>Incrementar las ventas del producto AU LIVIANOS SERVIDORES PÚBLICOS, dando cumplimiento al Plan Estratégico de la Compañía y aprovechando la relación actual con entidades del segmento Estatal</t>
  </si>
  <si>
    <t>SUBGERENCIA DE NEGOCIOS DE PERSONAS</t>
  </si>
  <si>
    <t>Octubre de 2022 a Febrero de 2023</t>
  </si>
  <si>
    <t>Se premiará a los equipos de suscriptores y expedidores de las sucursales que cumplan con los siguientes criterios: Producción, # Funcionarios (Servidores Públicos) vinculados, Cartera Al Día y Siniestralidad Máxima</t>
  </si>
  <si>
    <t>PARTICIPACION EN EVENTOS</t>
  </si>
  <si>
    <t>Participación en eventos deportivos</t>
  </si>
  <si>
    <t>Realizar una actividad  de cierre en el mes de noviembre para todos los deportistas que participen en las diferentes disciplinas de entidades externas en nombre de la Compañía.</t>
  </si>
  <si>
    <t>SUBGERENCIA DE ADMINISTRACIÓN DE PERSONAL</t>
  </si>
  <si>
    <t>Enero a Diciembre de 2023</t>
  </si>
  <si>
    <t>Noviembre de 2023</t>
  </si>
  <si>
    <t>Todos los colaboradores de la compañía que participen en eventos deportivos organizados por externos (individuales o grupales) en representación de la compañía.</t>
  </si>
  <si>
    <t>PLAN INTEGRADO DE ACCIÓN ANUAL 2023 - PLAN ANUAL DE SEGURIDAD Y SALUD EN EL TRABAJO</t>
  </si>
  <si>
    <t>OBJETIVO DEL SG-SST</t>
  </si>
  <si>
    <t>ESTANDAR</t>
  </si>
  <si>
    <t>PROGRAMA O TEMA RELACIONADO</t>
  </si>
  <si>
    <t>ACTIVIDAD</t>
  </si>
  <si>
    <t>RESPONABLE</t>
  </si>
  <si>
    <t>FRECUENCIA</t>
  </si>
  <si>
    <t>14. Cumplir la normatividad nacional vigente aplicable en materia de riesgos laborales.</t>
  </si>
  <si>
    <t>E1. RECURSOS</t>
  </si>
  <si>
    <t>RESPONSABILIDADES</t>
  </si>
  <si>
    <t>Actualizar designacion del Responsable de SST en casa matriz.  Divulgar las responsabilidades en SST a todos los niveles</t>
  </si>
  <si>
    <t>Carta de designacón de responsable del SGSST</t>
  </si>
  <si>
    <t>Asignados por parte de la ARL</t>
  </si>
  <si>
    <t>E2. GESTIÓN INTEGRAL DEL SG-SST</t>
  </si>
  <si>
    <t>DOCUMENTACIÓN</t>
  </si>
  <si>
    <t>Realizar actualizacion de los documentos y registros del SG</t>
  </si>
  <si>
    <t>Documentos actualizados del SGSST</t>
  </si>
  <si>
    <t xml:space="preserve">NORMATIVIDAD VIGENTE EN SST </t>
  </si>
  <si>
    <t>Actualización de la Matriz Legal en SST</t>
  </si>
  <si>
    <t>Matriz de requisitos legales SGSST</t>
  </si>
  <si>
    <t>Se realiza actualización de matriz de peligros y se remite en Normograma al area de cumplimiento para respectiva publicación</t>
  </si>
  <si>
    <t>2. Implementar acciones de mejora eficaces en los procesos que minimicen la recurrencia de errores.</t>
  </si>
  <si>
    <t>CONTRATISTAS</t>
  </si>
  <si>
    <t>Revision del procedimiento, actualizacion de la relación de los proveedores</t>
  </si>
  <si>
    <t xml:space="preserve">Instructivo </t>
  </si>
  <si>
    <t>E3. GESTIÓN DE LA SALUD</t>
  </si>
  <si>
    <t xml:space="preserve">PROGRAMA DE VIGILANCIA EPIDEMIOLOGICA OSTEOMUSCULAR </t>
  </si>
  <si>
    <t>Actualización del Programa de Vigilancia Epidemiologica Osteomuscular y Plan de acción</t>
  </si>
  <si>
    <t>Documento PVE</t>
  </si>
  <si>
    <t xml:space="preserve">PROGRAMA DE VIGILANCIA EPIDEMIOLOGICA PSICOSOCIAL </t>
  </si>
  <si>
    <t>Actualización del Programa de Vigilancia Epidemiologica Psicosocial y Plan de acción</t>
  </si>
  <si>
    <t xml:space="preserve">PYP. PROGRAMA ESTILOS DE VIDA SALUDABLE </t>
  </si>
  <si>
    <t xml:space="preserve">Diseño de la politica para la intervención y prevención de Alcohol, tabaquismo y sustancias psicoactivas </t>
  </si>
  <si>
    <t>Documento politica</t>
  </si>
  <si>
    <t xml:space="preserve">PERFIL SOCIODEMOGRAFICO </t>
  </si>
  <si>
    <t xml:space="preserve">Actualización de los datos para el Perfil Sociodemografico </t>
  </si>
  <si>
    <t>informe perfil sociodemografico</t>
  </si>
  <si>
    <t>Propios de la compañia</t>
  </si>
  <si>
    <t>INDICADORES</t>
  </si>
  <si>
    <t>Actualizar estadistica y seguimiento de EL y AT</t>
  </si>
  <si>
    <t>Matriz de indicadores SGSST</t>
  </si>
  <si>
    <t>De manera mensual se realizan mediciones y se reporta el resultado al SGI, arrojando cumplimiento de las metas establecidas</t>
  </si>
  <si>
    <t>13. Asegurar la identificación, evaluación e intervención de los diferentes factores de riesgos y peligros significativos para la salud de los trabajadores.</t>
  </si>
  <si>
    <t>E4. GESTIÓN DE LOS PELIGROS Y RIESGOS</t>
  </si>
  <si>
    <t xml:space="preserve">IPEVR - MATRICES DE PELIGROS </t>
  </si>
  <si>
    <t>Actualizar las matrices de peligros y riesgos</t>
  </si>
  <si>
    <t>Matriz de peligros y riesgos</t>
  </si>
  <si>
    <t>E5. GESTIÓN DE LAS AMENAZAS</t>
  </si>
  <si>
    <t>PLAN DE EMERGENCIAS</t>
  </si>
  <si>
    <t>Actualización y divulgacion de planes emergencias incluyendo planos, elementos de seguridad y brigadas</t>
  </si>
  <si>
    <t>Documento plan de emergencia</t>
  </si>
  <si>
    <t>COPASST</t>
  </si>
  <si>
    <t>Acompañamiento a reuniones mensuales</t>
  </si>
  <si>
    <t>Acta de reunion</t>
  </si>
  <si>
    <t>Se realiza acompañamiento mensual a las reuniones de COPASST, tratando diferentes temas (Reporte condiciones, Inspecciones, mediciones ocupacionales)</t>
  </si>
  <si>
    <t>Se realiza acompañamiento mensual a las reuniones de COPASST, tratando diferentes temas (Reporte condiciones, Inspecciones, mediciones ocupacionales, avances plan de trabajo, mes de la salud)</t>
  </si>
  <si>
    <t>Capacitaciones a integrantes de comité</t>
  </si>
  <si>
    <t>Acta de asistencia a capacitaciones</t>
  </si>
  <si>
    <t>Se realiza capacitación al COPASST en practicas para el desarrollo de inspecciones de seguridad.</t>
  </si>
  <si>
    <t>Se realiza capacitación al COPASST en Identificación de péligros, evaluación, valoracion de riesgos y determinación de controles</t>
  </si>
  <si>
    <t xml:space="preserve">POLITICA Y OBJETIVOS DEL SG SST </t>
  </si>
  <si>
    <t>Divulgar la Politica y objetivos del SG</t>
  </si>
  <si>
    <t>Soportes de divulgación, correos y comunicados y publicaciones</t>
  </si>
  <si>
    <t>EVALUACIÓN DEL SG</t>
  </si>
  <si>
    <t>Reportar evaluacion de estandares minimos del SG SST ante el Ministerio de Trabajo y la ARL</t>
  </si>
  <si>
    <t>Informe de calificacion de estandares minimos</t>
  </si>
  <si>
    <t>Evaluacion de cumplimiento legal</t>
  </si>
  <si>
    <t>formato de evaluacion cumplimiento legal</t>
  </si>
  <si>
    <t>Socialización de las responsabilidades en SST a los Supervisores de Contrato de Previsora</t>
  </si>
  <si>
    <t>Induccion a proveedores nuevos</t>
  </si>
  <si>
    <t>Se realiza Reinducción a los contratistas UT Casa Matriz y Americana.</t>
  </si>
  <si>
    <t>Aplicación de prueba tamiz y morbilidad sentida, diagnostico</t>
  </si>
  <si>
    <t>Informe de morbilidad</t>
  </si>
  <si>
    <t xml:space="preserve">Consolidación de información de condiciones medicas osteomusculares de los funcionarios de acuerdo a los examenes y calificaciones </t>
  </si>
  <si>
    <t>Informe de examenes medicos</t>
  </si>
  <si>
    <t>Intervención a funcionarios que manifiesten sintomatologia osteomuscular en casa u oficina, inspección a su puesto de trabajo con fisioterapeuta.</t>
  </si>
  <si>
    <t>Soporte de seguimiento a estado de salud</t>
  </si>
  <si>
    <t>Se realiza inspección de puestos de trabajo a 14 funcionarios que manifestaron sintomatologia Osteomuscular en mayor grado</t>
  </si>
  <si>
    <t xml:space="preserve">Entrega de elementos de confort Casa Matriz y Sucursales </t>
  </si>
  <si>
    <t>Formato de entrega de EPP</t>
  </si>
  <si>
    <t xml:space="preserve">Campañas de Prevención de Riesgo Biomecanico, PAUSAS ACTIVAS </t>
  </si>
  <si>
    <t>Se realizan 3 campañas para la realización de las pausas activas,, cognitivas y fisicas</t>
  </si>
  <si>
    <t>Se realizan 3 campañas para la realización de las pausas activas,cognitivas y fisicas.</t>
  </si>
  <si>
    <t>12. Prevenir la ocurrencia de accidentes y enfermedades laborales.</t>
  </si>
  <si>
    <t>Intervención riesgo Psicosocial según resultados</t>
  </si>
  <si>
    <t>Derivado de la Bateria de R. Psicosocial se plantea y ejecuta una charla de manejo del duelo, asi como la intervención para el siguiente trimestre de entrevistas de profundización y escuelas de manejo saludable del estres.</t>
  </si>
  <si>
    <t>Derivado de la Bateria de R. Psicosocial se plantea y ejecuta una charla de reacción aguda al estres e higien del sueño.
Se ejecuto la ESCUELA VIVE + de manejo saludable del estres, ansiedad y depresion. Se comparten claves de salud mental a los asistentes.</t>
  </si>
  <si>
    <t>Desarrollo de actividades de intervención</t>
  </si>
  <si>
    <t>Se realizan 3 actividades: Prevencion enfermedades Cardiovaculares, Alimentación saludable, enfermedades mas comunes en verano</t>
  </si>
  <si>
    <t>Desarrollo Semana vida saludable a nivel nacional</t>
  </si>
  <si>
    <t xml:space="preserve">Acta de asistencia a capacitaciones </t>
  </si>
  <si>
    <t xml:space="preserve">EVALUACIONES MEDICAS OCUPACIONALES </t>
  </si>
  <si>
    <t>Programación de examenes ocupacionales periodicos y notificacion de resultados, diagnostico de condiciones de salud</t>
  </si>
  <si>
    <t>Correo de notificacion y programacion de cita medica</t>
  </si>
  <si>
    <t>Se realizan examenes medicos ocupacionales periodicos para un total de 86 funcionarios.
Se extendio un segundo plazo para un grupo de 16 personas de casa matriz en el mes de julio, dado que algunos funcionarios se encontraban en vacaciones, y 24 de las sucursales que iniciaron entre el mes de junio y julio se espera obtener el informe en el segundo semestre.</t>
  </si>
  <si>
    <t>Gestionar casos de presunta enfermedad laboral o común que requiera manejo y seguimiento específico.</t>
  </si>
  <si>
    <t>Correo y acta de entrega de documentación</t>
  </si>
  <si>
    <t>Teniendo en cuenta que la información que se maneja de los casos de salud a los cuales se realiza seguimiento, son de manejo confidencial; Se informa que a cada caso se le realiza seguimiento de acuerdo con la necesidad, citas, controles médicos con especialistas, terapias, pausas activas, examen post incapacidad, reintegro, seguimiento a recomendaciones. Etc.
Se lleva un registro y carpeta por cada uno de los funcionarios, la cual se va actualizando a medida que el funcionario remite información o se recibe alguna notificación por parte de EPS, ARL o JR-JNCI</t>
  </si>
  <si>
    <t xml:space="preserve">MECANISMOS DE VIGILANCIA DE CONDICIONES DE SALUD </t>
  </si>
  <si>
    <t>Caraterización del ausentismo</t>
  </si>
  <si>
    <t>Cada mes se prepara la carcterización del ausentismo para preentar estadisticas al COPASST</t>
  </si>
  <si>
    <t>Mesas Laborales ARL POSITIVA</t>
  </si>
  <si>
    <t>Se lleva a cabo la prmera mesa laboral del año, junto con la ARL para revisar los procesos respectivos de los casos de salud.</t>
  </si>
  <si>
    <t>Se lleva a cabo la segunda mesa laboral del año, junto con la ARL para revisar los procesos respectivos de los casos de salud.</t>
  </si>
  <si>
    <t>REPORTE E INVESTIGACIÓN AT/EL</t>
  </si>
  <si>
    <t>Acompañar las investigaciones junto con el equipo investigador cada vez que  se presente un evento AT/EL (hacer seguimiento)</t>
  </si>
  <si>
    <t>Formato de investigacion de AL/EL</t>
  </si>
  <si>
    <t>Se acompañaron 2 investigaciones de AT, ocurridos en el mes de marzo</t>
  </si>
  <si>
    <t>No se presentan accidentes en el II trimestre del año</t>
  </si>
  <si>
    <t>PREVENCIÓN AT</t>
  </si>
  <si>
    <t>Ejecutar las actividades de prevencion de lesiones deportivas y caidas a nivel</t>
  </si>
  <si>
    <t>Desarrollo de simulacro de emergencia</t>
  </si>
  <si>
    <t>Informe de simulacro y registyro fotografico</t>
  </si>
  <si>
    <t>E6. VERIFICACIÓN DEL SG-SST</t>
  </si>
  <si>
    <t>Calcular indicadores de SST y reportar al BSC</t>
  </si>
  <si>
    <t>Mensualmente se calculan los indicadores y se pasa reporte al BCS, hasta el momento se cumplen las metas</t>
  </si>
  <si>
    <t>AUDITORIA</t>
  </si>
  <si>
    <t>Atender auditoria interna del SG</t>
  </si>
  <si>
    <t>Informe de resultados</t>
  </si>
  <si>
    <t>PRESUPUESTO</t>
  </si>
  <si>
    <t>Realizar seguimiento al presupuesto</t>
  </si>
  <si>
    <t>Soporte de ejecucion de presupuesto</t>
  </si>
  <si>
    <t>Actualmente no se ha desembolsado o usado el recurso del presupuesto, los contratos apenas estan iniciando ejecución</t>
  </si>
  <si>
    <t>SEGURIDAD SOCIAL</t>
  </si>
  <si>
    <t>Solicitar a revisoria fiscal certificacion de pago de aportes de SS</t>
  </si>
  <si>
    <t>Soportes de pago</t>
  </si>
  <si>
    <t>Se cargan certificados de paz y salvo de pagos de parafiscales</t>
  </si>
  <si>
    <t xml:space="preserve">COMITÉ DE CONVIVENCIA LABORAL </t>
  </si>
  <si>
    <t>Solicitar actas de reunion e informes de gestion</t>
  </si>
  <si>
    <t>Actas de reunion</t>
  </si>
  <si>
    <t>Se realiza seguimiento al CCL con el reporte de ejecución de reuniones y manejo de casos y capacitaciones
Se instala y nombra CCL en Junio.</t>
  </si>
  <si>
    <t>CAPACITACION Y COMUNICACIONES</t>
  </si>
  <si>
    <t>Conservar evidencias de inducciones en SST</t>
  </si>
  <si>
    <t>Se realiza seguimiento al cumplimiento de la induccion en SST por parte de la subgerencia de desarrollo y formación</t>
  </si>
  <si>
    <t>RENDICION DE CUENTAS</t>
  </si>
  <si>
    <t xml:space="preserve">Realizar rendicion de cuentas sobre el desempeño de los trabajadores en SST </t>
  </si>
  <si>
    <t>Informe de proceso de revision</t>
  </si>
  <si>
    <t>Reuniones de seguimiento al  cumplimiento de SST por parte de los Proveedores  clase de riesgo IV y V</t>
  </si>
  <si>
    <t>Fotrmato de evaluacion</t>
  </si>
  <si>
    <t>Se realiza seguimiento a los contratistas (UT Casa matriz, Comsenal y Americana)</t>
  </si>
  <si>
    <t>GESTION DE CAMBIO</t>
  </si>
  <si>
    <t>Realizar seguimiento al reporte de los cambios presentados</t>
  </si>
  <si>
    <t>Formato de control de cambios</t>
  </si>
  <si>
    <t>Se documenta por obra hidrosanitaria</t>
  </si>
  <si>
    <t>Revisión de la realización de examenes Post Incapacidad</t>
  </si>
  <si>
    <t xml:space="preserve">Conceptos medicos </t>
  </si>
  <si>
    <t>Se practican 3 examenes post incapacidad de personal que completado hasta 30 dias continuos de incapacidad</t>
  </si>
  <si>
    <t>Se practican 6 examenes post incapacidad de personal que completado hasta 30 dias continuos de incapacidad</t>
  </si>
  <si>
    <t>REPORTE E INVESTIGACION AT/EL</t>
  </si>
  <si>
    <t>Realizar seguimiento a la ejecución de  los planes de accion de las no conformidades derivadas por AT/EL</t>
  </si>
  <si>
    <t>Matriz de planes de acción</t>
  </si>
  <si>
    <t>Se realiza seguimiento a planes de accion cerrados efectivamente</t>
  </si>
  <si>
    <t xml:space="preserve">Verificar la implementación de las acciones de intervención y control para los riesgos prioritrios (No aceptables y  Aceptables con Control) </t>
  </si>
  <si>
    <t xml:space="preserve">INSPECCIONES DE SEGURIDAD </t>
  </si>
  <si>
    <t>Realizar seguimiento a inspecciones planeadas según Cronograma de inspecciones de Seguridad</t>
  </si>
  <si>
    <t>Formato de inspecciones</t>
  </si>
  <si>
    <t>Desde el COPASST se realiza un cronograma para que los integrantes acompañen las inspecciones de seguridad.
Se inicia con el recorrido por la "L" y otros en el exterior de Casa Matriz</t>
  </si>
  <si>
    <t>Se finalizan las inspecciones de Casa Matriz y se socializan en reuniones del COPASST para validar los avances</t>
  </si>
  <si>
    <t>Realizar seguimiento del plan SST/indicadores por parte de la Subgerencia</t>
  </si>
  <si>
    <t>Matriz de indicadores SGSST
Grupo primario presentación</t>
  </si>
  <si>
    <t>Se realiza revision y envio mensual de los indicadores alineados a los objetivos estrategicos, en los cuales se evdiencia el cumplimiento de las metas establecidas</t>
  </si>
  <si>
    <t>Se realiza revision y envio mensual de los indicadores alineados a los objetivos estrategicos, en los cuales se evdiencia el cumplimiento de las metas establecidas, se socializa en grupo primario avances del plan de trabajo</t>
  </si>
  <si>
    <t>REVISION POR LA DIRECCION</t>
  </si>
  <si>
    <t>Realizar Revisión por la dirección del SG SST</t>
  </si>
  <si>
    <t>E7. MEJORAMIENTO</t>
  </si>
  <si>
    <t>ACCIONES PREVENTIVAS, CORRECTIVAS Y DE MEJORA</t>
  </si>
  <si>
    <t>Definicion y seguimiento a las acciones preventivas  corrrectivas y de mejora derivadas de la gestion del SG SST</t>
  </si>
  <si>
    <t>Se realiza segumiento a las acciones derivadas de las investigaciones de los 2 accidentes de trabajo presentados en marzo, junto con los hallazgos identificados en el recorrido realizado por el COPASST a la "L"</t>
  </si>
  <si>
    <t>Se realiza seguimiento a las acciones derivadas de las inspecciones de seguridad y se realizan mesas de trabajo con contratos y cumplimiento</t>
  </si>
  <si>
    <t>PLAN INTEGRADO DE ACCIÓN ANUAL 2023 - PLAN ANTICORRUPCIÓN Y DE ATENCIÓN AL CIUDADANO</t>
  </si>
  <si>
    <t>I CUATRIMESTRE</t>
  </si>
  <si>
    <t>II CUATRIMESTRE</t>
  </si>
  <si>
    <t>III CUATRIMESTRE</t>
  </si>
  <si>
    <t>Actividad del Plan No.</t>
  </si>
  <si>
    <t>Subactividad No.</t>
  </si>
  <si>
    <t>COMPONENTE</t>
  </si>
  <si>
    <t>ACTIVIDAD CUATRIENAL</t>
  </si>
  <si>
    <t>ENTREGABLE</t>
  </si>
  <si>
    <t>PLANEACIÓN</t>
  </si>
  <si>
    <t>Peso</t>
  </si>
  <si>
    <t>% Avance Cuatrimestre I</t>
  </si>
  <si>
    <t>% Avance Cuatrimestre II</t>
  </si>
  <si>
    <t>% Avance Cuatrimestre III</t>
  </si>
  <si>
    <t>% Programado I C</t>
  </si>
  <si>
    <t>% Avance I C</t>
  </si>
  <si>
    <t>Seguimiento I Cuatrimestre</t>
  </si>
  <si>
    <t>% Programado II C</t>
  </si>
  <si>
    <t>% Avance II C</t>
  </si>
  <si>
    <t>Seguimiento II Cuatrimestre</t>
  </si>
  <si>
    <t>% Programado III C</t>
  </si>
  <si>
    <t>% Avance III C</t>
  </si>
  <si>
    <t>Seguimiento III Cuatrimestre</t>
  </si>
  <si>
    <t>Peso Componente</t>
  </si>
  <si>
    <t>P</t>
  </si>
  <si>
    <t>E</t>
  </si>
  <si>
    <t>GERENCIA DE RIESGOS</t>
  </si>
  <si>
    <t>PRIMER COMPONENTE: Gestión de Riesgos de Corrupción</t>
  </si>
  <si>
    <t>Realizar la revisión de 5 procesos misionales donde se tengan identificados riesgos de corrupción, con el fin de realizar la actualización de los mismos.</t>
  </si>
  <si>
    <t>Mapa Actualizado y publicado en página Web, según el número de procesos definidos.</t>
  </si>
  <si>
    <t>HUMANOS, TECNOLÓGICOS, FÍSICOS Y FINANCIEROS</t>
  </si>
  <si>
    <t>Se definieron los cinco procesos objeto de revisión: Contratar bienes y servicios, gestionar siniestros automóviles, gestionar siniestos soat y ap, gestionar siniestros ramos generales, patrimoniales y vida, suscribir pólizas de negocios.</t>
  </si>
  <si>
    <t>Fortalecer la cultura de gestión de riesgos de corrupción en la Compañía a traves del envió de manera cuatrimestral  de comunicados alusivos al tema.</t>
  </si>
  <si>
    <t>Correo de comunicado publicado.</t>
  </si>
  <si>
    <t>Gestionar los casos reportados mediante los canales de denuncia</t>
  </si>
  <si>
    <t>Relación de casos gestionados</t>
  </si>
  <si>
    <t>Se recibieron cuatro casos, dos están en investigación y dos están cerrados.</t>
  </si>
  <si>
    <r>
      <t>GERENCIA DE INNOVACIÓN Y PROCESOS</t>
    </r>
    <r>
      <rPr>
        <sz val="11"/>
        <color rgb="FF000000"/>
        <rFont val="Calibri"/>
        <family val="2"/>
        <scheme val="minor"/>
      </rPr>
      <t xml:space="preserve"> / GERENCIA DE RIESGOS / VP COMERCIAL / GERENCIA DE TALENTO HUMANO / GERENCIA DE SERVICIO / OFICINA DE CONTROL INTERNO DISCIPLINARIO / JEFE OFICINA MERCADEO Y PUBLICIDAD / SECRETARÍA GENERAL</t>
    </r>
  </si>
  <si>
    <t>Revisar y actualizar el Manual de Políticas del Plan Anticorrupción y Atención al Ciudadano, fortaleciendo principalmente los componentes de riesgos anticorrupción, Rendición de Cuentas y Transparencia</t>
  </si>
  <si>
    <t>Manual actualizado con todos los componentes
Meta: 100% avance en la actualización del Manual a 31 de diciembre de 2023</t>
  </si>
  <si>
    <t>No aplica seguimiento para este cuatrimestre. Se iniciará en mayo la revisión del Manual PAAC.</t>
  </si>
  <si>
    <t>JEFE OFICINA DE MERCADEO Y PUBLICIDAD, PROFESIONAL OFICINA MERCADEO Y PUBLICIDAD</t>
  </si>
  <si>
    <t>TERCER COMPONENTE: RENDICIÓN DE CUENTAS: Subcomponente 1</t>
  </si>
  <si>
    <t>Publicar el primer informe periódico de rendición de cuentas corte a diciembre 2022 en la página web.</t>
  </si>
  <si>
    <t xml:space="preserve">La Oficina de Mercadeo realiza la consolidación y el diseño completo del Informe de Gestión </t>
  </si>
  <si>
    <t>Se realizó la publicación correspondiente del informe de gestión en la página web
https://www.previsora.gov.co/previsora/sites/default/files/INFORME-DE-GESTION-2022-FINAL-1v3.pdf</t>
  </si>
  <si>
    <t>Informar avances y resultados de la gestión con calidad y en lenguaje comprensible</t>
  </si>
  <si>
    <t>Publicar los resultados más importantes del primer semestre</t>
  </si>
  <si>
    <t>La Oficina de Mercadeo realiza la consolidación y el diseño completo de la información</t>
  </si>
  <si>
    <t>No aplica seguimiento para este cuatrimestre.</t>
  </si>
  <si>
    <t xml:space="preserve">Se anexa publicación de gestión comercial Previsora I Semestre 2023
</t>
  </si>
  <si>
    <t>Divulgar los resultados de la Compañía en el año 2023 por vicepresidencias</t>
  </si>
  <si>
    <t>Se comunicarán los aspectos relevantes de la gestión de las diferentes áreas de la compañía, por medio de buena nota, Comunicaciones Corporativas, Yammer, redes sociales.</t>
  </si>
  <si>
    <t>Se  adjunta soporte de resultados, gestión y proyectos</t>
  </si>
  <si>
    <t>Carta del Presidente</t>
  </si>
  <si>
    <t>Se elaborará una carta gráfica del Presidente con los resultados más importantes y será enviada a todos los funcionarios, para realizarse su seguimiento en el próximo cuatrimestre</t>
  </si>
  <si>
    <t>TERCER COMPONENTE: RENDICIÓN DE CUENTAS: Subcomponente 2</t>
  </si>
  <si>
    <t>Promover el uso del Buzón abierto Previsora</t>
  </si>
  <si>
    <t>Se invitará a los funcionarios, que trimestralmente le envíen preguntas vía correo electrónico al presidente de la Compañía. Estas se responderán por medios de los canales oficiales internos o directamente al funcionario</t>
  </si>
  <si>
    <t>Se adjunta soporte del correo enviado a los colaboradores del Buzón Abierto</t>
  </si>
  <si>
    <t xml:space="preserve">Se anexa publicaciones que incentiven al uso del Buzón Abierto Previsora a los funcionarios. </t>
  </si>
  <si>
    <t>Desarrollar escenarios de diálogo de doble vía con la ciudadanía y sus organizaciones</t>
  </si>
  <si>
    <t>Diseñar cronograma que identifica y define los espacios de diálogo presenciales (mesas de trabajo, foros, reuniones, etc.), y  virtuales complementarios (chat, videoconferencias, webinars, etc.), que se emplearán para rendir cuentas: 1) Sobre los temas de interés priorizados, y 2) Sobre la gestión general de la entidad.</t>
  </si>
  <si>
    <t xml:space="preserve">Divulgar cronograma que defina los espacios de diálogo presenciales y virtuales de rendición de cuentas </t>
  </si>
  <si>
    <t>Se adjunta soporte del cronograma de actividades de Rendición de Cuentas</t>
  </si>
  <si>
    <t>TERCER COMPONENTE: RENDICIÓN DE CUENTAS: Subcomponente 3</t>
  </si>
  <si>
    <t>Diseñar una encuesta de satisfacción sobre la comunicación de resultados al interior de la compañía</t>
  </si>
  <si>
    <t>A través de forms, mercadeo solicitará el diligenciamiento de la encuesta y comunicará el resultado obtenido</t>
  </si>
  <si>
    <t xml:space="preserve">Se adjuntan resultados de medición de indicadores asociados a satisfacción
</t>
  </si>
  <si>
    <t>Responder a compromisos propuestos, evaluación y retroalimentación en los ejercicios de rendición de cuentas con acciones correctivas para mejora</t>
  </si>
  <si>
    <t>TERCER COMPONENTE: RENDICIÓN DE CUENTAS: Subcomponente 3
Responder a compromisos propuestos, evaluación y retroalimentación en los ejercicios de rendición de cuentas con acciones correctivas para mejora</t>
  </si>
  <si>
    <t>Diseñar formato interno de reporte de las actividades de rendición de cuentas que se realizarán en toda la entidad que como mínimo contenga:
-Actividades realizadas
-Grupos de valor involucrados
-Temas y/o metas institucionales asociadas a las actividades realizadas de rendición de cuentas
- Observaciones, propuestas y recomendaciones de los grupos de valor.
- Resultado de la participación</t>
  </si>
  <si>
    <t>Este informe será publicado en la página web</t>
  </si>
  <si>
    <t>CUARTO COMPONENTE: MECANISMOS PARA MEJORAR LA ATENCIÓN AL CIUDADANO</t>
  </si>
  <si>
    <t>Encuestas de satisfacción Clientes y usuarios finales</t>
  </si>
  <si>
    <t>Encuestas de servicio aplicadas y nivel de satisfacción de usuarios medido (cliente final)</t>
  </si>
  <si>
    <t>Se realiza encuesta de cliente final con resultados a mes de marzo. En este momento se encuentra en medición y tabulación los resultados correspondientes al mes de abril. 
Se adjunta link de consulta 
https://app.powerbi.com/view?r=eyJrIjoiNTdiNTNmMDMtYTAxYi00MzVjLWJlY2EtOTFiNDJhZTBlNDY4IiwidCI6IjRjYTRjNjYxLTgzYjUtNDc1NS1hZjc5LWMwYzg0ZGI3NTJmMCIsImMiOjR9</t>
  </si>
  <si>
    <t>Indicador: número de encuestas realizadas con nivel de satisfacción medido.
Meta: 11 encuestas con corte 30 de diciembre (mensualmente y posterior finalización de cada mes)</t>
  </si>
  <si>
    <t>Encuestas de satisfacción intermediarios (Agentes y Agencias)</t>
  </si>
  <si>
    <t>Encuestas de servicio aplicadas y nivel de satisfacción de usuarios medido (aliados)</t>
  </si>
  <si>
    <t>Se realiza encuesta de satisfacción Aliado Estratégico primer trimestre 2023
Se adjunta link de consulta 
https://app.powerbi.com/view?r=eyJrIjoiMjIyNDRmNmYtNjM1Mi00NTk3LWI0YTQtNDcwYWIzZTlhYmVhIiwidCI6IjRjYTRjNjYxLTgzYjUtNDc1NS1hZjc5LWMwYzg0ZGI3NTJmMCIsImMiOjR9</t>
  </si>
  <si>
    <t>Se realiza encuesta de satisfacción Aliado Estratégico segundo trimestre 2023
Se adjunta link de consulta 
https://app.powerbi.com/view?r=eyJrIjoiMjIyNDRmNmYtNjM1Mi00NTk3LWI0YTQtNDcwYWIzZTlhYmVhIiwidCI6IjRjYTRjNjYxLTgzYjUtNDc1NS1hZjc5LWMwYzg0ZGI3NTJmMCIsImMiOjR9</t>
  </si>
  <si>
    <t>Indicador: número de encuestas realizadas con nivel de satisfacción medido.
Meta: 3 encuestas con corte 30 de diciembre (trimestral y posterior finalización de cada trimestre)</t>
  </si>
  <si>
    <t>Capacitación sobre temas relacionados con atención al cliente dirigida a los funcionarios de la compañía, acorde a los lineamientos del SAC y la Universidad Previsora</t>
  </si>
  <si>
    <t>Generar informes acerca del desarrollo de capacitaciones en Atención al Cliente</t>
  </si>
  <si>
    <t>Indicador: Número de informes generados, con corte a 31 de diciembre de 2023.
Meta: 1</t>
  </si>
  <si>
    <t>GERENCIA DE SERVICIO / GERENCIA DE TALENTO HUMANO</t>
  </si>
  <si>
    <t>Implementar incentivos para motivar la excelencia en la atención al cliente</t>
  </si>
  <si>
    <t>Informe de Incentivos aplicados relacionados con motivación a la excelencia en la atención al cliente</t>
  </si>
  <si>
    <t>No aplica seguimiento para este periodo.</t>
  </si>
  <si>
    <t>Indicador: Entrega de resultados, de manera semestral, antes de 31 de diciembre de 2023.
Meta: 1 Acta de socialización ante el Comité SAC de los reconocimientos realizados por Talento Humano, con corte a 30 de junio.</t>
  </si>
  <si>
    <t>Realizar seguimiento permanente al comportamiento de las PQR</t>
  </si>
  <si>
    <t>Presentación del comportamiento de PQRs en los comités de SAC</t>
  </si>
  <si>
    <t>Indicador: Número de comités generados
Meta: Comité cierre 2022, comité 1 trimestre, comité 2 trimestre, comité 3 trimestre</t>
  </si>
  <si>
    <r>
      <t>GERENCIA DE SERVICIO /</t>
    </r>
    <r>
      <rPr>
        <sz val="11"/>
        <color rgb="FF000000"/>
        <rFont val="Calibri"/>
        <family val="2"/>
        <scheme val="minor"/>
      </rPr>
      <t>GERENCIA DE TALENTO HUMANO / OFICINA DE MERCADEO Y PUBLICIDAD / GERENCIA DE INNOVACIÓN Y PROCESOS / GERENCIA JURÍDICA / TODOS LOS LIDERES DE COMPONENTES</t>
    </r>
  </si>
  <si>
    <t>Incorporación Lenguaje Claro en la Compañía</t>
  </si>
  <si>
    <t>Capacitar sobre lenguaje claro y trato justo a los responsables de dar respuesta a PQR's en la compañía.</t>
  </si>
  <si>
    <t>No aplica seguimiento para este cuatrimestre</t>
  </si>
  <si>
    <t>3 Capacitaciones para las áreas y/o sucursales tramitadoras
1 Webinar en Yammer</t>
  </si>
  <si>
    <t>Realizar seguimiento cuatrimestral a la ejecución del PAAC en el Comité Institucional de Gestión y Desempeño</t>
  </si>
  <si>
    <t>Realizar seguimiento trimestral al PAAC</t>
  </si>
  <si>
    <t>No aplica seguimiento para este cuatrimestre, el seguimiento al PAAC del primer cuatrimestre se realizará en el segundo Comité de Gestión y Desempeño antes de finalizar el segundo cuatrimestre.</t>
  </si>
  <si>
    <t>La presentación del avance del PAAC fue realizada en el Comité Institucional de Gestión y Desempeño de julio.
Como evidencia se adjunta la presentación realizada en el Comité.</t>
  </si>
  <si>
    <t>Indicador: Actas de seguimiento generadas
Meta: 3 Actas generadas con corte 30 de abril, 30 de agosto y 30 de diciembre de 2023, de acuerdo con lo expuesto en el Comité de Gestión y Desempeño y las auditorías realizadas por la Oficina de Control Interno.</t>
  </si>
  <si>
    <t>QUINTO COMPONENTE: MECANISMOS PARA LA TRANSPARENCIA Y ACCESO A LA INFORMACIÓN</t>
  </si>
  <si>
    <t>Asegurar la realización de Auditorías al Plan Anticorrupción y de Atención al Ciudadano (cuatrimestre)</t>
  </si>
  <si>
    <t>Informes de Auditorias (3)</t>
  </si>
  <si>
    <t>HUMANOS, OPERATIVO, TECNOLÓGICOS, FÍSICOS Y FINANCIEROS</t>
  </si>
  <si>
    <t>No aplica seguimiento para este cuatrimestre, teniendo en cuenta que la auditoría que realiza la OCI al PAAC del primer cuatrimestre se realizará al finalizar el primer cuatrimestre. El avance de la actividad se presentará para el segundo cuatrimestre.</t>
  </si>
  <si>
    <t>La auditoría fue realizada por parte de la Oficina de Control Interno y remitida a la Gerencia de Innovación y Procesos el 12 de mayo de 2023.
Como evidencia se deja la presentación de resultados que a su vez fueron compartidos en el Comité de Auditoría.</t>
  </si>
  <si>
    <t>Indicador: Auditoria Ejecutada/Auditoria Programada
Meta: 100% de cumplimiento de acuerdo al Progerama de Auditorias</t>
  </si>
  <si>
    <t>Asegurar la presentación de los resultados de la Auditoria del Plan Anticorrupción y de Atención al Ciudadano (cuatrimestre)</t>
  </si>
  <si>
    <t>Informes de Auditorias socializados (3)</t>
  </si>
  <si>
    <t>Los resultados de la auditoría fueron presentados en el Comité de Auditoría del 22 de junio, por parte de la Oficina de Control Interno.
Como evidencia se deja la citación y el orden del día correspondiente.</t>
  </si>
  <si>
    <t>SECRETARÍA GENERAL</t>
  </si>
  <si>
    <t>Reportar el cumplimiento por parte de La Previsora  para la vigencia 2023 de los lineamientos del MINTIC Y DEL DAFP a la Procuraduría en el Reporte del índice de transparencia y acceso a la información  según lo estipulado por el Anexo 2 sobre Estándares de publicación y divulgación de información de la Resolución 1519 de 2020 del Ministerio de Tecnologías de la Información y las Comunicaciones. y/o la que la modique o sustituya.</t>
  </si>
  <si>
    <t>Resultado de auditoría efectuada por la Procuaduría del cumplimiento del índice de transpatencia y acceso a la información para la vigencia 2023.</t>
  </si>
  <si>
    <t>Se precisa que en el presente año MIN TIC y el DAFP no han realizado modificaciones o impartido nuevos lineamientos del índice de transparencia y acceso a la información; por tanto, el reporte de auditoria realizado por la PGN para el periodo 2022 se mantiene a la fecha, es decir, no existe modificación o cargue de información distinta a la que se realizó por esta entidad en el 2022. Se adjunta calificacion y/o reporte de auditoria PGN</t>
  </si>
  <si>
    <t>SEXTO COMPONENTE: INICIATIVAS ADICIONALES</t>
  </si>
  <si>
    <t>Capacitación sobre temas relacionados con derecho disciplinario convocadas por el Ministerio de Hacienda y Crédito Público</t>
  </si>
  <si>
    <t>Asistencia a capacitaciones</t>
  </si>
  <si>
    <t xml:space="preserve">HUMANOS,  TECNOLÓGICOS, </t>
  </si>
  <si>
    <t>El Ministerio de Hacienda y Crédito Público programó 2 sesiones a las cuales la Oficina de Control Interno Disciplinario asistió.</t>
  </si>
  <si>
    <t>Indicador: Número de asistencias a Capacitaciones sobre Derecho Disciplinario / Número de convocatorias a Capacitaciones sobre Derecho Disciplinario realizadas por el Ministerio de Hacienda y Crédito Público</t>
  </si>
  <si>
    <t xml:space="preserve">Sensibilizaciones al personal de planta en temas de derecho disciplinario a través de publicación trimestral en los diferentes canales de comunicación dispuestos en la compañía. </t>
  </si>
  <si>
    <t>Sensibilizaciones realizadas
Indicador: Número de  sensibilizaciones realizadas / 4</t>
  </si>
  <si>
    <t>HUMANOS, TECNOLÓGICOS</t>
  </si>
  <si>
    <t>Se realizó publicación en Comunicaciones Corporativas sobre "Manifestaciones que Constituyen Acoso Laboral" el día 1 de marzo de 2023</t>
  </si>
  <si>
    <t>Se realizó publicación en Comunicaciones Corporativas sobre "Manifestaciones que Constituyen Acoso Sexual en el lugar de trabajo" el día 20 de junio de 2023</t>
  </si>
  <si>
    <t>SEXTO COMPONENTE: INICIATIVAS ADICIONALES - INTEGRIDAD</t>
  </si>
  <si>
    <t>Alcanzar el nivel de apropiación de los valores de Previsora</t>
  </si>
  <si>
    <t>Nivel de apropiación valores en un 90%:</t>
  </si>
  <si>
    <t>HUMANOS,  TECNOLÓGICOS,  FINANCIEROS</t>
  </si>
  <si>
    <t>(Número de personas que contestaron entre 3 y 4 en la encuesta de apropiación de valores / Número Total de encuestas respondidas) * 100%</t>
  </si>
  <si>
    <t>PLAN INTEGRADO DE ACCIÓN ANUAL 2023 - PLAN ESTRATÉGICO DE TECNOLOGÍAS DE LA INFORMACIÓN</t>
  </si>
  <si>
    <t>GERENCIA DE T.I</t>
  </si>
  <si>
    <t>HOJA DE RUTA</t>
  </si>
  <si>
    <t>PROYECTO, INICIATIVA O ACTIVIDAD</t>
  </si>
  <si>
    <t>NOMBRE</t>
  </si>
  <si>
    <t>ALCANCE</t>
  </si>
  <si>
    <t>EVIDENCIA</t>
  </si>
  <si>
    <t>HOJA DE RUTA ESTRATEGIA DE T.I.</t>
  </si>
  <si>
    <t>SEGUIMIENTO HOJA DE RUTA ESTRATEGIA DE T.I. 2023</t>
  </si>
  <si>
    <t>Seguimiento de las actividades de socialización del PETI a las partes interesadas internas y externas y actualización del PETI 2022-2025.</t>
  </si>
  <si>
    <t>Registro de socializacion y versión actualizada del PETI en Isolución.</t>
  </si>
  <si>
    <t>Recurso Humano</t>
  </si>
  <si>
    <t>Recursos Propios</t>
  </si>
  <si>
    <t>De acuerdo con el cronograma se realizó socialización con VPDC, VPF y se publicó el PETI en Isolución.</t>
  </si>
  <si>
    <t>Seguimiento a los indicadores del PETI</t>
  </si>
  <si>
    <t>HOJA DE RUTA GOBIERNO DE T.I.</t>
  </si>
  <si>
    <t>SEGUIMIENTO HOJA DE RUTA GOBIERNO DE T.I. 2023</t>
  </si>
  <si>
    <t>Seguimiento de las actividades relacionadas con la hoja de ruta de Gobierno T.I.
Estructuración de las politicas Estratégicas, Tacticas y Operativas de T.I.
Sensibilizacion de las metodologias de proyectos T.I., TOGAF y MAE.
Formalización y socialización de la estructura de toma de decisiones de T.I.
Socialización de la gestión de T.I.</t>
  </si>
  <si>
    <t xml:space="preserve">Politicas de T.I. formalizadas.
Artefacto Toma de Decisiones de T.I.
Registro de capacitaciones realizadas.
</t>
  </si>
  <si>
    <t>Se definió el Catálogo de Políticas y se preparó el artefacto para inciar los Ciclos de documentación de las Políticas alinéandolas con las indicaciones del MINTIC y de la Superintendencia Financiera.</t>
  </si>
  <si>
    <t>Se realizó la socialización del plan de politicas de T.I.; Socialización de Toma de decisiones de T.I.; identificación de la normativida relacionada a componentes de T.I.</t>
  </si>
  <si>
    <t>HOJA DE RUTA USO Y APROPIACION T.I.</t>
  </si>
  <si>
    <t>SEGUIMIENTO HOJA DE RUTA USO Y APROPIACION DE T.I. 2023</t>
  </si>
  <si>
    <t>Re-entrenamiento sobre SISE
Reentrenamiento Herramientas de T.I. (por definir)
Analisis de Tendencias Tecnológicas del 2023</t>
  </si>
  <si>
    <t xml:space="preserve">Registro de reentrenamientos y capacitaciones
Informe de analisis de Tendencias Tecnológicas </t>
  </si>
  <si>
    <t>Recurso Humano
Recurso Tecnologico</t>
  </si>
  <si>
    <t>Se definieron los planea de capacitacion para el año 2023</t>
  </si>
  <si>
    <t>Se realizo la socialización de la metodologia de gestión de proyectos de T.I.</t>
  </si>
  <si>
    <t>HOJA DE RUTA SISTEMAS DE INFORMACIÓN</t>
  </si>
  <si>
    <t>SEGUIMIENTO HOJA DE RUTA SISTEMAS DE INFORMACIÓN</t>
  </si>
  <si>
    <t>Herramientas Monitoreo Fabrica de Software
Optimizacion procesos de negocio
Análisis para el desarrollo del módulo novedades por ramo.
Análisis optimización de reportes</t>
  </si>
  <si>
    <t>Artefacto de normalización de reportes
Modulo de novedades por ramo
Optimizacion flujo de viaticos y cifras de seguimiento y control SOAT.</t>
  </si>
  <si>
    <t xml:space="preserve">Se trabajaron en las siguientes actividades: 
Pruebas funcionales Migración versión ONBASE
Diseño blue-print (AS IS) de la arquitectura de reportería.
Avance en la elaboración del estudio de mercado Fabrica de Q.A.
Planeación diseño módulo de novedades por ramo. </t>
  </si>
  <si>
    <t>Se trabajaron las siguientes actividades: 
Continuación de la construcción del documento AS IS – TO BE, módulo de reportes.
Continuó del levantamiento de Información de cambios directos a BD para determinar hacía que ramos y roles se enfocaría el Módulo de Novedades por Ramo.
Se realizó la entrega del análisis Estudio de mercado para fábrica de QA
Se realizó la instalación Piloto Usuarios en producción para la Versión EP5 (Generales – Automóviles Gestión Proveedores).</t>
  </si>
  <si>
    <t>PROYECTO</t>
  </si>
  <si>
    <t>Consultoría Integración Interoperabilidad</t>
  </si>
  <si>
    <t>Diseñar, evaluar, y definir una solución tecnológica de integración e interoperabilidad para los sistemas de información de LA PREVISORA S.A. y la hoja de ruta que presente la visión detallada y la definición de la arquitectura objetivo de la solución deseada en cada una de las transiciones.</t>
  </si>
  <si>
    <t>Informe final y hoja de ruta de implementacion interoperabilidad</t>
  </si>
  <si>
    <t>RECURSO HUMANO</t>
  </si>
  <si>
    <t>RECURSOS PROPIOS</t>
  </si>
  <si>
    <t>Se realizó el analis de consultorias anteriores, levantamiento de informacion de requerimientos de integracion a interopreabilidad, reuniones con areas funcionales para determinar la arquitectura actual</t>
  </si>
  <si>
    <t xml:space="preserve">Se realizo el diseño de de la arquitectura propuesta y estudio de mercado técnico, desarrollo de los documentos de termino de referencia y hoja de ruta </t>
  </si>
  <si>
    <t>RECURSO FINANCIERO</t>
  </si>
  <si>
    <t xml:space="preserve">HOJA DE RUTA SERVICIOS TECNOLÓGICOS </t>
  </si>
  <si>
    <t>SEGUIMIENTO HOJA DE RUTA SERVICIOS TECNOLÓGICOS</t>
  </si>
  <si>
    <t>Mejora continua de los procesos de ITIL
Analisis de implementación de nube pública
Analisis Herramienta mesa de servicio
Fortalecimiento de gestión de eventos infaestructura T.I.</t>
  </si>
  <si>
    <t>Se trabajaron en las siguientes actividades: 
Evaluación del nivel de capacidad de procesos de servicios de T.I.
Reuniones con proveedores sobre nube pública.</t>
  </si>
  <si>
    <t>Se trabajaron las siguientes actividades:
Definición del proceso de gestión de eventos.
Diseño de mapa de interacciones con gestores de mesa de servicio.
Definiciones de tiempos de servicio asociados a las categorías del catálogo técnico para los especialistas de infraestructura.</t>
  </si>
  <si>
    <t xml:space="preserve">PLAN INTEGRADO DE ACCIÓN ANUAL 2023 - PLAN DE TRATAMIENTO DE RIESGOS DE SEGURIDAD Y PRIVACIDAD DE LA INFORMACIÓN </t>
  </si>
  <si>
    <t>TOTAL CUMPLIMIENTO AÑO</t>
  </si>
  <si>
    <t>D3. SEGURIDAD DIGITAL</t>
  </si>
  <si>
    <t>Gerencia de Riesgos</t>
  </si>
  <si>
    <t>Validar que los líderes de proceso cumplan con la actualización anual de la matriz de inventario de activos de información a cargo</t>
  </si>
  <si>
    <t>Matrices de activos de información por proceso actualizadas</t>
  </si>
  <si>
    <t xml:space="preserve"> A marzo de 2023 se efectuó con los líderes de proceso,la actualización de las matrices de activos de información. Documento consolidado de activos de información.</t>
  </si>
  <si>
    <t>Revisar los riesgos y/o controles cuando se materialicen eventos de seguridad y/o se implementen o mejoren los controles con el fin de actualizar la matriz de riesgos en caso de requerirse.</t>
  </si>
  <si>
    <t>Matriz de riesgos de seguridad de la información</t>
  </si>
  <si>
    <t>Gerencia de Riesgos / Líderes de proceso</t>
  </si>
  <si>
    <t>Actualizar riesgos y controles de seguridad de la información sobre los activos de información críticos.</t>
  </si>
  <si>
    <t>fuente de financiacion</t>
  </si>
  <si>
    <t>inversión</t>
  </si>
  <si>
    <t>Meta 2: Realizar 4 mediciones del nivel de desarrollo del servicio civil.</t>
  </si>
  <si>
    <t>1. CONTAR CON TALENTO HUMANO COMPROMETIDO, COMPETENTE Y MOTIVADO</t>
  </si>
  <si>
    <t>funcionamiento</t>
  </si>
  <si>
    <t>Meta 1: Desarrollar el 100% de las actividades previstas en el plan de acción de la política pública para la gestión integral del talento humano en el periodo 2016 - 2019</t>
  </si>
  <si>
    <t>2. DESARROLLAR UNA GESTIÓN POR PROCESOS FUNCIONAL Y EFICIENTE</t>
  </si>
  <si>
    <t>inversión y funcionamiento</t>
  </si>
  <si>
    <t>Meta 4: Alcanzar 57.000 beneficiarios con programas, estrategias y/o actividades específicas de bienestar y/o estímulos.</t>
  </si>
  <si>
    <t>3. POTENCIALIZAR EL USO TIC´S PARA EL PROCESAMIENTO DE INFORMACIÓN DE LOS SERVIDORES PÚBLICOS</t>
  </si>
  <si>
    <t>Meta 5 Beneficiar 20.000 funcionarios con programas de capacitación y formación de acuerdo con la competencia del DASCD</t>
  </si>
  <si>
    <t>4. DISEÑAR E IMPLEMENTAR UNA POLÍTICA PÚBLICA INTEGRAL DEL TALENTO HUMANO EN EL DISTRITO</t>
  </si>
  <si>
    <t>Meta 3: Proponer cinco modelos, metodologías o instrumentos que orienten a las entidades en la gestión estratégica del talento humano</t>
  </si>
  <si>
    <t>5. DISEÑAR E IMPLEMENTAR MECANISMOS DE EVALUACIÓN Y FORMACIÓN INTEGRAL</t>
  </si>
  <si>
    <t>Meta-1 Beneficiar al 100 % de los Funcionarios de la Entidad con acciones que propicien el Mejoramiento del Ambiente de Trabajo y favorezcan el Clima Laboral.</t>
  </si>
  <si>
    <t>6. GENERAR ENTIDADES MODERNAS A TRAVÉS DE MECANISMOS DE ORGANIZACIÓN DEL TRABAJO</t>
  </si>
  <si>
    <t>Meta-2 Modernizar 100 % de los Procesos de la Entidad a través del Mejoramiento Continuo de los Productos y Servicios, la Actualización Documental, la Gestión del Riesgo y el Desarrollo de Estrategias de Transparencia, Anticorrupción y Rendición de Cuentas.</t>
  </si>
  <si>
    <t>7. PROMOVER BIENESTAR INTEGRAL EN LOS SERVIDORES PÚBLICOS DEL DISTRITO ORIENTADO A LA FELICIDAD LABORAL</t>
  </si>
  <si>
    <t>Meta-3 Mejorar 100 % de los Sistemas de Información, los recursos Tecnológicos y los Desarrollos que modernicen la Gestión de la Entidad.</t>
  </si>
  <si>
    <t>8. PROMOVER LA MERITOCRACIA COMO BASE DE SELECCIÓN PARA LAS DIFERENTES FORMAS DE VINCULACIÓN</t>
  </si>
  <si>
    <t xml:space="preserve">9. LOGRAR UN ALTO RECONOCIMIENTO DEL SERVIDOR PÚBLICO DISTRITAL Y DEL DASCD EN BOGOTÁ Y EL PAÍS </t>
  </si>
  <si>
    <t>10: FORTALECER EL DESARROLLO DEL SERVICIO CIVIL EN EL DISTRITO CAPITAL</t>
  </si>
  <si>
    <t>PLAN INTEGRADO DE ACCIÓN ANUAL 2023 - PLAN DE SEGURIDAD Y PRIVACIDAD DE LA INFORMACIÓN</t>
  </si>
  <si>
    <t>GERENCIA DE RIESGOS
GERENCIA DE T.I
GERENCIA DE SERVICIO</t>
  </si>
  <si>
    <t>Responsable</t>
  </si>
  <si>
    <t>Desarrollar actividades de sensibilización y capacitación en el SGSI y Ciberseguridad.</t>
  </si>
  <si>
    <t>Funcionarios y contratistas</t>
  </si>
  <si>
    <t>Reporte de funcionarios que han efectuado el curso generado por la Gerencia de TH.
Evidencias de mensajes y campañas de sensibilización  efectuadas</t>
  </si>
  <si>
    <t>Humanos</t>
  </si>
  <si>
    <t>CAPACITACION</t>
  </si>
  <si>
    <t>Durante el primer trimestre se reportan los usuarios que ingresaron a la compañía y que debieron hacer el curso de SI/CS. El curso de reinducción para toda la compañía no se ha desplegado. Se deja como evidencia el reporte entregado por la Subgerencia de Capacitación.
Así mismo se deja evidencia de algunos de los "Tips de Seguridad" enviados como parte de la campaña de sensibilización a través de comunicaciones corporativas.</t>
  </si>
  <si>
    <t>Durante el segundo  trimestre se reportan los usuarios que ingresaron a la compañía y que debieron hacer el curso de SI/CS ylos que hicieron el curso de  reinducción  desplegado. Se deja como evidencia el reporte entregado por la Subgerencia de Capacitación.
Así mismo se deja evidencia de algunos de los "Tips de Seguridad" enviados como parte de la campaña de sensibilización a través de comunicaciones corporativas.</t>
  </si>
  <si>
    <t>Diseñar y desarrollar una prueba de Ciberataque, documentando la respuesta, recuperación, reanudación de la operación en contingencia y restauración.</t>
  </si>
  <si>
    <t>Se define al momento de hacer la planeación de la prueba</t>
  </si>
  <si>
    <t>Informe de resultados de la prueba  (información sensible que en caso de requerirse se podrá consultar en la gerencia de riesgos)</t>
  </si>
  <si>
    <t>GRUPO: 'GASTOS TECNOLOGICOS                      RUBRO:  SEGURIDAD INFORMATICA Y ADMINISTRACION DE INFRAESTRUCTURA TECNOLOGICA SEGURIDAD INFORMATICA CONCEPTO: SEGURIDAD DE LA INFORMACION - G. RIESGO</t>
  </si>
  <si>
    <t>Ejecutar un programa de evaluación de al menos 20 controles de los establecidos en el estándar ISO 27001 asociados a los procesos de la compañía y hacer seguimiento a la implementación de acciones de mejoramiento sobre los mismos si a ello hay lugar</t>
  </si>
  <si>
    <t>La evaluación se hace de forma aleatoria sobre controles técnicos</t>
  </si>
  <si>
    <t>Informe de resultados de la evaluaciones efectuadas (información sensible que en caso de requerirse se podrá consultar en la gerencia de riesgos)</t>
  </si>
  <si>
    <t>Durante el primer trimestre del año se revisaron dos controles de seguridad. El informe de resultados es de carácter ocnfidencial por lo cual no es deja en las evidencias, pero puede ser consultado por personal interno en la gerencia de riesgos</t>
  </si>
  <si>
    <t>Durante elsegundo trimestre del año se revisaron seis controles de seguridad. El informe de resultados es de carácter ocnfidencial por lo cual no es deja en las evidencias, pero puede ser consultado por personal interno en la gerencia de riesgos</t>
  </si>
  <si>
    <t>Validar la posibilidad de integrar el Modelo de Seguridad de la Información con el Modelo de Privacidad (datos personales) . Gerencia de Riesgos, TI y Servicio</t>
  </si>
  <si>
    <t>Procesos de la compañía</t>
  </si>
  <si>
    <t>Soportes de la validación de la integración.</t>
  </si>
  <si>
    <t xml:space="preserve">Se efectuaron mesas de trabajo entre la gerencia de riesgos y la gerencia de servicio, para hacer un diagnóstico y establecer las acciones a seguir, y se reciben recomendaciones de ajuste sobre algunoss documentos </t>
  </si>
  <si>
    <t>Gerencia de Riesgos, TI y Servicio</t>
  </si>
  <si>
    <t>Ejecución y seguimiento hoja de ruta aseguramiento informático y ciberseguridad 2023</t>
  </si>
  <si>
    <t>Seguimiento de las actividades de la hoja de ruta.
*Medición Anual del MSPI de componente tecnológico</t>
  </si>
  <si>
    <t>* Matriz MSPI</t>
  </si>
  <si>
    <t>Recursos propios</t>
  </si>
  <si>
    <t xml:space="preserve">Se efectua la evaluacion y analisis de los items del MSPI </t>
  </si>
  <si>
    <t>Se generan los planes de acción para el mejoramiento de la plataforma a nivel de TI.</t>
  </si>
  <si>
    <t>Se prograrmó reunión con la Oficina de Mercadeo y Publicidad para el 20 de Abril, con el fin de definir la estrategia de comunicación a ejecutar respecto a prevención de fraude y corrupción. Se entregó el documento con la información que se debe incluir en la campaña de sensibilización.</t>
  </si>
  <si>
    <t xml:space="preserve">Se adjuntan publicaciones de resultados más importantes en la compañía para el Primer Semestre 2023. 
</t>
  </si>
  <si>
    <t>Se anexa publicación de la Carta del Presidente con los resultados del Primer Semestre 2023</t>
  </si>
  <si>
    <t>Se realiza encuesta de cliente final con resultados a julio
Se adjunta link de consulta 
https://app.powerbi.com/view?r=eyJrIjoiNTdiNTNmMDMtYTAxYi00MzVjLWJlY2EtOTFiNDJhZTBlNDY4IiwidCI6IjRjYTRjNjYxLTgzYjUtNDc1NS1hZjc5LWMwYzg0ZGI3NTJmMCIsImMiOjR9</t>
  </si>
  <si>
    <t>El 26 de julio, posterior revisión de insumo generado por la Secretaría General respecto a la unificación del Manual MN-178 IMPLEMENTACIÓN LEY DE TRANSPARENCIA Y ACCESO A LA INFORMACIÓN en el Manual del Plan Anticorrupción, DI-DES-002 PLAN ANTICORRUPCION Y DE ATENCION AL CIUDADANO, se remite el documento revisado a las áreas líderes para iniciar con sesiones de trabajo de actualización documental. Durante el segundo cuatrimestre se inició el trabajo con la Oficina de Mercadeo, la Secretaría General y la Gerencia de Riesgos, para el último cuatrimestre se gestionará el componente de Mecanismos para mejorar la atención al ciudadano, el cual tienen un impacto mucho menor en esta actualización. De dicho avance y las sesiones de trabajo con las áreas, se adjunta el cronograma unificado de avance con el porcentaje de avance promedio.
Componente 1. Gerencia de Riesgos - Avance: 20%
Componente 2. No aplica
Componente 3. Oficina de Mercadeo - Avance: 25%
Componente 4. Gerencia de Servicio - N/A
Componente 5. Secretaría General - Avance: 25%</t>
  </si>
  <si>
    <t xml:space="preserve">El comité  1 trimestre SAC se realizo en el mes de Abril/2023.  se adjunta presetnación con seguimiento a estado PQRS I trimestre 2023. 
El comité  2 trimestre SAC se realizo en el mes de agostol/2023.  se adjunta presetnación con seguimiento a estado PQRS I trimestre 2023. 
</t>
  </si>
  <si>
    <t>Se entregaron los contenidos a la Oficina de Mercadeo para la realización de la campaña de sensibilización a los empleados de la compañía en lo relacionado con prevención al fraude. La Oficina de Mercadeo informa que la campaña dará inicio en la segunda semana del mes de agosto.</t>
  </si>
  <si>
    <t>Durante el cuatrimestre se recibieron 11 casos, de los cuales 2 están en investigación y 9 están en proceso de análisis.</t>
  </si>
  <si>
    <t>Se realizó la revisión de los risegos de fraude para los procesos contratar bienes y servicios y gestionar siniestros de los ramos generales y patrimoniales. 
Se programaron para la primera semana de agosto las sesiones para revisar los riegsos y controles de los procesos gestionar siniestros automóviles, gestionar siniestros Soat y suscribir pólizas de negocios. Se adjunta la evidencia de las revisiones realizadas a la fecha.</t>
  </si>
  <si>
    <t>La iniciativa esta para el segundo semestre 2023 iniciando en 3el mes de octubre</t>
  </si>
  <si>
    <t>Se aplico la encuesta de apropiación de valores  para primer semestre y se obtuvo un puntaje del 99,3%</t>
  </si>
  <si>
    <t>Las actividades se encuentran planeadas para los meses de mayo y junio</t>
  </si>
  <si>
    <t>Se realizo la actividadad de socialización de información sobre el SAC dirigida a todos los funcionarios de la compañia.</t>
  </si>
  <si>
    <t>Se presentara en comité de SAC en el mes de Octubre con el avance correspondiente al tercer trimestre, se entrgaron los incentivos a las áreas que en la encuesta de servicio al cliente obtuvieron el mejor puntaje.</t>
  </si>
  <si>
    <r>
      <rPr>
        <b/>
        <sz val="11"/>
        <color rgb="FF000000"/>
        <rFont val="Calibri"/>
        <family val="2"/>
        <scheme val="minor"/>
      </rPr>
      <t>GERENCIA DE TALENTO HUMANO</t>
    </r>
    <r>
      <rPr>
        <sz val="11"/>
        <color rgb="FF000000"/>
        <rFont val="Calibri"/>
        <family val="2"/>
        <scheme val="minor"/>
      </rPr>
      <t xml:space="preserve"> / GERENCIA DE SERVICIO</t>
    </r>
  </si>
  <si>
    <t>Se precisa que en el presente año MIN TIC y el DAFP no han realizado modificaciones o impartido nuevos lineamientos del índice de transparencia y acceso a la información; por tanto, el reporte de auditoria realizado por la PGN para el periodo 2022 se mantiene a la fecha, es decir, no existe modificación o cargue de información distinta a la que se realizó por esta entidad en el 2022. Se adjunta calificacion y/o reporte de auditoria PGN.
Se ha avanzado en los sigueintes temas cumplidos a la fecha:
* Diligenciamiento del FURAG.
* Diligenciamiento de la Matriz Ita.
Se avanzo al 50% en la revision de la normatividad y la actualización del normograma.</t>
  </si>
  <si>
    <t>Se realizó la actualización de la matriz de riesgos de acuerdo con actualización de activo de información, página web.</t>
  </si>
  <si>
    <t>En ejecución</t>
  </si>
  <si>
    <t>No se han generado cambios</t>
  </si>
  <si>
    <t>A día de hoy 12 de septiembre no nos han convocadoa a otra sesión del Colectivo Disciplinario</t>
  </si>
  <si>
    <t>En el marco de la Política de Seguridad Digital, Previsora asistió a la sesión con el Grupo de Respuesta a Emergencias Cibernéticas de Colombia - COLCERT,  quien actualmente es el punto de contacto para coordinar la prevención, mitigación, gestión y respuesta ante incidentes de seguridad digital.</t>
  </si>
  <si>
    <t>Participar de las sesiones del colectivo disciplinario y de las actividades que se deriven de las mesas de trabajo</t>
  </si>
  <si>
    <t>Participar en las actividades que convoque el líder temático de Gobierno Digital y Seguridad Digital</t>
  </si>
  <si>
    <t>SH.Ini.2023.2026.GR2.02.Fortalecer la Gestión Documental en las entidades del Sector Hacienda.</t>
  </si>
  <si>
    <t>SH.Ini.2023.2026.GC1.01.Desarrollar espacios encaminados al fortalecimiento sectorial de la Política de Gestión Estratégica de Talento Humano y Política de Integridad, de acuerdo con lo lineamientos del Modelo Integrado de Planeación y Gestión - MIPG.</t>
  </si>
  <si>
    <t>SH.Ini.2023.2026.GR2.01.Desarrollar espacios encaminados al fortalecimiento sectorial de la Política de Gestión del Conocimiento y la Innovación, de acuerdo con los lineamientos del Modelo Integrado de Planeación y Gestión - MIPG.</t>
  </si>
  <si>
    <t>SH.Ini.2023.2026.GR1.02.Coadyuvar en el mejoramiento del ejercicio de la función disciplinaria, mediante la implementación de buenas prácticas, herramientas y contenido de transferencia de conocimiento.</t>
  </si>
  <si>
    <t>SH.Ini.2023.2026.GR1.01.Diseñar e implementar estrategias para la divulgación de información y relacionamiento con el ciudadano.</t>
  </si>
  <si>
    <t>SH.Ini.2023.2026.GC2.01.Desarrollar mecanismos para un adecuado ejercicio de defensa jurídica de las Entidades del Sector Hacienda.</t>
  </si>
  <si>
    <t>SH.Ini.2023.2026.GR3.01.Realizar el seguimiento a la apropiación de tecnologías emergentes por parte de las entidades del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</si>
</sst>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0.0%"/>
    <numFmt numFmtId="165" formatCode="#,###\ &quot;COP&quot;"/>
  </numFmts>
  <fonts count="82" x14ac:knownFonts="1">
    <font>
      <sz val="11"/>
      <color rgb="FF000000"/>
      <name val="Calibri"/>
    </font>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sz val="10"/>
      <name val="Calibri"/>
      <family val="2"/>
    </font>
    <font>
      <b/>
      <sz val="12"/>
      <color rgb="FF000000"/>
      <name val="Calibri"/>
      <family val="2"/>
    </font>
    <font>
      <b/>
      <sz val="12"/>
      <name val="Calibri"/>
      <family val="2"/>
    </font>
    <font>
      <b/>
      <sz val="16"/>
      <color rgb="FF7F7F7F"/>
      <name val="Calibri"/>
      <family val="2"/>
    </font>
    <font>
      <b/>
      <sz val="14"/>
      <color rgb="FF7F7F7F"/>
      <name val="Calibri"/>
      <family val="2"/>
    </font>
    <font>
      <sz val="8"/>
      <name val="Calibri"/>
      <family val="2"/>
    </font>
    <font>
      <sz val="18"/>
      <color rgb="FF000000"/>
      <name val="Calibri"/>
      <family val="2"/>
    </font>
    <font>
      <sz val="12"/>
      <color rgb="FF000000"/>
      <name val="Calibri"/>
      <family val="2"/>
    </font>
    <font>
      <sz val="11"/>
      <color rgb="FF000000"/>
      <name val="Calibri"/>
      <family val="2"/>
    </font>
    <font>
      <sz val="11"/>
      <color rgb="FF000000"/>
      <name val="Calibri"/>
      <family val="2"/>
    </font>
    <font>
      <b/>
      <sz val="11"/>
      <color rgb="FF000000"/>
      <name val="Calibri"/>
      <family val="2"/>
    </font>
    <font>
      <b/>
      <sz val="10"/>
      <color theme="1" tint="0.34998626667073579"/>
      <name val="Calibri"/>
      <family val="2"/>
    </font>
    <font>
      <b/>
      <sz val="14"/>
      <color rgb="FF000000"/>
      <name val="Calibri"/>
      <family val="2"/>
    </font>
    <font>
      <sz val="11"/>
      <color theme="1" tint="0.34998626667073579"/>
      <name val="Calibri"/>
      <family val="2"/>
      <scheme val="minor"/>
    </font>
    <font>
      <sz val="20"/>
      <color theme="1"/>
      <name val="Calibri"/>
      <family val="2"/>
      <scheme val="minor"/>
    </font>
    <font>
      <sz val="11"/>
      <color theme="1" tint="0.34998626667073579"/>
      <name val="Calibri"/>
      <family val="2"/>
    </font>
    <font>
      <sz val="14"/>
      <name val="Calibri"/>
      <family val="2"/>
    </font>
    <font>
      <sz val="12"/>
      <color theme="1" tint="0.34998626667073579"/>
      <name val="Calibri"/>
      <family val="2"/>
    </font>
    <font>
      <sz val="14"/>
      <color theme="1"/>
      <name val="Calibri"/>
      <family val="2"/>
    </font>
    <font>
      <sz val="14"/>
      <color theme="1"/>
      <name val="Calibri"/>
      <family val="2"/>
      <scheme val="minor"/>
    </font>
    <font>
      <sz val="16"/>
      <color theme="1"/>
      <name val="Calibri"/>
      <family val="2"/>
    </font>
    <font>
      <b/>
      <sz val="16"/>
      <color theme="1" tint="0.34998626667073579"/>
      <name val="Calibri"/>
      <family val="2"/>
    </font>
    <font>
      <b/>
      <sz val="16"/>
      <color indexed="81"/>
      <name val="Calibri"/>
      <family val="2"/>
      <scheme val="minor"/>
    </font>
    <font>
      <sz val="16"/>
      <color indexed="81"/>
      <name val="Calibri"/>
      <family val="2"/>
      <scheme val="minor"/>
    </font>
    <font>
      <b/>
      <sz val="18"/>
      <color rgb="FFFFFFFF"/>
      <name val="Century Gothic"/>
      <family val="2"/>
    </font>
    <font>
      <b/>
      <sz val="11"/>
      <color rgb="FFFFFFFF"/>
      <name val="Century Gothic"/>
      <family val="2"/>
    </font>
    <font>
      <sz val="11"/>
      <color rgb="FF000000"/>
      <name val="Calibri"/>
      <family val="2"/>
      <scheme val="minor"/>
    </font>
    <font>
      <b/>
      <sz val="11"/>
      <color rgb="FFFFFFFF"/>
      <name val="Calibri"/>
      <family val="2"/>
      <scheme val="minor"/>
    </font>
    <font>
      <sz val="11"/>
      <name val="Calibri"/>
      <family val="2"/>
      <scheme val="minor"/>
    </font>
    <font>
      <b/>
      <sz val="36"/>
      <color rgb="FFFFFFFF"/>
      <name val="Calibri"/>
      <family val="2"/>
      <scheme val="minor"/>
    </font>
    <font>
      <b/>
      <sz val="16"/>
      <color theme="0"/>
      <name val="Calibri"/>
      <family val="2"/>
    </font>
    <font>
      <b/>
      <sz val="18"/>
      <color rgb="FF7F7F7F"/>
      <name val="Calibri"/>
      <family val="2"/>
    </font>
    <font>
      <b/>
      <sz val="14"/>
      <color rgb="FFFFFFFF"/>
      <name val="Century Gothic"/>
      <family val="2"/>
    </font>
    <font>
      <b/>
      <sz val="26"/>
      <color theme="0"/>
      <name val="Calibri"/>
      <family val="2"/>
      <scheme val="minor"/>
    </font>
    <font>
      <sz val="16"/>
      <name val="Calibri"/>
      <family val="2"/>
    </font>
    <font>
      <b/>
      <sz val="11"/>
      <color rgb="FF000000"/>
      <name val="Century Gothic"/>
      <family val="2"/>
    </font>
    <font>
      <sz val="10"/>
      <color rgb="FF000000"/>
      <name val="Arial"/>
      <family val="2"/>
    </font>
    <font>
      <sz val="11"/>
      <name val="Verdana"/>
      <family val="2"/>
    </font>
    <font>
      <sz val="11"/>
      <color rgb="FF000000"/>
      <name val="Verdana"/>
      <family val="2"/>
    </font>
    <font>
      <b/>
      <sz val="11"/>
      <color rgb="FF000000"/>
      <name val="Calibri"/>
      <family val="2"/>
      <scheme val="minor"/>
    </font>
    <font>
      <sz val="18"/>
      <name val="Calibri"/>
      <family val="2"/>
      <scheme val="minor"/>
    </font>
    <font>
      <b/>
      <sz val="18"/>
      <color rgb="FF000000"/>
      <name val="Calibri"/>
      <family val="2"/>
      <scheme val="minor"/>
    </font>
    <font>
      <b/>
      <sz val="18"/>
      <color rgb="FFFFFFFF"/>
      <name val="Calibri"/>
      <family val="2"/>
      <scheme val="minor"/>
    </font>
    <font>
      <sz val="11"/>
      <color rgb="FF444444"/>
      <name val="Calibri"/>
      <family val="2"/>
      <charset val="1"/>
      <scheme val="minor"/>
    </font>
    <font>
      <b/>
      <sz val="10"/>
      <color theme="1"/>
      <name val="Verdana"/>
      <family val="2"/>
    </font>
    <font>
      <sz val="10"/>
      <color theme="1"/>
      <name val="Verdana"/>
      <family val="2"/>
    </font>
    <font>
      <sz val="10"/>
      <color theme="1"/>
      <name val="Arial"/>
      <family val="2"/>
    </font>
    <font>
      <sz val="10.8"/>
      <name val="Century Gothic"/>
      <family val="2"/>
    </font>
    <font>
      <b/>
      <sz val="16"/>
      <color theme="1"/>
      <name val="Calibri"/>
      <family val="2"/>
      <scheme val="minor"/>
    </font>
    <font>
      <sz val="11"/>
      <color theme="1"/>
      <name val="Arial"/>
      <family val="2"/>
    </font>
    <font>
      <sz val="20"/>
      <color theme="1"/>
      <name val="Calibri Light"/>
      <family val="2"/>
      <scheme val="major"/>
    </font>
    <font>
      <b/>
      <sz val="20"/>
      <color theme="1"/>
      <name val="Calibri Light"/>
      <family val="2"/>
      <scheme val="major"/>
    </font>
    <font>
      <b/>
      <sz val="16"/>
      <color rgb="FFFFFFFF"/>
      <name val="Calibri Light"/>
      <family val="2"/>
    </font>
    <font>
      <sz val="16"/>
      <name val="Calibri Light"/>
      <family val="2"/>
    </font>
    <font>
      <sz val="12"/>
      <color rgb="FF000000"/>
      <name val="Calibri"/>
      <family val="2"/>
      <scheme val="minor"/>
    </font>
    <font>
      <sz val="12"/>
      <name val="Calibri"/>
      <family val="2"/>
      <scheme val="minor"/>
    </font>
    <font>
      <sz val="18"/>
      <color rgb="FF000000"/>
      <name val="Calibri"/>
      <family val="2"/>
      <scheme val="minor"/>
    </font>
    <font>
      <sz val="18"/>
      <color theme="1"/>
      <name val="Calibri"/>
      <family val="2"/>
      <scheme val="minor"/>
    </font>
    <font>
      <sz val="20"/>
      <color rgb="FF000000"/>
      <name val="Calibri"/>
      <family val="2"/>
      <scheme val="minor"/>
    </font>
    <font>
      <sz val="24"/>
      <color rgb="FF000000"/>
      <name val="Calibri"/>
      <family val="2"/>
      <scheme val="minor"/>
    </font>
    <font>
      <sz val="28"/>
      <color rgb="FF000000"/>
      <name val="Calibri"/>
      <family val="2"/>
      <scheme val="minor"/>
    </font>
    <font>
      <b/>
      <sz val="12"/>
      <color rgb="FFFFFFFF"/>
      <name val="Calibri"/>
      <family val="2"/>
      <scheme val="minor"/>
    </font>
    <font>
      <b/>
      <sz val="16"/>
      <color rgb="FFFFFFFF"/>
      <name val="Calibri"/>
      <family val="2"/>
      <scheme val="minor"/>
    </font>
    <font>
      <sz val="28"/>
      <color theme="4" tint="-0.499984740745262"/>
      <name val="Calibri"/>
      <family val="2"/>
      <scheme val="minor"/>
    </font>
    <font>
      <b/>
      <sz val="28"/>
      <color theme="4" tint="-0.499984740745262"/>
      <name val="Calibri"/>
      <family val="2"/>
      <scheme val="minor"/>
    </font>
    <font>
      <b/>
      <sz val="24"/>
      <color rgb="FF000000"/>
      <name val="Calibri"/>
      <family val="2"/>
      <scheme val="minor"/>
    </font>
    <font>
      <b/>
      <sz val="20"/>
      <color rgb="FF000000"/>
      <name val="Calibri"/>
      <family val="2"/>
      <scheme val="minor"/>
    </font>
    <font>
      <b/>
      <sz val="36"/>
      <color rgb="FF000000"/>
      <name val="Calibri"/>
      <family val="2"/>
      <scheme val="minor"/>
    </font>
    <font>
      <b/>
      <sz val="28"/>
      <color rgb="FFFFFFFF"/>
      <name val="Calibri"/>
      <family val="2"/>
      <scheme val="minor"/>
    </font>
    <font>
      <b/>
      <sz val="10"/>
      <name val="Arial"/>
      <family val="2"/>
    </font>
    <font>
      <sz val="10"/>
      <name val="Arial"/>
      <family val="2"/>
    </font>
    <font>
      <b/>
      <sz val="10"/>
      <color rgb="FFFFFFFF"/>
      <name val="Arial"/>
      <family val="2"/>
    </font>
    <font>
      <sz val="9"/>
      <name val="Arial"/>
      <family val="2"/>
    </font>
    <font>
      <sz val="12"/>
      <name val="Calibri"/>
      <family val="2"/>
    </font>
    <font>
      <sz val="8"/>
      <color theme="1" tint="0.34998626667073579"/>
      <name val="Calibri"/>
      <family val="2"/>
    </font>
    <font>
      <sz val="11"/>
      <name val="Calibri"/>
      <family val="2"/>
    </font>
    <font>
      <sz val="11"/>
      <color theme="4" tint="-0.249977111117893"/>
      <name val="Calibri"/>
      <family val="2"/>
    </font>
  </fonts>
  <fills count="47">
    <fill>
      <patternFill patternType="none"/>
    </fill>
    <fill>
      <patternFill patternType="gray125"/>
    </fill>
    <fill>
      <patternFill patternType="solid">
        <fgColor rgb="FFF2F2F2"/>
        <bgColor rgb="FFF2F2F2"/>
      </patternFill>
    </fill>
    <fill>
      <patternFill patternType="solid">
        <fgColor rgb="FFEAEFF7"/>
        <bgColor rgb="FFEAEFF7"/>
      </patternFill>
    </fill>
    <fill>
      <patternFill patternType="solid">
        <fgColor rgb="FFDEEAF6"/>
        <bgColor rgb="FFDEEAF6"/>
      </patternFill>
    </fill>
    <fill>
      <patternFill patternType="solid">
        <fgColor rgb="FFFFFF00"/>
        <bgColor rgb="FFBFBFBF"/>
      </patternFill>
    </fill>
    <fill>
      <patternFill patternType="solid">
        <fgColor theme="0" tint="-0.249977111117893"/>
        <bgColor rgb="FFBFBFBF"/>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rgb="FFFFFF99"/>
      </patternFill>
    </fill>
    <fill>
      <patternFill patternType="solid">
        <fgColor theme="0" tint="-4.9989318521683403E-2"/>
        <bgColor rgb="FF7F7F7F"/>
      </patternFill>
    </fill>
    <fill>
      <patternFill patternType="solid">
        <fgColor theme="0" tint="-0.34998626667073579"/>
        <bgColor indexed="64"/>
      </patternFill>
    </fill>
    <fill>
      <patternFill patternType="solid">
        <fgColor theme="6"/>
        <bgColor indexed="64"/>
      </patternFill>
    </fill>
    <fill>
      <patternFill patternType="solid">
        <fgColor rgb="FF70AD47"/>
        <bgColor rgb="FFBFBFBF"/>
      </patternFill>
    </fill>
    <fill>
      <patternFill patternType="solid">
        <fgColor rgb="FF70AD47"/>
        <bgColor rgb="FF000000"/>
      </patternFill>
    </fill>
    <fill>
      <patternFill patternType="solid">
        <fgColor rgb="FFFFFFFF"/>
        <bgColor rgb="FF000000"/>
      </patternFill>
    </fill>
    <fill>
      <patternFill patternType="solid">
        <fgColor rgb="FFFFC000"/>
        <bgColor rgb="FF000000"/>
      </patternFill>
    </fill>
    <fill>
      <patternFill patternType="solid">
        <fgColor theme="9" tint="-0.499984740745262"/>
        <bgColor indexed="64"/>
      </patternFill>
    </fill>
    <fill>
      <patternFill patternType="solid">
        <fgColor theme="9" tint="0.59999389629810485"/>
        <bgColor rgb="FFFFFF99"/>
      </patternFill>
    </fill>
    <fill>
      <patternFill patternType="solid">
        <fgColor theme="9" tint="0.39997558519241921"/>
        <bgColor rgb="FFFFFF99"/>
      </patternFill>
    </fill>
    <fill>
      <patternFill patternType="solid">
        <fgColor theme="9" tint="-0.249977111117893"/>
        <bgColor rgb="FFFFFF99"/>
      </patternFill>
    </fill>
    <fill>
      <patternFill patternType="solid">
        <fgColor theme="9" tint="-0.499984740745262"/>
        <bgColor rgb="FFFFFF99"/>
      </patternFill>
    </fill>
    <fill>
      <patternFill patternType="solid">
        <fgColor theme="9"/>
        <bgColor rgb="FFBFBFBF"/>
      </patternFill>
    </fill>
    <fill>
      <patternFill patternType="solid">
        <fgColor theme="9"/>
        <bgColor rgb="FF000000"/>
      </patternFill>
    </fill>
    <fill>
      <patternFill patternType="solid">
        <fgColor theme="0"/>
        <bgColor rgb="FF000000"/>
      </patternFill>
    </fill>
    <fill>
      <gradientFill degree="270">
        <stop position="0">
          <color theme="9"/>
        </stop>
        <stop position="1">
          <color theme="9" tint="-0.49803155613879818"/>
        </stop>
      </gradientFill>
    </fill>
    <fill>
      <patternFill patternType="solid">
        <fgColor theme="0"/>
        <bgColor indexed="64"/>
      </patternFill>
    </fill>
    <fill>
      <patternFill patternType="solid">
        <fgColor theme="9" tint="0.59999389629810485"/>
        <bgColor rgb="FF000000"/>
      </patternFill>
    </fill>
    <fill>
      <patternFill patternType="solid">
        <fgColor rgb="FF757171"/>
        <bgColor rgb="FF000000"/>
      </patternFill>
    </fill>
    <fill>
      <patternFill patternType="solid">
        <fgColor theme="0"/>
        <bgColor rgb="FFBFBFBF"/>
      </patternFill>
    </fill>
    <fill>
      <patternFill patternType="solid">
        <fgColor rgb="FF5BC8F5"/>
        <bgColor rgb="FF000000"/>
      </patternFill>
    </fill>
    <fill>
      <patternFill patternType="solid">
        <fgColor rgb="FFD9D9D9"/>
        <bgColor rgb="FF000000"/>
      </patternFill>
    </fill>
    <fill>
      <patternFill patternType="solid">
        <fgColor rgb="FFD0CECE"/>
        <bgColor rgb="FF000000"/>
      </patternFill>
    </fill>
    <fill>
      <patternFill patternType="solid">
        <fgColor rgb="FF7A012B"/>
        <bgColor rgb="FF000000"/>
      </patternFill>
    </fill>
    <fill>
      <patternFill patternType="solid">
        <fgColor rgb="FF91A418"/>
        <bgColor rgb="FF000000"/>
      </patternFill>
    </fill>
    <fill>
      <patternFill patternType="solid">
        <fgColor rgb="FFFFC840"/>
        <bgColor rgb="FF000000"/>
      </patternFill>
    </fill>
    <fill>
      <patternFill patternType="solid">
        <fgColor rgb="FF7030A0"/>
        <bgColor rgb="FF000000"/>
      </patternFill>
    </fill>
    <fill>
      <patternFill patternType="solid">
        <fgColor rgb="FFFFF2CC"/>
        <bgColor rgb="FF000000"/>
      </patternFill>
    </fill>
    <fill>
      <patternFill patternType="solid">
        <fgColor rgb="FFDBE5F1"/>
        <bgColor indexed="64"/>
      </patternFill>
    </fill>
    <fill>
      <patternFill patternType="solid">
        <fgColor rgb="FFCF95F3"/>
        <bgColor rgb="FF000000"/>
      </patternFill>
    </fill>
    <fill>
      <patternFill patternType="solid">
        <fgColor theme="0"/>
        <bgColor auto="1"/>
      </patternFill>
    </fill>
    <fill>
      <patternFill patternType="solid">
        <fgColor rgb="FFFFFFFF"/>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rgb="FF92D050"/>
        <bgColor indexed="64"/>
      </patternFill>
    </fill>
    <fill>
      <patternFill patternType="solid">
        <fgColor rgb="FF92D050"/>
        <bgColor rgb="FF000000"/>
      </patternFill>
    </fill>
  </fills>
  <borders count="83">
    <border>
      <left/>
      <right/>
      <top/>
      <bottom/>
      <diagonal/>
    </border>
    <border>
      <left style="medium">
        <color rgb="FF5B9BD5"/>
      </left>
      <right style="medium">
        <color rgb="FF5B9BD5"/>
      </right>
      <top style="medium">
        <color rgb="FF5B9BD5"/>
      </top>
      <bottom style="medium">
        <color rgb="FF5B9BD5"/>
      </bottom>
      <diagonal/>
    </border>
    <border>
      <left/>
      <right/>
      <top style="thin">
        <color rgb="FF5B9BD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00"/>
      </left>
      <right style="medium">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medium">
        <color indexed="64"/>
      </right>
      <top/>
      <bottom/>
      <diagonal/>
    </border>
    <border>
      <left/>
      <right style="thin">
        <color rgb="FF000000"/>
      </right>
      <top style="thin">
        <color indexed="64"/>
      </top>
      <bottom/>
      <diagonal/>
    </border>
    <border>
      <left/>
      <right style="thin">
        <color rgb="FF000000"/>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s>
  <cellStyleXfs count="8">
    <xf numFmtId="0" fontId="0" fillId="0" borderId="0"/>
    <xf numFmtId="9" fontId="14" fillId="0" borderId="0" applyFont="0" applyFill="0" applyBorder="0" applyAlignment="0" applyProtection="0"/>
    <xf numFmtId="0" fontId="13" fillId="0" borderId="0"/>
    <xf numFmtId="0" fontId="13" fillId="0" borderId="0"/>
    <xf numFmtId="0" fontId="2" fillId="0" borderId="0"/>
    <xf numFmtId="0" fontId="49" fillId="39" borderId="0" applyNumberFormat="0" applyBorder="0" applyProtection="0">
      <alignment horizontal="center" vertical="center"/>
    </xf>
    <xf numFmtId="49" fontId="50" fillId="0" borderId="0" applyFill="0" applyBorder="0" applyProtection="0">
      <alignment horizontal="left" vertical="center"/>
    </xf>
    <xf numFmtId="165" fontId="51" fillId="0" borderId="0" applyFont="0" applyFill="0" applyBorder="0" applyAlignment="0" applyProtection="0"/>
  </cellStyleXfs>
  <cellXfs count="773">
    <xf numFmtId="0" fontId="0" fillId="0" borderId="0" xfId="0"/>
    <xf numFmtId="0" fontId="0" fillId="0" borderId="0" xfId="0" applyAlignment="1">
      <alignment vertical="center"/>
    </xf>
    <xf numFmtId="0" fontId="4" fillId="3" borderId="1" xfId="0" applyFont="1" applyFill="1" applyBorder="1" applyAlignment="1">
      <alignment horizontal="left" vertical="center" wrapText="1" readingOrder="1"/>
    </xf>
    <xf numFmtId="0" fontId="5" fillId="4" borderId="2" xfId="0" applyFont="1" applyFill="1" applyBorder="1" applyAlignment="1">
      <alignment vertical="center" wrapText="1"/>
    </xf>
    <xf numFmtId="0" fontId="5" fillId="0" borderId="0" xfId="0" applyFont="1" applyAlignment="1">
      <alignment vertical="center" wrapText="1"/>
    </xf>
    <xf numFmtId="0" fontId="5" fillId="4" borderId="0" xfId="0" applyFont="1" applyFill="1" applyAlignment="1">
      <alignment vertical="center" wrapText="1"/>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9" fontId="9" fillId="8" borderId="0" xfId="0" applyNumberFormat="1" applyFont="1" applyFill="1" applyAlignment="1">
      <alignment horizontal="center" vertical="center" wrapText="1"/>
    </xf>
    <xf numFmtId="9" fontId="9" fillId="9" borderId="0" xfId="0" applyNumberFormat="1" applyFont="1" applyFill="1" applyAlignment="1">
      <alignment horizontal="center" vertical="center" wrapText="1"/>
    </xf>
    <xf numFmtId="0" fontId="11" fillId="0" borderId="0" xfId="0" applyFont="1" applyAlignment="1">
      <alignment vertical="center"/>
    </xf>
    <xf numFmtId="0" fontId="13" fillId="0" borderId="0" xfId="0" applyFont="1" applyAlignment="1">
      <alignment vertical="center"/>
    </xf>
    <xf numFmtId="0" fontId="13" fillId="0" borderId="37" xfId="0" applyFont="1" applyBorder="1" applyAlignment="1">
      <alignment vertical="center"/>
    </xf>
    <xf numFmtId="0" fontId="13" fillId="0" borderId="37" xfId="0" applyFont="1" applyBorder="1" applyAlignment="1">
      <alignment horizontal="justify" vertical="center"/>
    </xf>
    <xf numFmtId="9" fontId="13" fillId="0" borderId="37" xfId="0" applyNumberFormat="1" applyFont="1" applyBorder="1" applyAlignment="1">
      <alignment vertical="center"/>
    </xf>
    <xf numFmtId="9" fontId="13" fillId="0" borderId="37" xfId="0" applyNumberFormat="1" applyFont="1" applyBorder="1" applyAlignment="1">
      <alignment horizontal="center" vertical="center"/>
    </xf>
    <xf numFmtId="0" fontId="13" fillId="0" borderId="41" xfId="0" applyFont="1" applyBorder="1" applyAlignment="1">
      <alignment horizontal="justify" vertical="center"/>
    </xf>
    <xf numFmtId="0" fontId="13" fillId="0" borderId="40" xfId="0" applyFont="1" applyBorder="1" applyAlignment="1">
      <alignment vertical="center"/>
    </xf>
    <xf numFmtId="0" fontId="13" fillId="0" borderId="40" xfId="0" applyFont="1" applyBorder="1" applyAlignment="1">
      <alignment horizontal="justify" vertical="center"/>
    </xf>
    <xf numFmtId="9" fontId="17" fillId="0" borderId="0" xfId="0" applyNumberFormat="1" applyFont="1" applyAlignment="1">
      <alignment horizontal="center" vertical="center"/>
    </xf>
    <xf numFmtId="0" fontId="13" fillId="0" borderId="39" xfId="0" applyFont="1" applyBorder="1" applyAlignment="1">
      <alignment horizontal="justify" vertical="center"/>
    </xf>
    <xf numFmtId="9" fontId="13" fillId="0" borderId="43" xfId="0" applyNumberFormat="1" applyFont="1" applyBorder="1" applyAlignment="1">
      <alignment horizontal="center" vertical="center"/>
    </xf>
    <xf numFmtId="0" fontId="15" fillId="0" borderId="0" xfId="2" applyFont="1" applyAlignment="1">
      <alignment vertical="center"/>
    </xf>
    <xf numFmtId="164" fontId="12" fillId="0" borderId="0" xfId="1" applyNumberFormat="1" applyFont="1" applyBorder="1" applyAlignment="1">
      <alignment horizontal="center" vertical="center"/>
    </xf>
    <xf numFmtId="164" fontId="18" fillId="0" borderId="37" xfId="0" applyNumberFormat="1" applyFont="1" applyBorder="1" applyAlignment="1">
      <alignment horizontal="center" vertical="center" wrapText="1"/>
    </xf>
    <xf numFmtId="164" fontId="13" fillId="0" borderId="37" xfId="1" applyNumberFormat="1" applyFont="1" applyFill="1" applyBorder="1" applyAlignment="1">
      <alignment horizontal="center" vertical="center"/>
    </xf>
    <xf numFmtId="164" fontId="18" fillId="0" borderId="40" xfId="0" applyNumberFormat="1" applyFont="1" applyBorder="1" applyAlignment="1">
      <alignment horizontal="center" vertical="center" wrapText="1"/>
    </xf>
    <xf numFmtId="164" fontId="13" fillId="0" borderId="40" xfId="1" applyNumberFormat="1" applyFont="1" applyFill="1" applyBorder="1" applyAlignment="1">
      <alignment horizontal="center" vertical="center"/>
    </xf>
    <xf numFmtId="164" fontId="12" fillId="0" borderId="37" xfId="1" applyNumberFormat="1" applyFont="1" applyBorder="1" applyAlignment="1">
      <alignment horizontal="center" vertical="center"/>
    </xf>
    <xf numFmtId="164" fontId="19" fillId="5" borderId="22" xfId="0" applyNumberFormat="1" applyFont="1" applyFill="1" applyBorder="1" applyAlignment="1">
      <alignment horizontal="center" vertical="center" wrapText="1"/>
    </xf>
    <xf numFmtId="9" fontId="0" fillId="0" borderId="0" xfId="0" applyNumberFormat="1" applyAlignment="1">
      <alignment vertical="center"/>
    </xf>
    <xf numFmtId="164" fontId="13" fillId="0" borderId="39" xfId="1" applyNumberFormat="1" applyFont="1" applyBorder="1" applyAlignment="1">
      <alignment horizontal="center" vertical="center"/>
    </xf>
    <xf numFmtId="164" fontId="13" fillId="0" borderId="37" xfId="1" applyNumberFormat="1" applyFont="1" applyBorder="1" applyAlignment="1">
      <alignment horizontal="center" vertical="center"/>
    </xf>
    <xf numFmtId="164" fontId="13" fillId="0" borderId="40" xfId="1" applyNumberFormat="1" applyFont="1" applyBorder="1" applyAlignment="1">
      <alignment horizontal="center" vertical="center"/>
    </xf>
    <xf numFmtId="164" fontId="13" fillId="0" borderId="15" xfId="1" applyNumberFormat="1" applyFont="1" applyBorder="1" applyAlignment="1">
      <alignment horizontal="center" vertical="center"/>
    </xf>
    <xf numFmtId="164" fontId="13" fillId="0" borderId="29" xfId="1" applyNumberFormat="1" applyFont="1" applyBorder="1" applyAlignment="1">
      <alignment horizontal="center" vertical="center"/>
    </xf>
    <xf numFmtId="164" fontId="13" fillId="0" borderId="45" xfId="1" applyNumberFormat="1" applyFont="1" applyBorder="1" applyAlignment="1">
      <alignment horizontal="center" vertical="center"/>
    </xf>
    <xf numFmtId="164" fontId="13" fillId="0" borderId="29" xfId="1" applyNumberFormat="1" applyFont="1" applyFill="1" applyBorder="1" applyAlignment="1">
      <alignment horizontal="center" vertical="center"/>
    </xf>
    <xf numFmtId="164" fontId="13" fillId="0" borderId="45" xfId="1" applyNumberFormat="1" applyFont="1" applyFill="1" applyBorder="1" applyAlignment="1">
      <alignment horizontal="center" vertical="center"/>
    </xf>
    <xf numFmtId="164" fontId="13" fillId="0" borderId="41" xfId="1" applyNumberFormat="1" applyFont="1" applyFill="1" applyBorder="1" applyAlignment="1">
      <alignment horizontal="center" vertical="center"/>
    </xf>
    <xf numFmtId="9" fontId="7" fillId="7" borderId="3" xfId="0" applyNumberFormat="1" applyFont="1" applyFill="1" applyBorder="1" applyAlignment="1">
      <alignment horizontal="center" vertical="center" wrapText="1"/>
    </xf>
    <xf numFmtId="9" fontId="22" fillId="0" borderId="3" xfId="0" applyNumberFormat="1" applyFont="1" applyBorder="1" applyAlignment="1">
      <alignment horizontal="center" vertical="center"/>
    </xf>
    <xf numFmtId="9" fontId="22" fillId="0" borderId="3"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164" fontId="23" fillId="0" borderId="37" xfId="1" applyNumberFormat="1" applyFont="1" applyBorder="1" applyAlignment="1">
      <alignment horizontal="center" vertical="center"/>
    </xf>
    <xf numFmtId="164" fontId="24" fillId="5" borderId="37" xfId="0" applyNumberFormat="1" applyFont="1" applyFill="1" applyBorder="1" applyAlignment="1">
      <alignment horizontal="center" vertical="center" wrapText="1"/>
    </xf>
    <xf numFmtId="164" fontId="23" fillId="0" borderId="29" xfId="1" applyNumberFormat="1" applyFont="1" applyBorder="1" applyAlignment="1">
      <alignment horizontal="center" vertical="center"/>
    </xf>
    <xf numFmtId="164" fontId="24" fillId="5" borderId="29" xfId="0" applyNumberFormat="1" applyFont="1" applyFill="1" applyBorder="1" applyAlignment="1">
      <alignment horizontal="center" vertical="center" wrapText="1"/>
    </xf>
    <xf numFmtId="0" fontId="23" fillId="0" borderId="37" xfId="0" applyFont="1" applyBorder="1" applyAlignment="1">
      <alignment horizontal="center" vertical="center"/>
    </xf>
    <xf numFmtId="0" fontId="23" fillId="0" borderId="29" xfId="0" applyFont="1" applyBorder="1" applyAlignment="1">
      <alignment horizontal="center" vertical="center"/>
    </xf>
    <xf numFmtId="164" fontId="26" fillId="11" borderId="3" xfId="0" applyNumberFormat="1" applyFont="1" applyFill="1" applyBorder="1" applyAlignment="1">
      <alignment horizontal="center" vertical="center" wrapText="1"/>
    </xf>
    <xf numFmtId="164" fontId="25" fillId="0" borderId="3" xfId="0" applyNumberFormat="1" applyFont="1" applyBorder="1" applyAlignment="1">
      <alignment horizontal="center" vertical="center" wrapText="1"/>
    </xf>
    <xf numFmtId="164" fontId="13" fillId="0" borderId="39" xfId="0" applyNumberFormat="1" applyFont="1" applyBorder="1" applyAlignment="1">
      <alignment horizontal="center" vertical="center"/>
    </xf>
    <xf numFmtId="0" fontId="31" fillId="16" borderId="4"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33" fillId="16" borderId="18" xfId="0" applyFont="1" applyFill="1" applyBorder="1" applyAlignment="1">
      <alignment horizontal="center" vertical="center" wrapText="1"/>
    </xf>
    <xf numFmtId="0" fontId="9" fillId="0" borderId="0" xfId="0" applyFont="1" applyAlignment="1">
      <alignment vertical="center" wrapText="1"/>
    </xf>
    <xf numFmtId="0" fontId="34" fillId="15" borderId="37" xfId="0" applyFont="1" applyFill="1" applyBorder="1" applyAlignment="1">
      <alignment horizontal="left" vertical="center"/>
    </xf>
    <xf numFmtId="0" fontId="34" fillId="15" borderId="0" xfId="0" applyFont="1" applyFill="1" applyAlignment="1">
      <alignment horizontal="left" vertical="center"/>
    </xf>
    <xf numFmtId="0" fontId="0" fillId="0" borderId="3" xfId="0" applyBorder="1" applyAlignment="1">
      <alignment vertical="center"/>
    </xf>
    <xf numFmtId="0" fontId="22" fillId="2" borderId="3" xfId="0" applyFont="1" applyFill="1" applyBorder="1" applyAlignment="1">
      <alignment horizontal="center" vertical="center" wrapText="1"/>
    </xf>
    <xf numFmtId="0" fontId="37" fillId="24" borderId="0" xfId="0" applyFont="1" applyFill="1" applyAlignment="1">
      <alignment horizontal="center" vertical="center"/>
    </xf>
    <xf numFmtId="164" fontId="13" fillId="0" borderId="0" xfId="1" applyNumberFormat="1" applyFont="1" applyBorder="1" applyAlignment="1">
      <alignment horizontal="center" vertical="center"/>
    </xf>
    <xf numFmtId="164" fontId="13" fillId="0" borderId="0" xfId="1" applyNumberFormat="1" applyFont="1" applyFill="1" applyBorder="1" applyAlignment="1">
      <alignment horizontal="center" vertical="center"/>
    </xf>
    <xf numFmtId="164" fontId="23" fillId="0" borderId="0" xfId="1" applyNumberFormat="1" applyFont="1" applyBorder="1" applyAlignment="1">
      <alignment horizontal="center" vertical="center"/>
    </xf>
    <xf numFmtId="164" fontId="24" fillId="5" borderId="0" xfId="0" applyNumberFormat="1" applyFont="1" applyFill="1" applyAlignment="1">
      <alignment horizontal="center" vertical="center" wrapText="1"/>
    </xf>
    <xf numFmtId="0" fontId="23" fillId="0" borderId="0" xfId="0" applyFont="1" applyAlignment="1">
      <alignment horizontal="center" vertical="center"/>
    </xf>
    <xf numFmtId="164" fontId="35" fillId="5" borderId="24" xfId="0" applyNumberFormat="1" applyFont="1" applyFill="1" applyBorder="1" applyAlignment="1">
      <alignment vertical="center" wrapText="1"/>
    </xf>
    <xf numFmtId="0" fontId="32" fillId="29" borderId="4" xfId="0" applyFont="1" applyFill="1" applyBorder="1" applyAlignment="1">
      <alignment horizontal="center" vertical="center" wrapText="1"/>
    </xf>
    <xf numFmtId="0" fontId="32" fillId="29" borderId="19" xfId="0" applyFont="1" applyFill="1" applyBorder="1" applyAlignment="1">
      <alignment horizontal="center" vertical="center" wrapText="1"/>
    </xf>
    <xf numFmtId="0" fontId="0" fillId="16" borderId="19" xfId="0" applyFill="1" applyBorder="1" applyAlignment="1">
      <alignment horizontal="center" vertical="center" wrapText="1"/>
    </xf>
    <xf numFmtId="0" fontId="32" fillId="29" borderId="3" xfId="0" applyFont="1" applyFill="1" applyBorder="1" applyAlignment="1">
      <alignment horizontal="center" vertical="center" wrapText="1"/>
    </xf>
    <xf numFmtId="0" fontId="32" fillId="29" borderId="4" xfId="0" applyFont="1" applyFill="1" applyBorder="1" applyAlignment="1">
      <alignment vertical="center" wrapText="1"/>
    </xf>
    <xf numFmtId="0" fontId="32" fillId="29" borderId="19" xfId="0" applyFont="1" applyFill="1" applyBorder="1" applyAlignment="1">
      <alignment vertical="center" wrapText="1"/>
    </xf>
    <xf numFmtId="0" fontId="32" fillId="29" borderId="3" xfId="0" applyFont="1" applyFill="1" applyBorder="1" applyAlignment="1">
      <alignment vertical="center" wrapText="1"/>
    </xf>
    <xf numFmtId="0" fontId="33" fillId="25" borderId="4" xfId="0" applyFont="1" applyFill="1" applyBorder="1" applyAlignment="1">
      <alignment horizontal="center" vertical="center" wrapText="1"/>
    </xf>
    <xf numFmtId="0" fontId="2" fillId="0" borderId="0" xfId="4"/>
    <xf numFmtId="0" fontId="16" fillId="0" borderId="40" xfId="0" applyFont="1" applyBorder="1" applyAlignment="1">
      <alignment vertical="center" wrapText="1"/>
    </xf>
    <xf numFmtId="0" fontId="31" fillId="0" borderId="27" xfId="4" applyFont="1" applyBorder="1"/>
    <xf numFmtId="0" fontId="31" fillId="0" borderId="38" xfId="4" applyFont="1" applyBorder="1"/>
    <xf numFmtId="0" fontId="31" fillId="0" borderId="49" xfId="4" applyFont="1" applyBorder="1"/>
    <xf numFmtId="0" fontId="31" fillId="0" borderId="0" xfId="4" applyFont="1"/>
    <xf numFmtId="0" fontId="44" fillId="0" borderId="0" xfId="4" applyFont="1" applyAlignment="1">
      <alignment vertical="center" wrapText="1"/>
    </xf>
    <xf numFmtId="0" fontId="31" fillId="0" borderId="29" xfId="4" applyFont="1" applyBorder="1"/>
    <xf numFmtId="0" fontId="31" fillId="0" borderId="37" xfId="4" applyFont="1" applyBorder="1"/>
    <xf numFmtId="0" fontId="31" fillId="0" borderId="0" xfId="4" applyFont="1" applyAlignment="1">
      <alignment vertical="center" wrapText="1"/>
    </xf>
    <xf numFmtId="0" fontId="45" fillId="16" borderId="38" xfId="4" applyFont="1" applyFill="1" applyBorder="1" applyAlignment="1">
      <alignment vertical="center" wrapText="1"/>
    </xf>
    <xf numFmtId="0" fontId="45" fillId="16" borderId="0" xfId="4" applyFont="1" applyFill="1" applyAlignment="1">
      <alignment vertical="center" wrapText="1"/>
    </xf>
    <xf numFmtId="0" fontId="32" fillId="15" borderId="23" xfId="4" applyFont="1" applyFill="1" applyBorder="1" applyAlignment="1">
      <alignment horizontal="center" vertical="center" wrapText="1"/>
    </xf>
    <xf numFmtId="0" fontId="32" fillId="15" borderId="32" xfId="4" applyFont="1" applyFill="1" applyBorder="1" applyAlignment="1">
      <alignment horizontal="center" vertical="center" wrapText="1"/>
    </xf>
    <xf numFmtId="0" fontId="32" fillId="15" borderId="33" xfId="4" applyFont="1" applyFill="1" applyBorder="1" applyAlignment="1">
      <alignment horizontal="center" vertical="center" wrapText="1"/>
    </xf>
    <xf numFmtId="0" fontId="33" fillId="16" borderId="4" xfId="4" applyFont="1" applyFill="1" applyBorder="1" applyAlignment="1">
      <alignment horizontal="center" vertical="center" wrapText="1"/>
    </xf>
    <xf numFmtId="0" fontId="31" fillId="16" borderId="0" xfId="4" applyFont="1" applyFill="1"/>
    <xf numFmtId="0" fontId="33" fillId="16" borderId="3" xfId="4"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53" fillId="27" borderId="0" xfId="4" applyFont="1" applyFill="1" applyAlignment="1">
      <alignment horizontal="center"/>
    </xf>
    <xf numFmtId="0" fontId="54" fillId="0" borderId="0" xfId="4" applyFont="1"/>
    <xf numFmtId="0" fontId="57" fillId="12" borderId="3" xfId="4" applyFont="1" applyFill="1" applyBorder="1" applyAlignment="1">
      <alignment horizontal="center" vertical="center" wrapText="1"/>
    </xf>
    <xf numFmtId="0" fontId="58" fillId="0" borderId="3" xfId="4" applyFont="1" applyBorder="1" applyAlignment="1">
      <alignment horizontal="center" vertical="center" wrapText="1"/>
    </xf>
    <xf numFmtId="0" fontId="38" fillId="26" borderId="3" xfId="0" applyFont="1" applyFill="1" applyBorder="1" applyAlignment="1">
      <alignment vertical="center"/>
    </xf>
    <xf numFmtId="0" fontId="38" fillId="26" borderId="14" xfId="0" applyFont="1" applyFill="1" applyBorder="1" applyAlignment="1">
      <alignment vertical="center"/>
    </xf>
    <xf numFmtId="9" fontId="0" fillId="0" borderId="3" xfId="0" applyNumberFormat="1" applyBorder="1" applyAlignment="1">
      <alignment vertical="center"/>
    </xf>
    <xf numFmtId="0" fontId="31" fillId="0" borderId="46" xfId="4" applyFont="1" applyBorder="1"/>
    <xf numFmtId="0" fontId="31" fillId="16" borderId="3" xfId="4" applyFont="1" applyFill="1" applyBorder="1" applyAlignment="1">
      <alignment horizontal="center" vertical="center" wrapText="1"/>
    </xf>
    <xf numFmtId="164" fontId="7" fillId="7" borderId="3" xfId="0" applyNumberFormat="1" applyFont="1" applyFill="1" applyBorder="1" applyAlignment="1">
      <alignment horizontal="center" vertical="center" wrapText="1"/>
    </xf>
    <xf numFmtId="9" fontId="22" fillId="27" borderId="3" xfId="0" applyNumberFormat="1" applyFont="1" applyFill="1" applyBorder="1" applyAlignment="1">
      <alignment horizontal="center" vertical="center"/>
    </xf>
    <xf numFmtId="9" fontId="0" fillId="0" borderId="3" xfId="0" applyNumberFormat="1" applyBorder="1" applyAlignment="1">
      <alignment horizontal="center" vertical="center"/>
    </xf>
    <xf numFmtId="9" fontId="2" fillId="0" borderId="0" xfId="4" applyNumberFormat="1"/>
    <xf numFmtId="9" fontId="2" fillId="0" borderId="0" xfId="4" applyNumberFormat="1" applyAlignment="1">
      <alignment horizontal="right"/>
    </xf>
    <xf numFmtId="0" fontId="31" fillId="16" borderId="5" xfId="4" applyFont="1" applyFill="1" applyBorder="1" applyAlignment="1">
      <alignment horizontal="center" vertical="center" wrapText="1"/>
    </xf>
    <xf numFmtId="0" fontId="33" fillId="16" borderId="5" xfId="4" applyFont="1" applyFill="1" applyBorder="1" applyAlignment="1">
      <alignment horizontal="center" vertical="center" wrapText="1"/>
    </xf>
    <xf numFmtId="0" fontId="33" fillId="16" borderId="6" xfId="4" applyFont="1" applyFill="1" applyBorder="1" applyAlignment="1">
      <alignment horizontal="center" vertical="center" wrapText="1"/>
    </xf>
    <xf numFmtId="0" fontId="32" fillId="15" borderId="68" xfId="4" applyFont="1" applyFill="1" applyBorder="1" applyAlignment="1">
      <alignment horizontal="center" vertical="center" wrapText="1"/>
    </xf>
    <xf numFmtId="0" fontId="32" fillId="15" borderId="47" xfId="4" applyFont="1" applyFill="1" applyBorder="1" applyAlignment="1">
      <alignment horizontal="center" vertical="center" wrapText="1"/>
    </xf>
    <xf numFmtId="0" fontId="32" fillId="15" borderId="22" xfId="4" applyFont="1" applyFill="1" applyBorder="1" applyAlignment="1">
      <alignment horizontal="center" vertical="center" wrapText="1"/>
    </xf>
    <xf numFmtId="0" fontId="32" fillId="15" borderId="69" xfId="4" applyFont="1" applyFill="1" applyBorder="1" applyAlignment="1">
      <alignment horizontal="center" vertical="center" wrapText="1"/>
    </xf>
    <xf numFmtId="0" fontId="32" fillId="15" borderId="70" xfId="4" applyFont="1" applyFill="1" applyBorder="1" applyAlignment="1">
      <alignment horizontal="center" vertical="center" wrapText="1"/>
    </xf>
    <xf numFmtId="0" fontId="32" fillId="15" borderId="71" xfId="4" applyFont="1" applyFill="1" applyBorder="1" applyAlignment="1">
      <alignment horizontal="center" vertical="center" wrapText="1"/>
    </xf>
    <xf numFmtId="0" fontId="31" fillId="0" borderId="3" xfId="4" applyFont="1" applyBorder="1" applyAlignment="1">
      <alignment horizontal="center" vertical="center" wrapText="1"/>
    </xf>
    <xf numFmtId="0" fontId="31" fillId="0" borderId="5" xfId="4" applyFont="1" applyBorder="1" applyAlignment="1">
      <alignment horizontal="center" vertical="center" wrapText="1"/>
    </xf>
    <xf numFmtId="0" fontId="33" fillId="0" borderId="3" xfId="4" applyFont="1" applyBorder="1" applyAlignment="1">
      <alignment horizontal="center" vertical="center" wrapText="1"/>
    </xf>
    <xf numFmtId="0" fontId="61" fillId="0" borderId="18" xfId="4" applyFont="1" applyBorder="1" applyAlignment="1">
      <alignment horizontal="center" vertical="center"/>
    </xf>
    <xf numFmtId="0" fontId="61" fillId="0" borderId="29" xfId="4" applyFont="1" applyBorder="1" applyAlignment="1">
      <alignment horizontal="center" vertical="center"/>
    </xf>
    <xf numFmtId="0" fontId="61" fillId="32" borderId="18" xfId="4" applyFont="1" applyFill="1" applyBorder="1" applyAlignment="1">
      <alignment horizontal="center" vertical="center"/>
    </xf>
    <xf numFmtId="9" fontId="61" fillId="33" borderId="3" xfId="4" applyNumberFormat="1" applyFont="1" applyFill="1" applyBorder="1" applyAlignment="1">
      <alignment horizontal="center" vertical="center"/>
    </xf>
    <xf numFmtId="9" fontId="61" fillId="33" borderId="15" xfId="4" applyNumberFormat="1" applyFont="1" applyFill="1" applyBorder="1" applyAlignment="1">
      <alignment horizontal="center" vertical="center"/>
    </xf>
    <xf numFmtId="0" fontId="61" fillId="33" borderId="3" xfId="4" applyFont="1" applyFill="1" applyBorder="1" applyAlignment="1">
      <alignment horizontal="center" vertical="center"/>
    </xf>
    <xf numFmtId="0" fontId="61" fillId="33" borderId="15" xfId="4" applyFont="1" applyFill="1" applyBorder="1" applyAlignment="1">
      <alignment horizontal="center" vertical="center"/>
    </xf>
    <xf numFmtId="9" fontId="62" fillId="27" borderId="0" xfId="4" applyNumberFormat="1" applyFont="1" applyFill="1" applyAlignment="1">
      <alignment horizontal="center" vertical="center"/>
    </xf>
    <xf numFmtId="0" fontId="61" fillId="0" borderId="15" xfId="4" applyFont="1" applyBorder="1" applyAlignment="1">
      <alignment horizontal="center" vertical="center"/>
    </xf>
    <xf numFmtId="9" fontId="61" fillId="32" borderId="3" xfId="4" applyNumberFormat="1" applyFont="1" applyFill="1" applyBorder="1" applyAlignment="1">
      <alignment horizontal="center" vertical="center"/>
    </xf>
    <xf numFmtId="9" fontId="61" fillId="32" borderId="15" xfId="4" applyNumberFormat="1" applyFont="1" applyFill="1" applyBorder="1" applyAlignment="1">
      <alignment horizontal="center" vertical="center"/>
    </xf>
    <xf numFmtId="0" fontId="61" fillId="0" borderId="58" xfId="4" applyFont="1" applyBorder="1" applyAlignment="1">
      <alignment horizontal="center" vertical="center"/>
    </xf>
    <xf numFmtId="0" fontId="61" fillId="0" borderId="3" xfId="4" applyFont="1" applyBorder="1" applyAlignment="1">
      <alignment horizontal="center" vertical="center"/>
    </xf>
    <xf numFmtId="0" fontId="61" fillId="32" borderId="59" xfId="4" applyFont="1" applyFill="1" applyBorder="1" applyAlignment="1">
      <alignment horizontal="center" vertical="center"/>
    </xf>
    <xf numFmtId="9" fontId="61" fillId="32" borderId="6" xfId="4" applyNumberFormat="1" applyFont="1" applyFill="1" applyBorder="1" applyAlignment="1">
      <alignment horizontal="center" vertical="center"/>
    </xf>
    <xf numFmtId="9" fontId="61" fillId="32" borderId="16" xfId="4" applyNumberFormat="1" applyFont="1" applyFill="1" applyBorder="1" applyAlignment="1">
      <alignment horizontal="center" vertical="center"/>
    </xf>
    <xf numFmtId="0" fontId="61" fillId="0" borderId="5" xfId="4" applyFont="1" applyBorder="1" applyAlignment="1">
      <alignment horizontal="center" vertical="center"/>
    </xf>
    <xf numFmtId="9" fontId="61" fillId="0" borderId="73" xfId="4" applyNumberFormat="1" applyFont="1" applyBorder="1" applyAlignment="1">
      <alignment horizontal="center" vertical="center"/>
    </xf>
    <xf numFmtId="9" fontId="61" fillId="16" borderId="5" xfId="4" applyNumberFormat="1" applyFont="1" applyFill="1" applyBorder="1" applyAlignment="1">
      <alignment horizontal="center" vertical="center"/>
    </xf>
    <xf numFmtId="9" fontId="61" fillId="16" borderId="76" xfId="4" applyNumberFormat="1" applyFont="1" applyFill="1" applyBorder="1" applyAlignment="1">
      <alignment horizontal="center" vertical="center"/>
    </xf>
    <xf numFmtId="0" fontId="61" fillId="32" borderId="3" xfId="4" applyFont="1" applyFill="1" applyBorder="1" applyAlignment="1">
      <alignment horizontal="center" vertical="center"/>
    </xf>
    <xf numFmtId="9" fontId="61" fillId="33" borderId="14" xfId="4" applyNumberFormat="1" applyFont="1" applyFill="1" applyBorder="1" applyAlignment="1">
      <alignment horizontal="center" vertical="center"/>
    </xf>
    <xf numFmtId="9" fontId="61" fillId="0" borderId="26" xfId="4" applyNumberFormat="1" applyFont="1" applyBorder="1" applyAlignment="1">
      <alignment horizontal="center" vertical="center"/>
    </xf>
    <xf numFmtId="0" fontId="61" fillId="16" borderId="15" xfId="4" applyFont="1" applyFill="1" applyBorder="1" applyAlignment="1">
      <alignment horizontal="center" vertical="center"/>
    </xf>
    <xf numFmtId="0" fontId="61" fillId="33" borderId="14" xfId="4" applyFont="1" applyFill="1" applyBorder="1" applyAlignment="1">
      <alignment horizontal="center" vertical="center"/>
    </xf>
    <xf numFmtId="9" fontId="61" fillId="0" borderId="14" xfId="4" applyNumberFormat="1" applyFont="1" applyBorder="1" applyAlignment="1">
      <alignment horizontal="center" vertical="center"/>
    </xf>
    <xf numFmtId="9" fontId="61" fillId="16" borderId="3" xfId="4" applyNumberFormat="1" applyFont="1" applyFill="1" applyBorder="1" applyAlignment="1">
      <alignment horizontal="center" vertical="center"/>
    </xf>
    <xf numFmtId="9" fontId="61" fillId="0" borderId="15" xfId="4" applyNumberFormat="1" applyFont="1" applyBorder="1" applyAlignment="1">
      <alignment horizontal="center" vertical="center"/>
    </xf>
    <xf numFmtId="0" fontId="61" fillId="0" borderId="27" xfId="4" applyFont="1" applyBorder="1" applyAlignment="1">
      <alignment horizontal="center" vertical="center"/>
    </xf>
    <xf numFmtId="0" fontId="61" fillId="32" borderId="4" xfId="4" applyFont="1" applyFill="1" applyBorder="1" applyAlignment="1">
      <alignment horizontal="center" vertical="center"/>
    </xf>
    <xf numFmtId="0" fontId="61" fillId="33" borderId="74" xfId="4" applyFont="1" applyFill="1" applyBorder="1" applyAlignment="1">
      <alignment horizontal="center" vertical="center"/>
    </xf>
    <xf numFmtId="0" fontId="61" fillId="33" borderId="6" xfId="4" applyFont="1" applyFill="1" applyBorder="1" applyAlignment="1">
      <alignment horizontal="center" vertical="center"/>
    </xf>
    <xf numFmtId="9" fontId="61" fillId="33" borderId="16" xfId="4" applyNumberFormat="1" applyFont="1" applyFill="1" applyBorder="1" applyAlignment="1">
      <alignment horizontal="center" vertical="center"/>
    </xf>
    <xf numFmtId="9" fontId="61" fillId="0" borderId="44" xfId="4" applyNumberFormat="1" applyFont="1" applyBorder="1" applyAlignment="1">
      <alignment horizontal="center" vertical="center"/>
    </xf>
    <xf numFmtId="0" fontId="61" fillId="0" borderId="48" xfId="4" applyFont="1" applyBorder="1" applyAlignment="1">
      <alignment horizontal="center" vertical="center"/>
    </xf>
    <xf numFmtId="0" fontId="61" fillId="0" borderId="14" xfId="4" applyFont="1" applyBorder="1" applyAlignment="1">
      <alignment horizontal="center" vertical="center"/>
    </xf>
    <xf numFmtId="9" fontId="61" fillId="27" borderId="26" xfId="4" applyNumberFormat="1" applyFont="1" applyFill="1" applyBorder="1" applyAlignment="1">
      <alignment horizontal="center" vertical="center"/>
    </xf>
    <xf numFmtId="0" fontId="61" fillId="32" borderId="14" xfId="4" applyFont="1" applyFill="1" applyBorder="1" applyAlignment="1">
      <alignment horizontal="center" vertical="center"/>
    </xf>
    <xf numFmtId="0" fontId="45" fillId="0" borderId="27" xfId="4" applyFont="1" applyBorder="1" applyAlignment="1">
      <alignment horizontal="center" vertical="center"/>
    </xf>
    <xf numFmtId="9" fontId="61" fillId="33" borderId="74" xfId="4" applyNumberFormat="1" applyFont="1" applyFill="1" applyBorder="1" applyAlignment="1">
      <alignment horizontal="center" vertical="center"/>
    </xf>
    <xf numFmtId="9" fontId="61" fillId="33" borderId="6" xfId="4" applyNumberFormat="1" applyFont="1" applyFill="1" applyBorder="1" applyAlignment="1">
      <alignment horizontal="center" vertical="center"/>
    </xf>
    <xf numFmtId="0" fontId="61" fillId="0" borderId="73" xfId="4" applyFont="1" applyBorder="1" applyAlignment="1">
      <alignment horizontal="center" vertical="center"/>
    </xf>
    <xf numFmtId="9" fontId="61" fillId="33" borderId="26" xfId="4" applyNumberFormat="1" applyFont="1" applyFill="1" applyBorder="1" applyAlignment="1">
      <alignment horizontal="center" vertical="center"/>
    </xf>
    <xf numFmtId="9" fontId="61" fillId="33" borderId="4" xfId="4" applyNumberFormat="1" applyFont="1" applyFill="1" applyBorder="1" applyAlignment="1">
      <alignment horizontal="center" vertical="center"/>
    </xf>
    <xf numFmtId="9" fontId="61" fillId="33" borderId="27" xfId="4" applyNumberFormat="1" applyFont="1" applyFill="1" applyBorder="1" applyAlignment="1">
      <alignment horizontal="center" vertical="center"/>
    </xf>
    <xf numFmtId="9" fontId="61" fillId="0" borderId="73" xfId="1" applyFont="1" applyBorder="1" applyAlignment="1">
      <alignment horizontal="center" vertical="center"/>
    </xf>
    <xf numFmtId="0" fontId="61" fillId="0" borderId="76" xfId="4" applyFont="1" applyBorder="1" applyAlignment="1">
      <alignment horizontal="center" vertical="center"/>
    </xf>
    <xf numFmtId="9" fontId="61" fillId="27" borderId="14" xfId="4" applyNumberFormat="1" applyFont="1" applyFill="1" applyBorder="1" applyAlignment="1">
      <alignment horizontal="center" vertical="center"/>
    </xf>
    <xf numFmtId="0" fontId="61" fillId="32" borderId="6" xfId="4" applyFont="1" applyFill="1" applyBorder="1" applyAlignment="1">
      <alignment horizontal="center" vertical="center"/>
    </xf>
    <xf numFmtId="9" fontId="62" fillId="16" borderId="30" xfId="4" applyNumberFormat="1" applyFont="1" applyFill="1" applyBorder="1" applyAlignment="1">
      <alignment horizontal="center" vertical="center"/>
    </xf>
    <xf numFmtId="9" fontId="62" fillId="33" borderId="9" xfId="4" applyNumberFormat="1" applyFont="1" applyFill="1" applyBorder="1" applyAlignment="1">
      <alignment horizontal="center" vertical="center"/>
    </xf>
    <xf numFmtId="9" fontId="62" fillId="16" borderId="9" xfId="4" applyNumberFormat="1" applyFont="1" applyFill="1" applyBorder="1" applyAlignment="1">
      <alignment horizontal="center" vertical="center"/>
    </xf>
    <xf numFmtId="9" fontId="62" fillId="32" borderId="9" xfId="4" applyNumberFormat="1" applyFont="1" applyFill="1" applyBorder="1" applyAlignment="1">
      <alignment horizontal="center" vertical="center"/>
    </xf>
    <xf numFmtId="9" fontId="62" fillId="32" borderId="11" xfId="4" applyNumberFormat="1" applyFont="1" applyFill="1" applyBorder="1" applyAlignment="1">
      <alignment horizontal="center" vertical="center"/>
    </xf>
    <xf numFmtId="0" fontId="32" fillId="15" borderId="21" xfId="4" applyFont="1" applyFill="1" applyBorder="1" applyAlignment="1">
      <alignment horizontal="center" vertical="center" wrapText="1"/>
    </xf>
    <xf numFmtId="0" fontId="32" fillId="15" borderId="8" xfId="4" applyFont="1" applyFill="1" applyBorder="1" applyAlignment="1">
      <alignment horizontal="center" vertical="center" wrapText="1"/>
    </xf>
    <xf numFmtId="0" fontId="67" fillId="15" borderId="22" xfId="4" applyFont="1" applyFill="1" applyBorder="1" applyAlignment="1">
      <alignment horizontal="center" vertical="center" wrapText="1"/>
    </xf>
    <xf numFmtId="0" fontId="66" fillId="15" borderId="23" xfId="4" applyFont="1" applyFill="1" applyBorder="1" applyAlignment="1">
      <alignment horizontal="center" vertical="center" wrapText="1"/>
    </xf>
    <xf numFmtId="0" fontId="66" fillId="15" borderId="32" xfId="4" applyFont="1" applyFill="1" applyBorder="1" applyAlignment="1">
      <alignment horizontal="center" vertical="center" wrapText="1"/>
    </xf>
    <xf numFmtId="0" fontId="66" fillId="15" borderId="33" xfId="4" applyFont="1" applyFill="1" applyBorder="1" applyAlignment="1">
      <alignment horizontal="center" vertical="center" wrapText="1"/>
    </xf>
    <xf numFmtId="0" fontId="66" fillId="15" borderId="7" xfId="4" applyFont="1" applyFill="1" applyBorder="1" applyAlignment="1">
      <alignment horizontal="center" vertical="center" wrapText="1"/>
    </xf>
    <xf numFmtId="0" fontId="31" fillId="0" borderId="39" xfId="4" applyFont="1" applyBorder="1" applyAlignment="1">
      <alignment horizontal="center" vertical="center" wrapText="1"/>
    </xf>
    <xf numFmtId="0" fontId="32" fillId="15" borderId="43" xfId="4" applyFont="1" applyFill="1" applyBorder="1" applyAlignment="1">
      <alignment horizontal="center" vertical="center" wrapText="1"/>
    </xf>
    <xf numFmtId="0" fontId="31" fillId="0" borderId="41" xfId="4" applyFont="1" applyBorder="1" applyAlignment="1">
      <alignment horizontal="center" vertical="center" wrapText="1"/>
    </xf>
    <xf numFmtId="0" fontId="63" fillId="0" borderId="0" xfId="4" applyFont="1"/>
    <xf numFmtId="0" fontId="63" fillId="0" borderId="0" xfId="4" applyFont="1" applyAlignment="1">
      <alignment horizontal="center" vertical="center"/>
    </xf>
    <xf numFmtId="0" fontId="63" fillId="0" borderId="0" xfId="4" applyFont="1" applyAlignment="1">
      <alignment wrapText="1"/>
    </xf>
    <xf numFmtId="0" fontId="71" fillId="0" borderId="0" xfId="4" applyFont="1" applyAlignment="1">
      <alignment horizontal="center" vertical="center"/>
    </xf>
    <xf numFmtId="0" fontId="19" fillId="0" borderId="0" xfId="4" applyFont="1"/>
    <xf numFmtId="164" fontId="64" fillId="0" borderId="33" xfId="4" applyNumberFormat="1" applyFont="1" applyBorder="1" applyAlignment="1">
      <alignment horizontal="center" vertical="center" wrapText="1"/>
    </xf>
    <xf numFmtId="164" fontId="72" fillId="45" borderId="22" xfId="4" applyNumberFormat="1" applyFont="1" applyFill="1" applyBorder="1" applyAlignment="1">
      <alignment horizontal="center" vertical="center" wrapText="1"/>
    </xf>
    <xf numFmtId="0" fontId="72" fillId="0" borderId="0" xfId="4" applyFont="1" applyAlignment="1">
      <alignment horizontal="center" vertical="center"/>
    </xf>
    <xf numFmtId="0" fontId="73" fillId="15" borderId="23" xfId="4" applyFont="1" applyFill="1" applyBorder="1" applyAlignment="1">
      <alignment horizontal="center" vertical="center" wrapText="1"/>
    </xf>
    <xf numFmtId="0" fontId="73" fillId="15" borderId="25" xfId="4" applyFont="1" applyFill="1" applyBorder="1" applyAlignment="1">
      <alignment horizontal="center" vertical="center" wrapText="1"/>
    </xf>
    <xf numFmtId="0" fontId="73" fillId="15" borderId="32" xfId="4" applyFont="1" applyFill="1" applyBorder="1" applyAlignment="1">
      <alignment horizontal="center" vertical="center" wrapText="1"/>
    </xf>
    <xf numFmtId="0" fontId="73" fillId="15" borderId="33" xfId="4" applyFont="1" applyFill="1" applyBorder="1" applyAlignment="1">
      <alignment horizontal="center" vertical="center" wrapText="1"/>
    </xf>
    <xf numFmtId="49" fontId="50" fillId="0" borderId="3" xfId="6" applyBorder="1" applyProtection="1">
      <alignment horizontal="left" vertical="center"/>
      <protection locked="0"/>
    </xf>
    <xf numFmtId="165" fontId="51" fillId="0" borderId="3" xfId="7" applyBorder="1" applyProtection="1">
      <protection locked="0"/>
    </xf>
    <xf numFmtId="0" fontId="0" fillId="0" borderId="3" xfId="0" applyBorder="1" applyProtection="1">
      <protection locked="0"/>
    </xf>
    <xf numFmtId="49" fontId="50" fillId="0" borderId="9" xfId="6" applyBorder="1" applyProtection="1">
      <alignment horizontal="left" vertical="center"/>
      <protection locked="0"/>
    </xf>
    <xf numFmtId="49" fontId="50" fillId="0" borderId="10" xfId="6" applyBorder="1" applyProtection="1">
      <alignment horizontal="left" vertical="center"/>
      <protection locked="0"/>
    </xf>
    <xf numFmtId="49" fontId="50" fillId="0" borderId="11" xfId="6" applyBorder="1" applyProtection="1">
      <alignment horizontal="left" vertical="center"/>
      <protection locked="0"/>
    </xf>
    <xf numFmtId="49" fontId="50" fillId="0" borderId="6" xfId="6" applyBorder="1" applyProtection="1">
      <alignment horizontal="left" vertical="center"/>
      <protection locked="0"/>
    </xf>
    <xf numFmtId="165" fontId="51" fillId="0" borderId="6" xfId="7" applyBorder="1" applyProtection="1">
      <protection locked="0"/>
    </xf>
    <xf numFmtId="0" fontId="0" fillId="0" borderId="6" xfId="0" applyBorder="1" applyProtection="1">
      <protection locked="0"/>
    </xf>
    <xf numFmtId="49" fontId="50" fillId="0" borderId="12" xfId="6" applyBorder="1" applyProtection="1">
      <alignment horizontal="left" vertical="center"/>
      <protection locked="0"/>
    </xf>
    <xf numFmtId="0" fontId="75" fillId="0" borderId="3" xfId="0" applyFont="1" applyBorder="1" applyAlignment="1">
      <alignment vertical="center" wrapText="1"/>
    </xf>
    <xf numFmtId="9" fontId="35" fillId="30" borderId="0" xfId="0" applyNumberFormat="1" applyFont="1" applyFill="1" applyAlignment="1">
      <alignment vertical="center" wrapText="1"/>
    </xf>
    <xf numFmtId="0" fontId="30" fillId="46" borderId="7" xfId="0" applyFont="1" applyFill="1" applyBorder="1" applyAlignment="1">
      <alignment horizontal="center" vertical="center" wrapText="1"/>
    </xf>
    <xf numFmtId="0" fontId="30" fillId="46" borderId="5" xfId="0" applyFont="1" applyFill="1" applyBorder="1" applyAlignment="1">
      <alignment horizontal="center" vertical="center" wrapText="1"/>
    </xf>
    <xf numFmtId="0" fontId="30" fillId="46" borderId="8" xfId="0" applyFont="1" applyFill="1" applyBorder="1" applyAlignment="1">
      <alignment horizontal="center" vertical="center" wrapText="1"/>
    </xf>
    <xf numFmtId="0" fontId="1" fillId="0" borderId="0" xfId="4" applyFont="1"/>
    <xf numFmtId="164" fontId="70" fillId="44" borderId="32" xfId="4" applyNumberFormat="1" applyFont="1" applyFill="1" applyBorder="1" applyAlignment="1">
      <alignment horizontal="center" vertical="center" wrapText="1"/>
    </xf>
    <xf numFmtId="164" fontId="70" fillId="44" borderId="69" xfId="4" applyNumberFormat="1" applyFont="1" applyFill="1" applyBorder="1" applyAlignment="1">
      <alignment horizontal="center" vertical="center" wrapText="1"/>
    </xf>
    <xf numFmtId="9" fontId="78" fillId="0" borderId="3" xfId="0" applyNumberFormat="1" applyFont="1" applyBorder="1" applyAlignment="1">
      <alignment horizontal="center" vertical="center" wrapText="1"/>
    </xf>
    <xf numFmtId="9" fontId="61" fillId="16" borderId="24" xfId="4" applyNumberFormat="1" applyFont="1" applyFill="1" applyBorder="1" applyAlignment="1">
      <alignment horizontal="center" vertical="center"/>
    </xf>
    <xf numFmtId="9" fontId="61" fillId="16" borderId="4" xfId="4" applyNumberFormat="1" applyFont="1" applyFill="1" applyBorder="1" applyAlignment="1">
      <alignment horizontal="center" vertical="center"/>
    </xf>
    <xf numFmtId="164" fontId="7" fillId="0" borderId="3" xfId="0" applyNumberFormat="1" applyFont="1" applyBorder="1" applyAlignment="1">
      <alignment horizontal="center" vertical="center" wrapText="1"/>
    </xf>
    <xf numFmtId="164" fontId="22" fillId="27" borderId="3" xfId="0" applyNumberFormat="1" applyFont="1" applyFill="1" applyBorder="1" applyAlignment="1">
      <alignment horizontal="center" vertical="center"/>
    </xf>
    <xf numFmtId="164" fontId="22" fillId="0" borderId="3" xfId="0" applyNumberFormat="1" applyFont="1" applyBorder="1" applyAlignment="1">
      <alignment horizontal="center" vertical="center" wrapText="1"/>
    </xf>
    <xf numFmtId="164" fontId="22" fillId="0" borderId="3" xfId="0" applyNumberFormat="1" applyFont="1" applyBorder="1" applyAlignment="1">
      <alignment horizontal="center" vertical="center"/>
    </xf>
    <xf numFmtId="164" fontId="35" fillId="5" borderId="3" xfId="0" applyNumberFormat="1" applyFont="1" applyFill="1" applyBorder="1" applyAlignment="1">
      <alignment vertical="center" wrapText="1"/>
    </xf>
    <xf numFmtId="9" fontId="22" fillId="0" borderId="3" xfId="0" applyNumberFormat="1" applyFont="1" applyBorder="1" applyAlignment="1">
      <alignment horizontal="left" vertical="center" indent="1"/>
    </xf>
    <xf numFmtId="9" fontId="61" fillId="16" borderId="18" xfId="1" applyFont="1" applyFill="1" applyBorder="1" applyAlignment="1">
      <alignment horizontal="center" vertical="center"/>
    </xf>
    <xf numFmtId="9" fontId="61" fillId="27" borderId="3" xfId="4" applyNumberFormat="1" applyFont="1" applyFill="1" applyBorder="1" applyAlignment="1">
      <alignment horizontal="center" vertical="center"/>
    </xf>
    <xf numFmtId="14" fontId="58" fillId="0" borderId="15" xfId="4" applyNumberFormat="1" applyFont="1" applyBorder="1" applyAlignment="1">
      <alignment horizontal="center" vertical="center" wrapText="1"/>
    </xf>
    <xf numFmtId="14" fontId="58" fillId="0" borderId="39" xfId="4" applyNumberFormat="1" applyFont="1" applyBorder="1" applyAlignment="1">
      <alignment horizontal="center" vertical="center" wrapText="1"/>
    </xf>
    <xf numFmtId="14" fontId="58" fillId="0" borderId="14" xfId="4" applyNumberFormat="1" applyFont="1" applyBorder="1" applyAlignment="1">
      <alignment horizontal="center" vertical="center" wrapText="1"/>
    </xf>
    <xf numFmtId="0" fontId="58" fillId="0" borderId="15" xfId="4" applyFont="1" applyBorder="1" applyAlignment="1">
      <alignment horizontal="left" vertical="center" wrapText="1"/>
    </xf>
    <xf numFmtId="0" fontId="58" fillId="0" borderId="39" xfId="4" applyFont="1" applyBorder="1" applyAlignment="1">
      <alignment horizontal="left" vertical="center" wrapText="1"/>
    </xf>
    <xf numFmtId="0" fontId="58" fillId="0" borderId="14" xfId="4" applyFont="1" applyBorder="1" applyAlignment="1">
      <alignment horizontal="left" vertical="center" wrapText="1"/>
    </xf>
    <xf numFmtId="0" fontId="55" fillId="0" borderId="37" xfId="4" applyFont="1" applyBorder="1" applyAlignment="1">
      <alignment horizontal="left"/>
    </xf>
    <xf numFmtId="0" fontId="57" fillId="12" borderId="27" xfId="4" applyFont="1" applyFill="1" applyBorder="1" applyAlignment="1">
      <alignment horizontal="center" vertical="center" wrapText="1"/>
    </xf>
    <xf numFmtId="0" fontId="57" fillId="12" borderId="38" xfId="4" applyFont="1" applyFill="1" applyBorder="1" applyAlignment="1">
      <alignment horizontal="center" vertical="center" wrapText="1"/>
    </xf>
    <xf numFmtId="0" fontId="57" fillId="12" borderId="26" xfId="4" applyFont="1" applyFill="1" applyBorder="1" applyAlignment="1">
      <alignment horizontal="center" vertical="center" wrapText="1"/>
    </xf>
    <xf numFmtId="0" fontId="57" fillId="12" borderId="29" xfId="4" applyFont="1" applyFill="1" applyBorder="1" applyAlignment="1">
      <alignment horizontal="center" vertical="center" wrapText="1"/>
    </xf>
    <xf numFmtId="0" fontId="57" fillId="12" borderId="37" xfId="4" applyFont="1" applyFill="1" applyBorder="1" applyAlignment="1">
      <alignment horizontal="center" vertical="center" wrapText="1"/>
    </xf>
    <xf numFmtId="0" fontId="57" fillId="12" borderId="28" xfId="4" applyFont="1" applyFill="1" applyBorder="1" applyAlignment="1">
      <alignment horizontal="center" vertical="center" wrapText="1"/>
    </xf>
    <xf numFmtId="0" fontId="57" fillId="12" borderId="15" xfId="4" applyFont="1" applyFill="1" applyBorder="1" applyAlignment="1">
      <alignment horizontal="center" vertical="center" wrapText="1"/>
    </xf>
    <xf numFmtId="0" fontId="57" fillId="12" borderId="39" xfId="4" applyFont="1" applyFill="1" applyBorder="1" applyAlignment="1">
      <alignment horizontal="center" vertical="center" wrapText="1"/>
    </xf>
    <xf numFmtId="0" fontId="57" fillId="12" borderId="14" xfId="4" applyFont="1" applyFill="1" applyBorder="1" applyAlignment="1">
      <alignment horizontal="center" vertical="center" wrapText="1"/>
    </xf>
    <xf numFmtId="0" fontId="38" fillId="26" borderId="3" xfId="0" applyFont="1" applyFill="1" applyBorder="1" applyAlignment="1">
      <alignment horizontal="center" vertical="center"/>
    </xf>
    <xf numFmtId="0" fontId="38" fillId="41" borderId="0" xfId="0" applyFont="1" applyFill="1" applyAlignment="1">
      <alignment horizontal="center" vertical="center"/>
    </xf>
    <xf numFmtId="0" fontId="9" fillId="0" borderId="3" xfId="0" applyFont="1" applyBorder="1" applyAlignment="1">
      <alignment horizontal="center" vertical="center" wrapText="1"/>
    </xf>
    <xf numFmtId="0" fontId="17" fillId="0" borderId="0" xfId="0" applyFont="1" applyAlignment="1">
      <alignment horizontal="right" vertical="center"/>
    </xf>
    <xf numFmtId="0" fontId="13" fillId="0" borderId="37" xfId="0" applyFont="1" applyBorder="1" applyAlignment="1">
      <alignment horizontal="right" vertical="center"/>
    </xf>
    <xf numFmtId="0" fontId="4" fillId="0" borderId="39" xfId="0" applyFont="1" applyBorder="1" applyAlignment="1">
      <alignment horizontal="right" vertical="center"/>
    </xf>
    <xf numFmtId="0" fontId="4" fillId="13" borderId="39" xfId="0" applyFont="1" applyFill="1" applyBorder="1" applyAlignment="1">
      <alignment horizontal="right" vertical="center"/>
    </xf>
    <xf numFmtId="0" fontId="16" fillId="0" borderId="38" xfId="0" applyFont="1" applyBorder="1" applyAlignment="1">
      <alignment horizontal="center" vertical="center" wrapText="1"/>
    </xf>
    <xf numFmtId="0" fontId="16" fillId="0" borderId="0" xfId="0" applyFont="1" applyAlignment="1">
      <alignment horizontal="center" vertical="center" wrapText="1"/>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0" fillId="0" borderId="50" xfId="0" applyBorder="1" applyAlignment="1">
      <alignment horizontal="center" vertical="center" wrapText="1"/>
    </xf>
    <xf numFmtId="0" fontId="0" fillId="0" borderId="28" xfId="0" applyBorder="1" applyAlignment="1">
      <alignment horizontal="center" vertical="center" wrapText="1"/>
    </xf>
    <xf numFmtId="0" fontId="31" fillId="16" borderId="4"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33" fillId="16" borderId="19" xfId="0" applyFont="1" applyFill="1" applyBorder="1" applyAlignment="1">
      <alignment horizontal="center" vertical="center" wrapText="1"/>
    </xf>
    <xf numFmtId="14" fontId="33" fillId="16" borderId="4" xfId="0" applyNumberFormat="1" applyFont="1" applyFill="1" applyBorder="1" applyAlignment="1">
      <alignment horizontal="center" vertical="center" wrapText="1"/>
    </xf>
    <xf numFmtId="14" fontId="33" fillId="16" borderId="19" xfId="0" applyNumberFormat="1" applyFont="1" applyFill="1" applyBorder="1" applyAlignment="1">
      <alignment horizontal="center" vertical="center" wrapText="1"/>
    </xf>
    <xf numFmtId="0" fontId="13" fillId="0" borderId="50" xfId="0" applyFont="1" applyBorder="1" applyAlignment="1">
      <alignment horizontal="center" vertical="center" wrapText="1"/>
    </xf>
    <xf numFmtId="0" fontId="33" fillId="16" borderId="18" xfId="0" applyFont="1" applyFill="1" applyBorder="1" applyAlignment="1">
      <alignment horizontal="center" vertical="center" wrapText="1"/>
    </xf>
    <xf numFmtId="14" fontId="33" fillId="16" borderId="18" xfId="0" applyNumberFormat="1" applyFont="1" applyFill="1" applyBorder="1" applyAlignment="1">
      <alignment horizontal="center" vertical="center" wrapText="1"/>
    </xf>
    <xf numFmtId="0" fontId="37" fillId="23" borderId="0" xfId="0" applyFont="1" applyFill="1" applyAlignment="1">
      <alignment horizontal="center" vertical="center" wrapText="1"/>
    </xf>
    <xf numFmtId="0" fontId="37" fillId="23" borderId="50" xfId="0" applyFont="1" applyFill="1" applyBorder="1" applyAlignment="1">
      <alignment horizontal="center" vertical="center" wrapText="1"/>
    </xf>
    <xf numFmtId="0" fontId="37" fillId="24" borderId="48" xfId="0" applyFont="1" applyFill="1" applyBorder="1" applyAlignment="1">
      <alignment horizontal="center" vertical="center"/>
    </xf>
    <xf numFmtId="0" fontId="37" fillId="24" borderId="42" xfId="0" applyFont="1" applyFill="1" applyBorder="1" applyAlignment="1">
      <alignment horizontal="center" vertical="center"/>
    </xf>
    <xf numFmtId="0" fontId="37" fillId="24" borderId="51" xfId="0" applyFont="1" applyFill="1" applyBorder="1" applyAlignment="1">
      <alignment horizontal="center" vertical="center"/>
    </xf>
    <xf numFmtId="0" fontId="30" fillId="28" borderId="24" xfId="0" applyFont="1" applyFill="1" applyBorder="1" applyAlignment="1">
      <alignment horizontal="center" vertical="center" wrapText="1"/>
    </xf>
    <xf numFmtId="0" fontId="30" fillId="28" borderId="18" xfId="0" applyFont="1" applyFill="1" applyBorder="1" applyAlignment="1">
      <alignment horizontal="center" vertical="center" wrapText="1"/>
    </xf>
    <xf numFmtId="0" fontId="30" fillId="28" borderId="4" xfId="0" applyFont="1" applyFill="1" applyBorder="1" applyAlignment="1">
      <alignment horizontal="center" vertical="center" wrapText="1"/>
    </xf>
    <xf numFmtId="0" fontId="30" fillId="28" borderId="3"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32" fillId="17" borderId="19" xfId="0" applyFont="1" applyFill="1" applyBorder="1" applyAlignment="1">
      <alignment horizontal="center" vertical="center" wrapText="1"/>
    </xf>
    <xf numFmtId="0" fontId="33" fillId="16" borderId="3" xfId="0" applyFont="1" applyFill="1" applyBorder="1" applyAlignment="1">
      <alignment horizontal="center" vertical="center" wrapText="1"/>
    </xf>
    <xf numFmtId="14" fontId="33" fillId="16" borderId="3" xfId="0" applyNumberFormat="1" applyFont="1" applyFill="1" applyBorder="1" applyAlignment="1">
      <alignment horizontal="center" vertical="center" wrapText="1"/>
    </xf>
    <xf numFmtId="0" fontId="31" fillId="16" borderId="3" xfId="0" applyFont="1" applyFill="1" applyBorder="1" applyAlignment="1">
      <alignment horizontal="center" vertical="center" wrapText="1"/>
    </xf>
    <xf numFmtId="0" fontId="32" fillId="17" borderId="3" xfId="0" applyFont="1" applyFill="1" applyBorder="1" applyAlignment="1">
      <alignment horizontal="center" vertical="center" wrapText="1"/>
    </xf>
    <xf numFmtId="0" fontId="36" fillId="0" borderId="0" xfId="0" applyFont="1" applyAlignment="1">
      <alignment horizontal="center" vertical="center" textRotation="45" wrapText="1"/>
    </xf>
    <xf numFmtId="0" fontId="35" fillId="18" borderId="27" xfId="0" applyFont="1" applyFill="1" applyBorder="1" applyAlignment="1">
      <alignment horizontal="right" vertical="center"/>
    </xf>
    <xf numFmtId="0" fontId="35" fillId="18" borderId="26" xfId="0" applyFont="1" applyFill="1" applyBorder="1" applyAlignment="1">
      <alignment horizontal="right" vertical="center"/>
    </xf>
    <xf numFmtId="0" fontId="35" fillId="18" borderId="49" xfId="0" applyFont="1" applyFill="1" applyBorder="1" applyAlignment="1">
      <alignment horizontal="right" vertical="center"/>
    </xf>
    <xf numFmtId="0" fontId="35" fillId="18" borderId="50" xfId="0" applyFont="1" applyFill="1" applyBorder="1" applyAlignment="1">
      <alignment horizontal="right" vertical="center"/>
    </xf>
    <xf numFmtId="0" fontId="35" fillId="18" borderId="45" xfId="0" applyFont="1" applyFill="1" applyBorder="1" applyAlignment="1">
      <alignment horizontal="right" vertical="center"/>
    </xf>
    <xf numFmtId="0" fontId="35" fillId="18" borderId="53" xfId="0" applyFont="1" applyFill="1" applyBorder="1" applyAlignment="1">
      <alignment horizontal="right" vertical="center"/>
    </xf>
    <xf numFmtId="0" fontId="35" fillId="18" borderId="3" xfId="0" applyFont="1" applyFill="1" applyBorder="1" applyAlignment="1">
      <alignment horizontal="right" vertical="center"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0" xfId="0" applyFont="1" applyAlignment="1">
      <alignment horizontal="center" vertical="center" wrapText="1"/>
    </xf>
    <xf numFmtId="0" fontId="9" fillId="0" borderId="5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8" xfId="0" applyFont="1" applyBorder="1" applyAlignment="1">
      <alignment horizontal="center" vertical="center" wrapText="1"/>
    </xf>
    <xf numFmtId="0" fontId="39" fillId="27" borderId="3" xfId="0" applyFont="1" applyFill="1" applyBorder="1" applyAlignment="1">
      <alignment vertical="center"/>
    </xf>
    <xf numFmtId="0" fontId="35" fillId="18" borderId="3" xfId="0" applyFont="1" applyFill="1" applyBorder="1" applyAlignment="1">
      <alignment horizontal="right" vertical="center"/>
    </xf>
    <xf numFmtId="0" fontId="40" fillId="21" borderId="38" xfId="3" applyFont="1" applyFill="1" applyBorder="1" applyAlignment="1">
      <alignment horizontal="center" vertical="center" textRotation="90"/>
    </xf>
    <xf numFmtId="0" fontId="40" fillId="21" borderId="0" xfId="3" applyFont="1" applyFill="1" applyAlignment="1">
      <alignment horizontal="center" vertical="center" textRotation="90"/>
    </xf>
    <xf numFmtId="0" fontId="35" fillId="18" borderId="27" xfId="0" applyFont="1" applyFill="1" applyBorder="1" applyAlignment="1">
      <alignment horizontal="right" vertical="center" wrapText="1"/>
    </xf>
    <xf numFmtId="0" fontId="35" fillId="18" borderId="38" xfId="0" applyFont="1" applyFill="1" applyBorder="1" applyAlignment="1">
      <alignment horizontal="right" vertical="center" wrapText="1"/>
    </xf>
    <xf numFmtId="0" fontId="35" fillId="18" borderId="26" xfId="0" applyFont="1" applyFill="1" applyBorder="1" applyAlignment="1">
      <alignment horizontal="right" vertical="center" wrapText="1"/>
    </xf>
    <xf numFmtId="0" fontId="35" fillId="18" borderId="49" xfId="0" applyFont="1" applyFill="1" applyBorder="1" applyAlignment="1">
      <alignment horizontal="right" vertical="center" wrapText="1"/>
    </xf>
    <xf numFmtId="0" fontId="35" fillId="18" borderId="0" xfId="0" applyFont="1" applyFill="1" applyAlignment="1">
      <alignment horizontal="right" vertical="center" wrapText="1"/>
    </xf>
    <xf numFmtId="0" fontId="35" fillId="18" borderId="50" xfId="0" applyFont="1" applyFill="1" applyBorder="1" applyAlignment="1">
      <alignment horizontal="right" vertical="center" wrapText="1"/>
    </xf>
    <xf numFmtId="0" fontId="35" fillId="18" borderId="29" xfId="0" applyFont="1" applyFill="1" applyBorder="1" applyAlignment="1">
      <alignment horizontal="right" vertical="center" wrapText="1"/>
    </xf>
    <xf numFmtId="0" fontId="35" fillId="18" borderId="37" xfId="0" applyFont="1" applyFill="1" applyBorder="1" applyAlignment="1">
      <alignment horizontal="right" vertical="center" wrapText="1"/>
    </xf>
    <xf numFmtId="0" fontId="35" fillId="18" borderId="28" xfId="0" applyFont="1" applyFill="1" applyBorder="1" applyAlignment="1">
      <alignment horizontal="right" vertical="center" wrapText="1"/>
    </xf>
    <xf numFmtId="9" fontId="35" fillId="5" borderId="27" xfId="0" applyNumberFormat="1" applyFont="1" applyFill="1" applyBorder="1" applyAlignment="1">
      <alignment horizontal="left" vertical="center" wrapText="1"/>
    </xf>
    <xf numFmtId="9" fontId="35" fillId="5" borderId="38" xfId="0" applyNumberFormat="1" applyFont="1" applyFill="1" applyBorder="1" applyAlignment="1">
      <alignment horizontal="left" vertical="center" wrapText="1"/>
    </xf>
    <xf numFmtId="9" fontId="35" fillId="5" borderId="26" xfId="0" applyNumberFormat="1" applyFont="1" applyFill="1" applyBorder="1" applyAlignment="1">
      <alignment horizontal="left" vertical="center" wrapText="1"/>
    </xf>
    <xf numFmtId="9" fontId="35" fillId="5" borderId="49" xfId="0" applyNumberFormat="1" applyFont="1" applyFill="1" applyBorder="1" applyAlignment="1">
      <alignment horizontal="left" vertical="center" wrapText="1"/>
    </xf>
    <xf numFmtId="9" fontId="35" fillId="5" borderId="0" xfId="0" applyNumberFormat="1" applyFont="1" applyFill="1" applyAlignment="1">
      <alignment horizontal="left" vertical="center" wrapText="1"/>
    </xf>
    <xf numFmtId="9" fontId="35" fillId="5" borderId="50" xfId="0" applyNumberFormat="1" applyFont="1" applyFill="1" applyBorder="1" applyAlignment="1">
      <alignment horizontal="left" vertical="center" wrapText="1"/>
    </xf>
    <xf numFmtId="9" fontId="35" fillId="5" borderId="29" xfId="0" applyNumberFormat="1" applyFont="1" applyFill="1" applyBorder="1" applyAlignment="1">
      <alignment horizontal="left" vertical="center" wrapText="1"/>
    </xf>
    <xf numFmtId="9" fontId="35" fillId="5" borderId="37" xfId="0" applyNumberFormat="1" applyFont="1" applyFill="1" applyBorder="1" applyAlignment="1">
      <alignment horizontal="left" vertical="center" wrapText="1"/>
    </xf>
    <xf numFmtId="9" fontId="35" fillId="5" borderId="28" xfId="0" applyNumberFormat="1" applyFont="1" applyFill="1" applyBorder="1" applyAlignment="1">
      <alignment horizontal="left" vertical="center" wrapText="1"/>
    </xf>
    <xf numFmtId="9" fontId="39" fillId="27" borderId="4" xfId="1" applyFont="1" applyFill="1" applyBorder="1" applyAlignment="1">
      <alignment horizontal="left" vertical="center"/>
    </xf>
    <xf numFmtId="9" fontId="39" fillId="27" borderId="19" xfId="1" applyFont="1" applyFill="1" applyBorder="1" applyAlignment="1">
      <alignment horizontal="left" vertical="center"/>
    </xf>
    <xf numFmtId="9" fontId="39" fillId="27" borderId="36" xfId="1" applyFont="1" applyFill="1" applyBorder="1" applyAlignment="1">
      <alignment horizontal="left" vertical="center"/>
    </xf>
    <xf numFmtId="9" fontId="35" fillId="5" borderId="24" xfId="0" applyNumberFormat="1" applyFont="1" applyFill="1" applyBorder="1" applyAlignment="1">
      <alignment horizontal="left" vertical="center" wrapText="1"/>
    </xf>
    <xf numFmtId="9" fontId="35" fillId="5" borderId="19" xfId="0" applyNumberFormat="1" applyFont="1" applyFill="1" applyBorder="1" applyAlignment="1">
      <alignment horizontal="left" vertical="center" wrapText="1"/>
    </xf>
    <xf numFmtId="9" fontId="35" fillId="5" borderId="36" xfId="0" applyNumberFormat="1" applyFont="1" applyFill="1" applyBorder="1" applyAlignment="1">
      <alignment horizontal="left" vertical="center" wrapText="1"/>
    </xf>
    <xf numFmtId="9" fontId="39" fillId="27" borderId="27" xfId="1" applyFont="1" applyFill="1" applyBorder="1" applyAlignment="1">
      <alignment horizontal="left" vertical="center"/>
    </xf>
    <xf numFmtId="9" fontId="39" fillId="27" borderId="49" xfId="1" applyFont="1" applyFill="1" applyBorder="1" applyAlignment="1">
      <alignment horizontal="left" vertical="center"/>
    </xf>
    <xf numFmtId="9" fontId="39" fillId="27" borderId="45" xfId="1" applyFont="1" applyFill="1" applyBorder="1" applyAlignment="1">
      <alignment horizontal="left" vertical="center"/>
    </xf>
    <xf numFmtId="9" fontId="35" fillId="5" borderId="27" xfId="0" applyNumberFormat="1" applyFont="1" applyFill="1" applyBorder="1" applyAlignment="1">
      <alignment horizontal="center" vertical="center" wrapText="1"/>
    </xf>
    <xf numFmtId="9" fontId="35" fillId="5" borderId="38" xfId="0" applyNumberFormat="1" applyFont="1" applyFill="1" applyBorder="1" applyAlignment="1">
      <alignment horizontal="center" vertical="center" wrapText="1"/>
    </xf>
    <xf numFmtId="9" fontId="35" fillId="5" borderId="26" xfId="0" applyNumberFormat="1" applyFont="1" applyFill="1" applyBorder="1" applyAlignment="1">
      <alignment horizontal="center" vertical="center" wrapText="1"/>
    </xf>
    <xf numFmtId="9" fontId="35" fillId="5" borderId="49" xfId="0" applyNumberFormat="1" applyFont="1" applyFill="1" applyBorder="1" applyAlignment="1">
      <alignment horizontal="center" vertical="center" wrapText="1"/>
    </xf>
    <xf numFmtId="9" fontId="35" fillId="5" borderId="0" xfId="0" applyNumberFormat="1" applyFont="1" applyFill="1" applyAlignment="1">
      <alignment horizontal="center" vertical="center" wrapText="1"/>
    </xf>
    <xf numFmtId="9" fontId="35" fillId="5" borderId="50" xfId="0" applyNumberFormat="1" applyFont="1" applyFill="1" applyBorder="1" applyAlignment="1">
      <alignment horizontal="center" vertical="center" wrapText="1"/>
    </xf>
    <xf numFmtId="9" fontId="35" fillId="5" borderId="29" xfId="0" applyNumberFormat="1" applyFont="1" applyFill="1" applyBorder="1" applyAlignment="1">
      <alignment horizontal="center" vertical="center" wrapText="1"/>
    </xf>
    <xf numFmtId="9" fontId="35" fillId="5" borderId="37" xfId="0" applyNumberFormat="1" applyFont="1" applyFill="1" applyBorder="1" applyAlignment="1">
      <alignment horizontal="center" vertical="center" wrapText="1"/>
    </xf>
    <xf numFmtId="9" fontId="35" fillId="5" borderId="28" xfId="0" applyNumberFormat="1" applyFont="1" applyFill="1" applyBorder="1" applyAlignment="1">
      <alignment horizontal="center" vertical="center" wrapText="1"/>
    </xf>
    <xf numFmtId="0" fontId="20" fillId="0" borderId="57" xfId="0" applyFont="1" applyBorder="1" applyAlignment="1">
      <alignment horizontal="justify" vertical="center" wrapText="1"/>
    </xf>
    <xf numFmtId="0" fontId="20" fillId="0" borderId="55" xfId="0" applyFont="1" applyBorder="1" applyAlignment="1">
      <alignment horizontal="justify" vertical="center" wrapText="1"/>
    </xf>
    <xf numFmtId="0" fontId="35" fillId="6" borderId="3" xfId="0" applyFont="1" applyFill="1" applyBorder="1" applyAlignment="1">
      <alignment horizontal="center" vertical="center" wrapText="1"/>
    </xf>
    <xf numFmtId="0" fontId="37" fillId="24" borderId="56" xfId="0" applyFont="1" applyFill="1" applyBorder="1" applyAlignment="1">
      <alignment horizontal="center" vertical="center"/>
    </xf>
    <xf numFmtId="0" fontId="37" fillId="24" borderId="37" xfId="0" applyFont="1" applyFill="1" applyBorder="1" applyAlignment="1">
      <alignment horizontal="center" vertical="center"/>
    </xf>
    <xf numFmtId="0" fontId="37" fillId="24" borderId="57" xfId="0" applyFont="1" applyFill="1" applyBorder="1" applyAlignment="1">
      <alignment horizontal="center" vertical="center"/>
    </xf>
    <xf numFmtId="49" fontId="40" fillId="22" borderId="38" xfId="3" applyNumberFormat="1" applyFont="1" applyFill="1" applyBorder="1" applyAlignment="1">
      <alignment horizontal="center" vertical="center" textRotation="90"/>
    </xf>
    <xf numFmtId="49" fontId="40" fillId="22" borderId="0" xfId="3" applyNumberFormat="1" applyFont="1" applyFill="1" applyAlignment="1">
      <alignment horizontal="center" vertical="center" textRotation="90"/>
    </xf>
    <xf numFmtId="0" fontId="40" fillId="20" borderId="38" xfId="3" applyFont="1" applyFill="1" applyBorder="1" applyAlignment="1">
      <alignment horizontal="center" vertical="center" textRotation="90"/>
    </xf>
    <xf numFmtId="0" fontId="40" fillId="20" borderId="0" xfId="3" applyFont="1" applyFill="1" applyAlignment="1">
      <alignment horizontal="center" vertical="center" textRotation="90"/>
    </xf>
    <xf numFmtId="0" fontId="40" fillId="19" borderId="38" xfId="3" applyFont="1" applyFill="1" applyBorder="1" applyAlignment="1">
      <alignment horizontal="center" vertical="center" textRotation="90"/>
    </xf>
    <xf numFmtId="0" fontId="40" fillId="19" borderId="0" xfId="3" applyFont="1" applyFill="1" applyAlignment="1">
      <alignment horizontal="center" vertical="center" textRotation="90"/>
    </xf>
    <xf numFmtId="0" fontId="40" fillId="10" borderId="38" xfId="3" applyFont="1" applyFill="1" applyBorder="1" applyAlignment="1">
      <alignment horizontal="center" vertical="center" textRotation="90"/>
    </xf>
    <xf numFmtId="0" fontId="40" fillId="10" borderId="0" xfId="3" applyFont="1" applyFill="1" applyAlignment="1">
      <alignment horizontal="center" vertical="center" textRotation="90"/>
    </xf>
    <xf numFmtId="0" fontId="3" fillId="6" borderId="3" xfId="0" applyFont="1" applyFill="1" applyBorder="1" applyAlignment="1">
      <alignment horizontal="center" vertical="center"/>
    </xf>
    <xf numFmtId="0" fontId="15"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40" fillId="22" borderId="38" xfId="3" applyFont="1" applyFill="1" applyBorder="1" applyAlignment="1">
      <alignment horizontal="center" vertical="center" textRotation="90"/>
    </xf>
    <xf numFmtId="0" fontId="40" fillId="22" borderId="0" xfId="3" applyFont="1" applyFill="1" applyAlignment="1">
      <alignment horizontal="center" vertical="center" textRotation="90"/>
    </xf>
    <xf numFmtId="0" fontId="38" fillId="26" borderId="3" xfId="0" applyFont="1" applyFill="1" applyBorder="1" applyAlignment="1">
      <alignment horizontal="left" vertical="center"/>
    </xf>
    <xf numFmtId="0" fontId="0" fillId="0" borderId="50" xfId="0" applyBorder="1" applyAlignment="1">
      <alignment horizontal="center" vertical="center"/>
    </xf>
    <xf numFmtId="0" fontId="0" fillId="0" borderId="28" xfId="0" applyBorder="1" applyAlignment="1">
      <alignment horizontal="center" vertical="center"/>
    </xf>
    <xf numFmtId="0" fontId="13" fillId="0" borderId="4" xfId="0" applyFont="1" applyBorder="1" applyAlignment="1">
      <alignment horizontal="left" vertical="center" wrapText="1"/>
    </xf>
    <xf numFmtId="0" fontId="0" fillId="0" borderId="18" xfId="0" applyBorder="1" applyAlignment="1">
      <alignment horizontal="left" vertical="center" wrapText="1"/>
    </xf>
    <xf numFmtId="0" fontId="20" fillId="0" borderId="18" xfId="0" applyFont="1" applyBorder="1" applyAlignment="1">
      <alignment horizontal="justify" vertical="center" wrapText="1"/>
    </xf>
    <xf numFmtId="0" fontId="20" fillId="0" borderId="3" xfId="0" applyFont="1" applyBorder="1" applyAlignment="1">
      <alignment horizontal="justify" vertical="center" wrapText="1"/>
    </xf>
    <xf numFmtId="0" fontId="80" fillId="0" borderId="18" xfId="0" applyFont="1" applyBorder="1" applyAlignment="1">
      <alignment horizontal="justify" vertical="center" wrapText="1"/>
    </xf>
    <xf numFmtId="0" fontId="35" fillId="18" borderId="4" xfId="0" applyFont="1" applyFill="1" applyBorder="1" applyAlignment="1">
      <alignment horizontal="right" vertical="center" wrapText="1"/>
    </xf>
    <xf numFmtId="9" fontId="35" fillId="5" borderId="3" xfId="0" applyNumberFormat="1" applyFont="1" applyFill="1" applyBorder="1" applyAlignment="1">
      <alignment horizontal="left" vertical="center" wrapText="1"/>
    </xf>
    <xf numFmtId="9" fontId="35" fillId="5" borderId="4" xfId="0" applyNumberFormat="1" applyFont="1" applyFill="1" applyBorder="1" applyAlignment="1">
      <alignment horizontal="left" vertical="center" wrapText="1"/>
    </xf>
    <xf numFmtId="0" fontId="39" fillId="27" borderId="3" xfId="0" applyFont="1" applyFill="1" applyBorder="1" applyAlignment="1">
      <alignment vertical="center" wrapText="1"/>
    </xf>
    <xf numFmtId="0" fontId="35" fillId="18" borderId="4" xfId="0" applyFont="1" applyFill="1" applyBorder="1" applyAlignment="1">
      <alignment horizontal="right" vertical="center"/>
    </xf>
    <xf numFmtId="0" fontId="30" fillId="28" borderId="49" xfId="0" applyFont="1" applyFill="1" applyBorder="1" applyAlignment="1">
      <alignment horizontal="center" vertical="center" wrapText="1"/>
    </xf>
    <xf numFmtId="0" fontId="30" fillId="28" borderId="29" xfId="0" applyFont="1" applyFill="1" applyBorder="1" applyAlignment="1">
      <alignment horizontal="center" vertical="center" wrapText="1"/>
    </xf>
    <xf numFmtId="0" fontId="3" fillId="6" borderId="18" xfId="0" applyFont="1" applyFill="1" applyBorder="1" applyAlignment="1">
      <alignment horizontal="center" vertical="center"/>
    </xf>
    <xf numFmtId="0" fontId="15" fillId="6" borderId="1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30" fillId="28" borderId="19" xfId="0" applyFont="1" applyFill="1" applyBorder="1" applyAlignment="1">
      <alignment horizontal="center" vertical="center" wrapText="1"/>
    </xf>
    <xf numFmtId="49" fontId="40" fillId="22" borderId="18" xfId="3" applyNumberFormat="1" applyFont="1" applyFill="1" applyBorder="1" applyAlignment="1">
      <alignment horizontal="center" vertical="center" textRotation="90"/>
    </xf>
    <xf numFmtId="49" fontId="40" fillId="22" borderId="3" xfId="3" applyNumberFormat="1" applyFont="1" applyFill="1" applyBorder="1" applyAlignment="1">
      <alignment horizontal="center" vertical="center" textRotation="90"/>
    </xf>
    <xf numFmtId="0" fontId="35" fillId="6" borderId="28" xfId="0"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7" fillId="24" borderId="47" xfId="0" applyFont="1" applyFill="1" applyBorder="1" applyAlignment="1">
      <alignment horizontal="center" vertical="center"/>
    </xf>
    <xf numFmtId="0" fontId="37" fillId="24" borderId="21" xfId="0" applyFont="1" applyFill="1" applyBorder="1" applyAlignment="1">
      <alignment horizontal="center" vertical="center"/>
    </xf>
    <xf numFmtId="0" fontId="37" fillId="24" borderId="82" xfId="0" applyFont="1" applyFill="1" applyBorder="1" applyAlignment="1">
      <alignment horizontal="center" vertical="center"/>
    </xf>
    <xf numFmtId="0" fontId="40" fillId="20" borderId="18" xfId="3" applyFont="1" applyFill="1" applyBorder="1" applyAlignment="1">
      <alignment horizontal="center" vertical="center" textRotation="90"/>
    </xf>
    <xf numFmtId="0" fontId="40" fillId="20" borderId="3" xfId="3" applyFont="1" applyFill="1" applyBorder="1" applyAlignment="1">
      <alignment horizontal="center" vertical="center" textRotation="90"/>
    </xf>
    <xf numFmtId="0" fontId="40" fillId="19" borderId="18" xfId="3" applyFont="1" applyFill="1" applyBorder="1" applyAlignment="1">
      <alignment horizontal="center" vertical="center" textRotation="90"/>
    </xf>
    <xf numFmtId="0" fontId="40" fillId="19" borderId="3" xfId="3" applyFont="1" applyFill="1" applyBorder="1" applyAlignment="1">
      <alignment horizontal="center" vertical="center" textRotation="90"/>
    </xf>
    <xf numFmtId="0" fontId="40" fillId="10" borderId="18" xfId="3" applyFont="1" applyFill="1" applyBorder="1" applyAlignment="1">
      <alignment horizontal="center" vertical="center" textRotation="90"/>
    </xf>
    <xf numFmtId="0" fontId="40" fillId="10" borderId="3" xfId="3" applyFont="1" applyFill="1" applyBorder="1" applyAlignment="1">
      <alignment horizontal="center" vertical="center" textRotation="90"/>
    </xf>
    <xf numFmtId="0" fontId="40" fillId="21" borderId="18" xfId="3" applyFont="1" applyFill="1" applyBorder="1" applyAlignment="1">
      <alignment horizontal="center" vertical="center" textRotation="90"/>
    </xf>
    <xf numFmtId="0" fontId="40" fillId="21" borderId="3" xfId="3" applyFont="1" applyFill="1" applyBorder="1" applyAlignment="1">
      <alignment horizontal="center" vertical="center" textRotation="90"/>
    </xf>
    <xf numFmtId="0" fontId="40" fillId="22" borderId="18" xfId="3" applyFont="1" applyFill="1" applyBorder="1" applyAlignment="1">
      <alignment horizontal="center" vertical="center" textRotation="90"/>
    </xf>
    <xf numFmtId="0" fontId="40" fillId="22" borderId="3" xfId="3" applyFont="1" applyFill="1" applyBorder="1" applyAlignment="1">
      <alignment horizontal="center" vertical="center" textRotation="90"/>
    </xf>
    <xf numFmtId="0" fontId="32" fillId="29" borderId="4" xfId="0" applyFont="1" applyFill="1" applyBorder="1" applyAlignment="1">
      <alignment horizontal="center" vertical="center" wrapText="1"/>
    </xf>
    <xf numFmtId="0" fontId="32" fillId="29" borderId="19" xfId="0" applyFont="1" applyFill="1" applyBorder="1" applyAlignment="1">
      <alignment horizontal="center" vertical="center" wrapText="1"/>
    </xf>
    <xf numFmtId="0" fontId="31" fillId="25" borderId="4" xfId="0" applyFont="1" applyFill="1" applyBorder="1" applyAlignment="1">
      <alignment horizontal="center" vertical="center" wrapText="1"/>
    </xf>
    <xf numFmtId="0" fontId="31" fillId="25" borderId="19" xfId="0" applyFont="1" applyFill="1" applyBorder="1" applyAlignment="1">
      <alignment horizontal="center" vertical="center" wrapText="1"/>
    </xf>
    <xf numFmtId="0" fontId="31" fillId="25" borderId="18" xfId="0" applyFont="1" applyFill="1" applyBorder="1" applyAlignment="1">
      <alignment horizontal="center" vertical="center" wrapText="1"/>
    </xf>
    <xf numFmtId="6" fontId="31" fillId="25" borderId="4" xfId="0" applyNumberFormat="1" applyFont="1" applyFill="1" applyBorder="1" applyAlignment="1">
      <alignment horizontal="center" vertical="center" wrapText="1"/>
    </xf>
    <xf numFmtId="6" fontId="31" fillId="25" borderId="19" xfId="0" applyNumberFormat="1" applyFont="1" applyFill="1" applyBorder="1" applyAlignment="1">
      <alignment horizontal="center" vertical="center" wrapText="1"/>
    </xf>
    <xf numFmtId="14" fontId="31" fillId="16" borderId="4" xfId="0" applyNumberFormat="1" applyFont="1" applyFill="1" applyBorder="1" applyAlignment="1">
      <alignment horizontal="center" vertical="center" wrapText="1"/>
    </xf>
    <xf numFmtId="14" fontId="31" fillId="16" borderId="19" xfId="0" applyNumberFormat="1" applyFont="1" applyFill="1" applyBorder="1" applyAlignment="1">
      <alignment horizontal="center" vertical="center" wrapText="1"/>
    </xf>
    <xf numFmtId="14" fontId="31" fillId="16" borderId="27" xfId="0" applyNumberFormat="1" applyFont="1" applyFill="1" applyBorder="1" applyAlignment="1">
      <alignment horizontal="center" vertical="center" wrapText="1"/>
    </xf>
    <xf numFmtId="14" fontId="31" fillId="16" borderId="49" xfId="0" applyNumberFormat="1" applyFont="1" applyFill="1" applyBorder="1" applyAlignment="1">
      <alignment horizontal="center" vertical="center" wrapText="1"/>
    </xf>
    <xf numFmtId="14" fontId="31" fillId="16" borderId="18" xfId="0" applyNumberFormat="1" applyFont="1" applyFill="1" applyBorder="1" applyAlignment="1">
      <alignment horizontal="center" vertical="center" wrapText="1"/>
    </xf>
    <xf numFmtId="14" fontId="31" fillId="16" borderId="29" xfId="0" applyNumberFormat="1" applyFont="1" applyFill="1" applyBorder="1" applyAlignment="1">
      <alignment horizontal="center" vertical="center" wrapText="1"/>
    </xf>
    <xf numFmtId="14" fontId="31" fillId="16" borderId="3" xfId="0" applyNumberFormat="1" applyFont="1" applyFill="1" applyBorder="1" applyAlignment="1">
      <alignment horizontal="center" vertical="center" wrapText="1"/>
    </xf>
    <xf numFmtId="14" fontId="31" fillId="16" borderId="15" xfId="0" applyNumberFormat="1" applyFont="1" applyFill="1" applyBorder="1" applyAlignment="1">
      <alignment horizontal="center" vertical="center" wrapText="1"/>
    </xf>
    <xf numFmtId="0" fontId="13" fillId="0" borderId="50" xfId="0" applyFont="1" applyBorder="1" applyAlignment="1">
      <alignment horizontal="center" vertical="center"/>
    </xf>
    <xf numFmtId="164" fontId="35" fillId="5" borderId="24" xfId="0" applyNumberFormat="1" applyFont="1" applyFill="1" applyBorder="1" applyAlignment="1">
      <alignment horizontal="left" vertical="center" wrapText="1"/>
    </xf>
    <xf numFmtId="164" fontId="35" fillId="5" borderId="19" xfId="0" applyNumberFormat="1" applyFont="1" applyFill="1" applyBorder="1" applyAlignment="1">
      <alignment horizontal="left" vertical="center" wrapText="1"/>
    </xf>
    <xf numFmtId="164" fontId="35" fillId="5" borderId="36" xfId="0" applyNumberFormat="1" applyFont="1" applyFill="1" applyBorder="1" applyAlignment="1">
      <alignment horizontal="left" vertical="center" wrapText="1"/>
    </xf>
    <xf numFmtId="0" fontId="35" fillId="27" borderId="27" xfId="0" applyFont="1" applyFill="1" applyBorder="1" applyAlignment="1">
      <alignment horizontal="center" vertical="center" wrapText="1"/>
    </xf>
    <xf numFmtId="0" fontId="35" fillId="27" borderId="38" xfId="0" applyFont="1" applyFill="1" applyBorder="1" applyAlignment="1">
      <alignment horizontal="center" vertical="center" wrapText="1"/>
    </xf>
    <xf numFmtId="0" fontId="35" fillId="27" borderId="49" xfId="0" applyFont="1" applyFill="1" applyBorder="1" applyAlignment="1">
      <alignment horizontal="center" vertical="center" wrapText="1"/>
    </xf>
    <xf numFmtId="0" fontId="35" fillId="27" borderId="0" xfId="0" applyFont="1" applyFill="1" applyAlignment="1">
      <alignment horizontal="center" vertical="center" wrapText="1"/>
    </xf>
    <xf numFmtId="0" fontId="35" fillId="27" borderId="29" xfId="0" applyFont="1" applyFill="1" applyBorder="1" applyAlignment="1">
      <alignment horizontal="center" vertical="center" wrapText="1"/>
    </xf>
    <xf numFmtId="0" fontId="35" fillId="27" borderId="37"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5" fillId="18" borderId="49" xfId="0" applyFont="1" applyFill="1" applyBorder="1" applyAlignment="1">
      <alignment horizontal="center" vertical="center" wrapText="1"/>
    </xf>
    <xf numFmtId="0" fontId="35" fillId="18" borderId="0" xfId="0" applyFont="1" applyFill="1" applyAlignment="1">
      <alignment horizontal="center" vertical="center" wrapText="1"/>
    </xf>
    <xf numFmtId="0" fontId="35" fillId="18" borderId="27" xfId="0" applyFont="1" applyFill="1" applyBorder="1" applyAlignment="1">
      <alignment horizontal="center" vertical="center" wrapText="1"/>
    </xf>
    <xf numFmtId="0" fontId="35" fillId="18" borderId="26" xfId="0" applyFont="1" applyFill="1" applyBorder="1" applyAlignment="1">
      <alignment horizontal="center" vertical="center" wrapText="1"/>
    </xf>
    <xf numFmtId="0" fontId="35" fillId="18" borderId="50" xfId="0" applyFont="1" applyFill="1" applyBorder="1" applyAlignment="1">
      <alignment horizontal="center" vertical="center" wrapText="1"/>
    </xf>
    <xf numFmtId="0" fontId="35" fillId="18" borderId="29" xfId="0" applyFont="1" applyFill="1" applyBorder="1" applyAlignment="1">
      <alignment horizontal="center" vertical="center" wrapText="1"/>
    </xf>
    <xf numFmtId="0" fontId="35" fillId="18" borderId="28" xfId="0" applyFont="1" applyFill="1" applyBorder="1" applyAlignment="1">
      <alignment horizontal="center" vertical="center" wrapText="1"/>
    </xf>
    <xf numFmtId="0" fontId="36" fillId="0" borderId="37" xfId="0" applyFont="1" applyBorder="1" applyAlignment="1">
      <alignment horizontal="center" vertical="center" textRotation="45" wrapText="1"/>
    </xf>
    <xf numFmtId="0" fontId="41" fillId="0" borderId="68" xfId="4" applyFont="1" applyBorder="1" applyAlignment="1">
      <alignment horizontal="center"/>
    </xf>
    <xf numFmtId="0" fontId="41" fillId="0" borderId="42" xfId="4" applyFont="1" applyBorder="1" applyAlignment="1">
      <alignment horizontal="center"/>
    </xf>
    <xf numFmtId="0" fontId="41" fillId="0" borderId="44" xfId="4" applyFont="1" applyBorder="1" applyAlignment="1">
      <alignment horizontal="center"/>
    </xf>
    <xf numFmtId="0" fontId="41" fillId="0" borderId="46" xfId="4" applyFont="1" applyBorder="1" applyAlignment="1">
      <alignment horizontal="center"/>
    </xf>
    <xf numFmtId="0" fontId="41" fillId="0" borderId="0" xfId="4" applyFont="1" applyAlignment="1">
      <alignment horizontal="center"/>
    </xf>
    <xf numFmtId="0" fontId="41" fillId="0" borderId="50" xfId="4" applyFont="1" applyBorder="1" applyAlignment="1">
      <alignment horizontal="center"/>
    </xf>
    <xf numFmtId="0" fontId="38" fillId="26" borderId="49" xfId="0" applyFont="1" applyFill="1" applyBorder="1" applyAlignment="1">
      <alignment horizontal="left" vertical="center"/>
    </xf>
    <xf numFmtId="0" fontId="38" fillId="26" borderId="0" xfId="0" applyFont="1" applyFill="1" applyAlignment="1">
      <alignment horizontal="left" vertical="center"/>
    </xf>
    <xf numFmtId="49" fontId="50" fillId="0" borderId="49" xfId="6" applyBorder="1" applyProtection="1">
      <alignment horizontal="left" vertical="center"/>
      <protection locked="0"/>
    </xf>
    <xf numFmtId="49" fontId="50" fillId="0" borderId="0" xfId="6" applyBorder="1" applyProtection="1">
      <alignment horizontal="left" vertical="center"/>
      <protection locked="0"/>
    </xf>
    <xf numFmtId="49" fontId="50" fillId="0" borderId="50" xfId="6" applyBorder="1" applyProtection="1">
      <alignment horizontal="left" vertical="center"/>
      <protection locked="0"/>
    </xf>
    <xf numFmtId="0" fontId="39" fillId="27" borderId="26" xfId="0" applyFont="1" applyFill="1" applyBorder="1" applyAlignment="1">
      <alignment vertical="center"/>
    </xf>
    <xf numFmtId="0" fontId="39" fillId="27" borderId="49" xfId="0" applyFont="1" applyFill="1" applyBorder="1" applyAlignment="1">
      <alignment vertical="center"/>
    </xf>
    <xf numFmtId="0" fontId="39" fillId="27" borderId="50" xfId="0" applyFont="1" applyFill="1" applyBorder="1" applyAlignment="1">
      <alignment vertical="center"/>
    </xf>
    <xf numFmtId="0" fontId="39" fillId="27" borderId="29" xfId="0" applyFont="1" applyFill="1" applyBorder="1" applyAlignment="1">
      <alignment vertical="center"/>
    </xf>
    <xf numFmtId="0" fontId="39" fillId="27" borderId="28" xfId="0" applyFont="1" applyFill="1" applyBorder="1" applyAlignment="1">
      <alignment vertical="center"/>
    </xf>
    <xf numFmtId="0" fontId="35" fillId="18" borderId="29" xfId="0" applyFont="1" applyFill="1" applyBorder="1" applyAlignment="1">
      <alignment horizontal="right" vertical="center"/>
    </xf>
    <xf numFmtId="0" fontId="35" fillId="18" borderId="28" xfId="0" applyFont="1" applyFill="1" applyBorder="1" applyAlignment="1">
      <alignment horizontal="right" vertical="center"/>
    </xf>
    <xf numFmtId="9" fontId="35" fillId="5" borderId="45" xfId="0" applyNumberFormat="1" applyFont="1" applyFill="1" applyBorder="1" applyAlignment="1">
      <alignment horizontal="center" vertical="center" wrapText="1"/>
    </xf>
    <xf numFmtId="9" fontId="35" fillId="5" borderId="40" xfId="0" applyNumberFormat="1" applyFont="1" applyFill="1" applyBorder="1" applyAlignment="1">
      <alignment horizontal="center" vertical="center" wrapText="1"/>
    </xf>
    <xf numFmtId="0" fontId="35" fillId="18" borderId="38" xfId="0" applyFont="1" applyFill="1" applyBorder="1" applyAlignment="1">
      <alignment horizontal="center" vertical="center" wrapText="1"/>
    </xf>
    <xf numFmtId="0" fontId="35" fillId="18" borderId="45" xfId="0" applyFont="1" applyFill="1" applyBorder="1" applyAlignment="1">
      <alignment horizontal="center" vertical="center" wrapText="1"/>
    </xf>
    <xf numFmtId="0" fontId="35" fillId="18" borderId="40" xfId="0" applyFont="1" applyFill="1" applyBorder="1" applyAlignment="1">
      <alignment horizontal="center" vertical="center" wrapText="1"/>
    </xf>
    <xf numFmtId="0" fontId="35" fillId="18" borderId="37" xfId="0" applyFont="1" applyFill="1" applyBorder="1" applyAlignment="1">
      <alignment horizontal="center" vertical="center" wrapText="1"/>
    </xf>
    <xf numFmtId="0" fontId="30" fillId="46" borderId="49" xfId="0" applyFont="1" applyFill="1" applyBorder="1" applyAlignment="1">
      <alignment horizontal="center" vertical="center" wrapText="1"/>
    </xf>
    <xf numFmtId="0" fontId="30" fillId="46" borderId="0" xfId="0" applyFont="1" applyFill="1" applyAlignment="1">
      <alignment horizontal="center" vertical="center" wrapText="1"/>
    </xf>
    <xf numFmtId="0" fontId="30" fillId="46" borderId="50" xfId="0" applyFont="1" applyFill="1" applyBorder="1" applyAlignment="1">
      <alignment horizontal="center" vertical="center" wrapText="1"/>
    </xf>
    <xf numFmtId="9" fontId="35" fillId="30" borderId="0" xfId="0" applyNumberFormat="1" applyFont="1" applyFill="1" applyAlignment="1">
      <alignment horizontal="center" vertical="center" wrapText="1"/>
    </xf>
    <xf numFmtId="0" fontId="3" fillId="6" borderId="4" xfId="0" applyFont="1" applyFill="1" applyBorder="1" applyAlignment="1">
      <alignment horizontal="center" vertical="center"/>
    </xf>
    <xf numFmtId="0" fontId="15" fillId="6"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40" fillId="10" borderId="27" xfId="3" applyFont="1" applyFill="1" applyBorder="1" applyAlignment="1">
      <alignment horizontal="center" vertical="center" textRotation="90"/>
    </xf>
    <xf numFmtId="0" fontId="40" fillId="10" borderId="29" xfId="3" applyFont="1" applyFill="1" applyBorder="1" applyAlignment="1">
      <alignment horizontal="center" vertical="center" textRotation="90"/>
    </xf>
    <xf numFmtId="0" fontId="40" fillId="19" borderId="37" xfId="3" applyFont="1" applyFill="1" applyBorder="1" applyAlignment="1">
      <alignment horizontal="center" vertical="center" textRotation="90"/>
    </xf>
    <xf numFmtId="0" fontId="40" fillId="20" borderId="37" xfId="3" applyFont="1" applyFill="1" applyBorder="1" applyAlignment="1">
      <alignment horizontal="center" vertical="center" textRotation="90"/>
    </xf>
    <xf numFmtId="0" fontId="40" fillId="21" borderId="37" xfId="3" applyFont="1" applyFill="1" applyBorder="1" applyAlignment="1">
      <alignment horizontal="center" vertical="center" textRotation="90"/>
    </xf>
    <xf numFmtId="0" fontId="20" fillId="0" borderId="4" xfId="0" applyFont="1" applyBorder="1" applyAlignment="1">
      <alignment horizontal="justify" vertical="center" wrapText="1"/>
    </xf>
    <xf numFmtId="0" fontId="79" fillId="0" borderId="18" xfId="0" applyFont="1" applyBorder="1" applyAlignment="1">
      <alignment horizontal="justify" vertical="center" wrapText="1"/>
    </xf>
    <xf numFmtId="0" fontId="79" fillId="0" borderId="3" xfId="0" applyFont="1" applyBorder="1" applyAlignment="1">
      <alignment horizontal="justify" vertical="center" wrapText="1"/>
    </xf>
    <xf numFmtId="0" fontId="29" fillId="14" borderId="42" xfId="4" applyFont="1" applyFill="1" applyBorder="1" applyAlignment="1">
      <alignment horizontal="center" vertical="center" wrapText="1"/>
    </xf>
    <xf numFmtId="0" fontId="29" fillId="14" borderId="44" xfId="4" applyFont="1" applyFill="1" applyBorder="1" applyAlignment="1">
      <alignment horizontal="center" vertical="center" wrapText="1"/>
    </xf>
    <xf numFmtId="0" fontId="29" fillId="14" borderId="3" xfId="4" applyFont="1" applyFill="1" applyBorder="1" applyAlignment="1">
      <alignment horizontal="center" vertical="center" wrapText="1"/>
    </xf>
    <xf numFmtId="0" fontId="30" fillId="15" borderId="24" xfId="4" applyFont="1" applyFill="1" applyBorder="1" applyAlignment="1">
      <alignment horizontal="center" vertical="center" wrapText="1"/>
    </xf>
    <xf numFmtId="0" fontId="30" fillId="15" borderId="18" xfId="4" applyFont="1" applyFill="1" applyBorder="1" applyAlignment="1">
      <alignment horizontal="center" vertical="center" wrapText="1"/>
    </xf>
    <xf numFmtId="0" fontId="30" fillId="15" borderId="4" xfId="4" applyFont="1" applyFill="1" applyBorder="1" applyAlignment="1">
      <alignment horizontal="center" vertical="center" wrapText="1"/>
    </xf>
    <xf numFmtId="0" fontId="76" fillId="15" borderId="19" xfId="0" applyFont="1" applyFill="1" applyBorder="1" applyAlignment="1">
      <alignment horizontal="center" vertical="center" wrapText="1"/>
    </xf>
    <xf numFmtId="0" fontId="76" fillId="15" borderId="18" xfId="0" applyFont="1" applyFill="1" applyBorder="1" applyAlignment="1">
      <alignment horizontal="center" vertical="center" wrapText="1"/>
    </xf>
    <xf numFmtId="0" fontId="31" fillId="16" borderId="4" xfId="4" applyFont="1" applyFill="1" applyBorder="1" applyAlignment="1">
      <alignment horizontal="center" vertical="center" wrapText="1"/>
    </xf>
    <xf numFmtId="0" fontId="31" fillId="16" borderId="18" xfId="4" applyFont="1" applyFill="1" applyBorder="1" applyAlignment="1">
      <alignment horizontal="center" vertical="center" wrapText="1"/>
    </xf>
    <xf numFmtId="0" fontId="75" fillId="0" borderId="4" xfId="0" applyFont="1" applyBorder="1" applyAlignment="1">
      <alignment horizontal="center" vertical="center" wrapText="1"/>
    </xf>
    <xf numFmtId="0" fontId="75" fillId="0" borderId="18" xfId="0" applyFont="1" applyBorder="1" applyAlignment="1">
      <alignment horizontal="center" vertical="center" wrapText="1"/>
    </xf>
    <xf numFmtId="0" fontId="32" fillId="40" borderId="4" xfId="4" applyFont="1" applyFill="1" applyBorder="1" applyAlignment="1">
      <alignment horizontal="center" vertical="center" wrapText="1"/>
    </xf>
    <xf numFmtId="0" fontId="32" fillId="40" borderId="18" xfId="4" applyFont="1" applyFill="1" applyBorder="1" applyAlignment="1">
      <alignment horizontal="center" vertical="center" wrapText="1"/>
    </xf>
    <xf numFmtId="0" fontId="74" fillId="0" borderId="4" xfId="0" applyFont="1" applyBorder="1" applyAlignment="1">
      <alignment horizontal="center" vertical="center" wrapText="1"/>
    </xf>
    <xf numFmtId="0" fontId="74" fillId="0" borderId="18" xfId="0" applyFont="1" applyBorder="1" applyAlignment="1">
      <alignment horizontal="center" vertical="center" wrapText="1"/>
    </xf>
    <xf numFmtId="0" fontId="75" fillId="0" borderId="3" xfId="0" applyFont="1" applyBorder="1" applyAlignment="1">
      <alignment horizontal="left" vertical="center" wrapText="1"/>
    </xf>
    <xf numFmtId="0" fontId="1" fillId="0" borderId="3" xfId="4" applyFont="1" applyBorder="1" applyAlignment="1">
      <alignment horizontal="center" vertical="center" wrapText="1"/>
    </xf>
    <xf numFmtId="0" fontId="74" fillId="0" borderId="3" xfId="0" applyFont="1" applyBorder="1" applyAlignment="1">
      <alignment horizontal="center" vertical="center" wrapText="1"/>
    </xf>
    <xf numFmtId="0" fontId="75" fillId="0" borderId="3" xfId="0" applyFont="1" applyBorder="1" applyAlignment="1">
      <alignment horizontal="center" vertical="center" wrapText="1"/>
    </xf>
    <xf numFmtId="0" fontId="77" fillId="0" borderId="4" xfId="0" applyFont="1" applyBorder="1" applyAlignment="1">
      <alignment horizontal="center" vertical="center" wrapText="1"/>
    </xf>
    <xf numFmtId="0" fontId="77" fillId="0" borderId="18" xfId="0" applyFont="1" applyBorder="1" applyAlignment="1">
      <alignment horizontal="center" vertical="center" wrapText="1"/>
    </xf>
    <xf numFmtId="0" fontId="31" fillId="16" borderId="3" xfId="4" applyFont="1" applyFill="1" applyBorder="1" applyAlignment="1">
      <alignment horizontal="center" vertical="center" wrapText="1"/>
    </xf>
    <xf numFmtId="0" fontId="0" fillId="0" borderId="3" xfId="0" applyBorder="1" applyAlignment="1">
      <alignment horizontal="center" vertical="center"/>
    </xf>
    <xf numFmtId="0" fontId="38" fillId="26" borderId="27" xfId="0" applyFont="1" applyFill="1" applyBorder="1" applyAlignment="1">
      <alignment horizontal="left" vertical="center"/>
    </xf>
    <xf numFmtId="0" fontId="38" fillId="26" borderId="38" xfId="0" applyFont="1" applyFill="1" applyBorder="1" applyAlignment="1">
      <alignment horizontal="left" vertical="center"/>
    </xf>
    <xf numFmtId="0" fontId="38" fillId="26" borderId="26" xfId="0" applyFont="1" applyFill="1" applyBorder="1" applyAlignment="1">
      <alignment horizontal="left" vertical="center"/>
    </xf>
    <xf numFmtId="0" fontId="38" fillId="26" borderId="50" xfId="0" applyFont="1" applyFill="1" applyBorder="1" applyAlignment="1">
      <alignment horizontal="left" vertical="center"/>
    </xf>
    <xf numFmtId="0" fontId="38" fillId="26" borderId="29" xfId="0" applyFont="1" applyFill="1" applyBorder="1" applyAlignment="1">
      <alignment horizontal="left" vertical="center"/>
    </xf>
    <xf numFmtId="0" fontId="38" fillId="26" borderId="37" xfId="0" applyFont="1" applyFill="1" applyBorder="1" applyAlignment="1">
      <alignment horizontal="left" vertical="center"/>
    </xf>
    <xf numFmtId="0" fontId="38" fillId="26" borderId="28" xfId="0" applyFont="1" applyFill="1" applyBorder="1" applyAlignment="1">
      <alignment horizontal="left" vertical="center"/>
    </xf>
    <xf numFmtId="9" fontId="35" fillId="30" borderId="52" xfId="0" applyNumberFormat="1" applyFont="1" applyFill="1" applyBorder="1" applyAlignment="1">
      <alignment horizontal="center" vertical="center" wrapText="1"/>
    </xf>
    <xf numFmtId="0" fontId="37" fillId="24" borderId="49" xfId="0" applyFont="1" applyFill="1" applyBorder="1" applyAlignment="1">
      <alignment horizontal="center" vertical="center"/>
    </xf>
    <xf numFmtId="0" fontId="37" fillId="24" borderId="0" xfId="0" applyFont="1" applyFill="1" applyAlignment="1">
      <alignment horizontal="center" vertical="center"/>
    </xf>
    <xf numFmtId="0" fontId="37" fillId="24" borderId="52" xfId="0" applyFont="1" applyFill="1" applyBorder="1" applyAlignment="1">
      <alignment horizontal="center" vertical="center"/>
    </xf>
    <xf numFmtId="0" fontId="42" fillId="16" borderId="4" xfId="0" applyFont="1" applyFill="1" applyBorder="1" applyAlignment="1">
      <alignment horizontal="center" vertical="center" wrapText="1"/>
    </xf>
    <xf numFmtId="0" fontId="42" fillId="16" borderId="18" xfId="0" applyFont="1" applyFill="1" applyBorder="1" applyAlignment="1">
      <alignment horizontal="center" vertical="center" wrapText="1"/>
    </xf>
    <xf numFmtId="9" fontId="35" fillId="5" borderId="3" xfId="0" applyNumberFormat="1" applyFont="1" applyFill="1" applyBorder="1" applyAlignment="1">
      <alignment horizontal="center" vertical="center" wrapText="1"/>
    </xf>
    <xf numFmtId="9" fontId="31" fillId="16" borderId="4" xfId="0" applyNumberFormat="1" applyFont="1" applyFill="1" applyBorder="1" applyAlignment="1">
      <alignment horizontal="center" vertical="center" wrapText="1"/>
    </xf>
    <xf numFmtId="9" fontId="31" fillId="16" borderId="18" xfId="0" applyNumberFormat="1" applyFont="1" applyFill="1" applyBorder="1" applyAlignment="1">
      <alignment horizontal="center" vertical="center" wrapText="1"/>
    </xf>
    <xf numFmtId="0" fontId="43" fillId="16" borderId="4" xfId="0" applyFont="1" applyFill="1" applyBorder="1" applyAlignment="1">
      <alignment horizontal="center" vertical="center" wrapText="1"/>
    </xf>
    <xf numFmtId="0" fontId="43" fillId="16" borderId="18" xfId="0"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Border="1" applyAlignment="1">
      <alignment horizontal="center" vertical="center" wrapText="1"/>
    </xf>
    <xf numFmtId="0" fontId="31" fillId="0" borderId="38" xfId="4" applyFont="1" applyBorder="1" applyAlignment="1">
      <alignment horizontal="center"/>
    </xf>
    <xf numFmtId="0" fontId="31" fillId="0" borderId="0" xfId="4" applyFont="1" applyAlignment="1">
      <alignment horizontal="center"/>
    </xf>
    <xf numFmtId="0" fontId="31" fillId="0" borderId="37" xfId="4" applyFont="1" applyBorder="1" applyAlignment="1">
      <alignment horizontal="center"/>
    </xf>
    <xf numFmtId="0" fontId="31" fillId="0" borderId="49" xfId="4" applyFont="1" applyBorder="1"/>
    <xf numFmtId="0" fontId="31" fillId="0" borderId="0" xfId="4" applyFont="1"/>
    <xf numFmtId="0" fontId="45" fillId="16" borderId="3" xfId="4" applyFont="1" applyFill="1" applyBorder="1" applyAlignment="1">
      <alignment horizontal="center" vertical="center" wrapText="1"/>
    </xf>
    <xf numFmtId="0" fontId="45" fillId="16" borderId="4" xfId="4" applyFont="1" applyFill="1" applyBorder="1" applyAlignment="1">
      <alignment horizontal="center" vertical="center" wrapText="1"/>
    </xf>
    <xf numFmtId="0" fontId="45" fillId="16" borderId="15" xfId="4" applyFont="1" applyFill="1" applyBorder="1" applyAlignment="1">
      <alignment horizontal="center" vertical="center" wrapText="1"/>
    </xf>
    <xf numFmtId="0" fontId="45" fillId="16" borderId="27" xfId="4" applyFont="1" applyFill="1" applyBorder="1" applyAlignment="1">
      <alignment horizontal="center" vertical="center" wrapText="1"/>
    </xf>
    <xf numFmtId="0" fontId="38" fillId="26" borderId="27" xfId="0" applyFont="1" applyFill="1" applyBorder="1" applyAlignment="1">
      <alignment horizontal="center" vertical="center"/>
    </xf>
    <xf numFmtId="0" fontId="38" fillId="26" borderId="38" xfId="0" applyFont="1" applyFill="1" applyBorder="1" applyAlignment="1">
      <alignment horizontal="center" vertical="center"/>
    </xf>
    <xf numFmtId="0" fontId="38" fillId="26" borderId="26" xfId="0" applyFont="1" applyFill="1" applyBorder="1" applyAlignment="1">
      <alignment horizontal="center" vertical="center"/>
    </xf>
    <xf numFmtId="0" fontId="38" fillId="26" borderId="29" xfId="0" applyFont="1" applyFill="1" applyBorder="1" applyAlignment="1">
      <alignment horizontal="center" vertical="center"/>
    </xf>
    <xf numFmtId="0" fontId="38" fillId="26" borderId="37" xfId="0" applyFont="1" applyFill="1" applyBorder="1" applyAlignment="1">
      <alignment horizontal="center" vertical="center"/>
    </xf>
    <xf numFmtId="0" fontId="38" fillId="26" borderId="28" xfId="0" applyFont="1" applyFill="1" applyBorder="1" applyAlignment="1">
      <alignment horizontal="center" vertical="center"/>
    </xf>
    <xf numFmtId="0" fontId="39" fillId="27" borderId="27" xfId="0" applyFont="1" applyFill="1" applyBorder="1" applyAlignment="1">
      <alignment horizontal="center" vertical="center"/>
    </xf>
    <xf numFmtId="0" fontId="39" fillId="27" borderId="38" xfId="0" applyFont="1" applyFill="1" applyBorder="1" applyAlignment="1">
      <alignment horizontal="center" vertical="center"/>
    </xf>
    <xf numFmtId="0" fontId="39" fillId="27" borderId="26" xfId="0" applyFont="1" applyFill="1" applyBorder="1" applyAlignment="1">
      <alignment horizontal="center" vertical="center"/>
    </xf>
    <xf numFmtId="0" fontId="39" fillId="27" borderId="29" xfId="0" applyFont="1" applyFill="1" applyBorder="1" applyAlignment="1">
      <alignment horizontal="center" vertical="center"/>
    </xf>
    <xf numFmtId="0" fontId="39" fillId="27" borderId="37" xfId="0" applyFont="1" applyFill="1" applyBorder="1" applyAlignment="1">
      <alignment horizontal="center" vertical="center"/>
    </xf>
    <xf numFmtId="0" fontId="39" fillId="27" borderId="28" xfId="0" applyFont="1" applyFill="1" applyBorder="1" applyAlignment="1">
      <alignment horizontal="center" vertical="center"/>
    </xf>
    <xf numFmtId="0" fontId="63" fillId="0" borderId="40" xfId="4" applyFont="1" applyBorder="1" applyAlignment="1">
      <alignment horizontal="center" vertical="center"/>
    </xf>
    <xf numFmtId="0" fontId="31" fillId="0" borderId="52" xfId="4" applyFont="1" applyBorder="1"/>
    <xf numFmtId="0" fontId="33" fillId="16" borderId="24" xfId="4" applyFont="1" applyFill="1" applyBorder="1" applyAlignment="1">
      <alignment horizontal="center" vertical="center" wrapText="1"/>
    </xf>
    <xf numFmtId="0" fontId="33" fillId="16" borderId="18" xfId="4" applyFont="1" applyFill="1" applyBorder="1" applyAlignment="1">
      <alignment horizontal="center" vertical="center" wrapText="1"/>
    </xf>
    <xf numFmtId="9" fontId="61" fillId="0" borderId="20" xfId="4" applyNumberFormat="1" applyFont="1" applyBorder="1" applyAlignment="1">
      <alignment horizontal="center" vertical="center"/>
    </xf>
    <xf numFmtId="9" fontId="61" fillId="0" borderId="31" xfId="4" applyNumberFormat="1" applyFont="1" applyBorder="1" applyAlignment="1">
      <alignment horizontal="center" vertical="center"/>
    </xf>
    <xf numFmtId="164" fontId="65" fillId="16" borderId="31" xfId="4" applyNumberFormat="1" applyFont="1" applyFill="1" applyBorder="1" applyAlignment="1">
      <alignment horizontal="center" vertical="center"/>
    </xf>
    <xf numFmtId="164" fontId="65" fillId="16" borderId="10" xfId="4" applyNumberFormat="1" applyFont="1" applyFill="1" applyBorder="1" applyAlignment="1">
      <alignment horizontal="center" vertical="center"/>
    </xf>
    <xf numFmtId="164" fontId="65" fillId="16" borderId="12" xfId="4" applyNumberFormat="1" applyFont="1" applyFill="1" applyBorder="1" applyAlignment="1">
      <alignment horizontal="center" vertical="center"/>
    </xf>
    <xf numFmtId="0" fontId="33" fillId="16" borderId="19" xfId="4" applyFont="1" applyFill="1" applyBorder="1" applyAlignment="1">
      <alignment horizontal="center" vertical="center" wrapText="1"/>
    </xf>
    <xf numFmtId="9" fontId="61" fillId="0" borderId="13" xfId="4" applyNumberFormat="1" applyFont="1" applyBorder="1" applyAlignment="1">
      <alignment horizontal="center" vertical="center"/>
    </xf>
    <xf numFmtId="0" fontId="46" fillId="0" borderId="23" xfId="4" applyFont="1" applyBorder="1" applyAlignment="1">
      <alignment horizontal="center" vertical="center"/>
    </xf>
    <xf numFmtId="0" fontId="46" fillId="0" borderId="60" xfId="4" applyFont="1" applyBorder="1" applyAlignment="1">
      <alignment horizontal="center" vertical="center"/>
    </xf>
    <xf numFmtId="0" fontId="46" fillId="0" borderId="64" xfId="4" applyFont="1" applyBorder="1" applyAlignment="1">
      <alignment horizontal="center" vertical="center"/>
    </xf>
    <xf numFmtId="0" fontId="46" fillId="16" borderId="20" xfId="4" applyFont="1" applyFill="1" applyBorder="1" applyAlignment="1">
      <alignment horizontal="center" vertical="center" wrapText="1"/>
    </xf>
    <xf numFmtId="0" fontId="46" fillId="16" borderId="31" xfId="4" applyFont="1" applyFill="1" applyBorder="1" applyAlignment="1">
      <alignment horizontal="center" vertical="center" wrapText="1"/>
    </xf>
    <xf numFmtId="0" fontId="47" fillId="31" borderId="61" xfId="4" applyFont="1" applyFill="1" applyBorder="1" applyAlignment="1">
      <alignment horizontal="center" vertical="center" wrapText="1"/>
    </xf>
    <xf numFmtId="0" fontId="31" fillId="16" borderId="60" xfId="4" applyFont="1" applyFill="1" applyBorder="1" applyAlignment="1">
      <alignment horizontal="center" vertical="center" wrapText="1"/>
    </xf>
    <xf numFmtId="0" fontId="31" fillId="16" borderId="30" xfId="4" applyFont="1" applyFill="1" applyBorder="1" applyAlignment="1">
      <alignment horizontal="center" vertical="center" wrapText="1"/>
    </xf>
    <xf numFmtId="0" fontId="31" fillId="16" borderId="19" xfId="4" applyFont="1" applyFill="1" applyBorder="1" applyAlignment="1">
      <alignment horizontal="center" vertical="center" wrapText="1"/>
    </xf>
    <xf numFmtId="0" fontId="46" fillId="16" borderId="13" xfId="4" applyFont="1" applyFill="1" applyBorder="1" applyAlignment="1">
      <alignment horizontal="center" vertical="center" wrapText="1"/>
    </xf>
    <xf numFmtId="0" fontId="31" fillId="16" borderId="17" xfId="4" applyFont="1" applyFill="1" applyBorder="1" applyAlignment="1">
      <alignment horizontal="center" vertical="center" wrapText="1"/>
    </xf>
    <xf numFmtId="14" fontId="61" fillId="0" borderId="50" xfId="4" applyNumberFormat="1" applyFont="1" applyBorder="1" applyAlignment="1">
      <alignment horizontal="center" vertical="center"/>
    </xf>
    <xf numFmtId="14" fontId="61" fillId="0" borderId="28" xfId="4" applyNumberFormat="1" applyFont="1" applyBorder="1" applyAlignment="1">
      <alignment horizontal="center" vertical="center"/>
    </xf>
    <xf numFmtId="14" fontId="61" fillId="0" borderId="19" xfId="4" applyNumberFormat="1" applyFont="1" applyBorder="1" applyAlignment="1">
      <alignment horizontal="center" vertical="center"/>
    </xf>
    <xf numFmtId="14" fontId="61" fillId="0" borderId="18" xfId="4" applyNumberFormat="1" applyFont="1" applyBorder="1" applyAlignment="1">
      <alignment horizontal="center" vertical="center"/>
    </xf>
    <xf numFmtId="14" fontId="61" fillId="0" borderId="4" xfId="4" applyNumberFormat="1" applyFont="1" applyBorder="1" applyAlignment="1">
      <alignment horizontal="center" vertical="center"/>
    </xf>
    <xf numFmtId="14" fontId="61" fillId="0" borderId="3" xfId="4" applyNumberFormat="1" applyFont="1" applyBorder="1" applyAlignment="1">
      <alignment horizontal="center" vertical="center"/>
    </xf>
    <xf numFmtId="14" fontId="61" fillId="0" borderId="66" xfId="4" applyNumberFormat="1" applyFont="1" applyBorder="1" applyAlignment="1">
      <alignment horizontal="center" vertical="center"/>
    </xf>
    <xf numFmtId="14" fontId="61" fillId="0" borderId="67" xfId="4" applyNumberFormat="1" applyFont="1" applyBorder="1" applyAlignment="1">
      <alignment horizontal="center" vertical="center"/>
    </xf>
    <xf numFmtId="164" fontId="64" fillId="0" borderId="25" xfId="4" applyNumberFormat="1" applyFont="1" applyBorder="1" applyAlignment="1">
      <alignment horizontal="center" vertical="center" wrapText="1"/>
    </xf>
    <xf numFmtId="164" fontId="64" fillId="0" borderId="20" xfId="4" applyNumberFormat="1" applyFont="1" applyBorder="1" applyAlignment="1">
      <alignment horizontal="center" vertical="center" wrapText="1"/>
    </xf>
    <xf numFmtId="164" fontId="64" fillId="0" borderId="54" xfId="4" applyNumberFormat="1" applyFont="1" applyBorder="1" applyAlignment="1">
      <alignment horizontal="center" vertical="center" wrapText="1"/>
    </xf>
    <xf numFmtId="0" fontId="48" fillId="16" borderId="4" xfId="4" applyFont="1" applyFill="1" applyBorder="1" applyAlignment="1">
      <alignment horizontal="center" vertical="center" wrapText="1"/>
    </xf>
    <xf numFmtId="0" fontId="48" fillId="16" borderId="18" xfId="4" applyFont="1" applyFill="1" applyBorder="1" applyAlignment="1">
      <alignment horizontal="center" vertical="center" wrapText="1"/>
    </xf>
    <xf numFmtId="0" fontId="33" fillId="16" borderId="4" xfId="4" applyFont="1" applyFill="1" applyBorder="1" applyAlignment="1">
      <alignment horizontal="center" vertical="center" wrapText="1"/>
    </xf>
    <xf numFmtId="164" fontId="70" fillId="44" borderId="23" xfId="4" applyNumberFormat="1" applyFont="1" applyFill="1" applyBorder="1" applyAlignment="1">
      <alignment horizontal="center" vertical="center" wrapText="1"/>
    </xf>
    <xf numFmtId="164" fontId="70" fillId="44" borderId="60" xfId="4" applyNumberFormat="1" applyFont="1" applyFill="1" applyBorder="1" applyAlignment="1">
      <alignment horizontal="center" vertical="center" wrapText="1"/>
    </xf>
    <xf numFmtId="164" fontId="70" fillId="44" borderId="64" xfId="4" applyNumberFormat="1" applyFont="1" applyFill="1" applyBorder="1" applyAlignment="1">
      <alignment horizontal="center" vertical="center" wrapText="1"/>
    </xf>
    <xf numFmtId="0" fontId="59" fillId="0" borderId="39" xfId="4" applyFont="1" applyBorder="1" applyAlignment="1">
      <alignment horizontal="left" vertical="center" wrapText="1"/>
    </xf>
    <xf numFmtId="164" fontId="65" fillId="16" borderId="13" xfId="4" applyNumberFormat="1" applyFont="1" applyFill="1" applyBorder="1" applyAlignment="1">
      <alignment horizontal="center" vertical="center"/>
    </xf>
    <xf numFmtId="0" fontId="31" fillId="16" borderId="37" xfId="4" applyFont="1" applyFill="1" applyBorder="1" applyAlignment="1">
      <alignment horizontal="left" vertical="center" wrapText="1"/>
    </xf>
    <xf numFmtId="0" fontId="31" fillId="16" borderId="39" xfId="4" applyFont="1" applyFill="1" applyBorder="1" applyAlignment="1">
      <alignment horizontal="left" vertical="center" wrapText="1"/>
    </xf>
    <xf numFmtId="164" fontId="65" fillId="16" borderId="8" xfId="4" applyNumberFormat="1" applyFont="1" applyFill="1" applyBorder="1" applyAlignment="1">
      <alignment horizontal="center" vertical="center"/>
    </xf>
    <xf numFmtId="0" fontId="44" fillId="16" borderId="17" xfId="4" applyFont="1" applyFill="1" applyBorder="1" applyAlignment="1">
      <alignment horizontal="center" vertical="center" wrapText="1"/>
    </xf>
    <xf numFmtId="0" fontId="44" fillId="16" borderId="60" xfId="4" applyFont="1" applyFill="1" applyBorder="1" applyAlignment="1">
      <alignment horizontal="center" vertical="center" wrapText="1"/>
    </xf>
    <xf numFmtId="0" fontId="33" fillId="16" borderId="27" xfId="4" applyFont="1" applyFill="1" applyBorder="1" applyAlignment="1">
      <alignment horizontal="center" vertical="center" wrapText="1"/>
    </xf>
    <xf numFmtId="0" fontId="33" fillId="16" borderId="49" xfId="4" applyFont="1" applyFill="1" applyBorder="1" applyAlignment="1">
      <alignment horizontal="center" vertical="center" wrapText="1"/>
    </xf>
    <xf numFmtId="9" fontId="61" fillId="0" borderId="63" xfId="4" applyNumberFormat="1" applyFont="1" applyBorder="1" applyAlignment="1">
      <alignment horizontal="center" vertical="center"/>
    </xf>
    <xf numFmtId="9" fontId="61" fillId="0" borderId="65" xfId="4" applyNumberFormat="1" applyFont="1" applyBorder="1" applyAlignment="1">
      <alignment horizontal="center" vertical="center"/>
    </xf>
    <xf numFmtId="9" fontId="69" fillId="0" borderId="34" xfId="4" applyNumberFormat="1" applyFont="1" applyBorder="1" applyAlignment="1">
      <alignment horizontal="center" vertical="center"/>
    </xf>
    <xf numFmtId="0" fontId="69" fillId="0" borderId="77" xfId="4" applyFont="1" applyBorder="1" applyAlignment="1">
      <alignment horizontal="center" vertical="center"/>
    </xf>
    <xf numFmtId="0" fontId="69" fillId="0" borderId="78" xfId="4" applyFont="1" applyBorder="1" applyAlignment="1">
      <alignment horizontal="center" vertical="center"/>
    </xf>
    <xf numFmtId="0" fontId="59" fillId="27" borderId="39" xfId="4" applyFont="1" applyFill="1" applyBorder="1" applyAlignment="1">
      <alignment horizontal="left" vertical="center" wrapText="1"/>
    </xf>
    <xf numFmtId="0" fontId="33" fillId="16" borderId="39" xfId="4" applyFont="1" applyFill="1" applyBorder="1" applyAlignment="1">
      <alignment horizontal="left" vertical="center" wrapText="1"/>
    </xf>
    <xf numFmtId="0" fontId="59" fillId="0" borderId="41" xfId="4" applyFont="1" applyBorder="1" applyAlignment="1">
      <alignment horizontal="left" vertical="center" wrapText="1"/>
    </xf>
    <xf numFmtId="0" fontId="33" fillId="16" borderId="29" xfId="4" applyFont="1" applyFill="1" applyBorder="1" applyAlignment="1">
      <alignment horizontal="center" vertical="center" wrapText="1"/>
    </xf>
    <xf numFmtId="0" fontId="31" fillId="16" borderId="39" xfId="4" applyFont="1" applyFill="1" applyBorder="1" applyAlignment="1">
      <alignment horizontal="center" vertical="center" wrapText="1"/>
    </xf>
    <xf numFmtId="0" fontId="31" fillId="16" borderId="41" xfId="4" applyFont="1" applyFill="1" applyBorder="1" applyAlignment="1">
      <alignment horizontal="center" vertical="center" wrapText="1"/>
    </xf>
    <xf numFmtId="0" fontId="31" fillId="16" borderId="0" xfId="4" applyFont="1" applyFill="1"/>
    <xf numFmtId="0" fontId="46" fillId="16" borderId="68" xfId="4" applyFont="1" applyFill="1" applyBorder="1" applyAlignment="1">
      <alignment horizontal="center" vertical="center"/>
    </xf>
    <xf numFmtId="0" fontId="46" fillId="16" borderId="46" xfId="4" applyFont="1" applyFill="1" applyBorder="1" applyAlignment="1">
      <alignment horizontal="center" vertical="center"/>
    </xf>
    <xf numFmtId="0" fontId="46" fillId="16" borderId="75" xfId="4" applyFont="1" applyFill="1" applyBorder="1" applyAlignment="1">
      <alignment horizontal="center" vertical="center"/>
    </xf>
    <xf numFmtId="0" fontId="46" fillId="16" borderId="7" xfId="4" applyFont="1" applyFill="1" applyBorder="1" applyAlignment="1">
      <alignment horizontal="center" vertical="center" wrapText="1"/>
    </xf>
    <xf numFmtId="0" fontId="46" fillId="16" borderId="9" xfId="4" applyFont="1" applyFill="1" applyBorder="1" applyAlignment="1">
      <alignment horizontal="center" vertical="center" wrapText="1"/>
    </xf>
    <xf numFmtId="0" fontId="47" fillId="34" borderId="5" xfId="4" applyFont="1" applyFill="1" applyBorder="1" applyAlignment="1">
      <alignment horizontal="center" vertical="center" wrapText="1"/>
    </xf>
    <xf numFmtId="0" fontId="47" fillId="34" borderId="3" xfId="4" applyFont="1" applyFill="1" applyBorder="1" applyAlignment="1">
      <alignment horizontal="center" vertical="center" wrapText="1"/>
    </xf>
    <xf numFmtId="0" fontId="47" fillId="34" borderId="4" xfId="4" applyFont="1" applyFill="1" applyBorder="1" applyAlignment="1">
      <alignment horizontal="center" vertical="center" wrapText="1"/>
    </xf>
    <xf numFmtId="0" fontId="31" fillId="16" borderId="5" xfId="4" applyFont="1" applyFill="1" applyBorder="1" applyAlignment="1">
      <alignment horizontal="center" vertical="center" wrapText="1"/>
    </xf>
    <xf numFmtId="0" fontId="33" fillId="0" borderId="5" xfId="4" applyFont="1" applyBorder="1" applyAlignment="1">
      <alignment horizontal="center" vertical="center" wrapText="1"/>
    </xf>
    <xf numFmtId="0" fontId="33" fillId="0" borderId="3" xfId="4" applyFont="1" applyBorder="1" applyAlignment="1">
      <alignment horizontal="center" vertical="center" wrapText="1"/>
    </xf>
    <xf numFmtId="0" fontId="33" fillId="16" borderId="5" xfId="4" applyFont="1" applyFill="1" applyBorder="1" applyAlignment="1">
      <alignment horizontal="center" vertical="center" wrapText="1"/>
    </xf>
    <xf numFmtId="0" fontId="33" fillId="16" borderId="3" xfId="4" applyFont="1" applyFill="1" applyBorder="1" applyAlignment="1">
      <alignment horizontal="center" vertical="center" wrapText="1"/>
    </xf>
    <xf numFmtId="164" fontId="61" fillId="0" borderId="8" xfId="4" applyNumberFormat="1" applyFont="1" applyBorder="1" applyAlignment="1">
      <alignment horizontal="center" vertical="center"/>
    </xf>
    <xf numFmtId="164" fontId="61" fillId="0" borderId="10" xfId="4" applyNumberFormat="1" applyFont="1" applyBorder="1" applyAlignment="1">
      <alignment horizontal="center" vertical="center"/>
    </xf>
    <xf numFmtId="0" fontId="31" fillId="0" borderId="39" xfId="4" applyFont="1" applyBorder="1" applyAlignment="1">
      <alignment horizontal="center" vertical="center" wrapText="1"/>
    </xf>
    <xf numFmtId="0" fontId="31" fillId="16" borderId="52" xfId="4" applyFont="1" applyFill="1" applyBorder="1"/>
    <xf numFmtId="0" fontId="12" fillId="0" borderId="37" xfId="0" applyFont="1" applyBorder="1" applyAlignment="1">
      <alignment horizontal="left" vertical="center" wrapText="1"/>
    </xf>
    <xf numFmtId="0" fontId="12" fillId="0" borderId="39" xfId="0" applyFont="1" applyBorder="1" applyAlignment="1">
      <alignment horizontal="left" vertical="center" wrapText="1"/>
    </xf>
    <xf numFmtId="0" fontId="31" fillId="16" borderId="39" xfId="4" applyFont="1" applyFill="1" applyBorder="1" applyAlignment="1">
      <alignment horizontal="justify" vertical="center" wrapText="1"/>
    </xf>
    <xf numFmtId="0" fontId="31" fillId="16" borderId="43" xfId="4" applyFont="1" applyFill="1" applyBorder="1" applyAlignment="1">
      <alignment horizontal="left" vertical="center" wrapText="1"/>
    </xf>
    <xf numFmtId="0" fontId="31" fillId="16" borderId="43" xfId="4" applyFont="1" applyFill="1" applyBorder="1" applyAlignment="1">
      <alignment horizontal="center" vertical="center" wrapText="1"/>
    </xf>
    <xf numFmtId="9" fontId="68" fillId="0" borderId="79" xfId="4" applyNumberFormat="1" applyFont="1" applyBorder="1" applyAlignment="1">
      <alignment horizontal="center" vertical="center"/>
    </xf>
    <xf numFmtId="0" fontId="68" fillId="0" borderId="77" xfId="4" applyFont="1" applyBorder="1" applyAlignment="1">
      <alignment horizontal="center" vertical="center"/>
    </xf>
    <xf numFmtId="0" fontId="68" fillId="0" borderId="78" xfId="4" applyFont="1" applyBorder="1" applyAlignment="1">
      <alignment horizontal="center" vertical="center"/>
    </xf>
    <xf numFmtId="0" fontId="46" fillId="0" borderId="9" xfId="4" applyFont="1" applyBorder="1" applyAlignment="1">
      <alignment horizontal="center" vertical="center" wrapText="1"/>
    </xf>
    <xf numFmtId="0" fontId="31" fillId="0" borderId="3" xfId="4" applyFont="1" applyBorder="1" applyAlignment="1">
      <alignment horizontal="center" vertical="center" wrapText="1"/>
    </xf>
    <xf numFmtId="164" fontId="61" fillId="0" borderId="10" xfId="1" applyNumberFormat="1" applyFont="1" applyBorder="1" applyAlignment="1">
      <alignment horizontal="center" vertical="center"/>
    </xf>
    <xf numFmtId="10" fontId="64" fillId="0" borderId="25" xfId="4" applyNumberFormat="1" applyFont="1" applyBorder="1" applyAlignment="1">
      <alignment horizontal="center" vertical="center" wrapText="1"/>
    </xf>
    <xf numFmtId="10" fontId="64" fillId="0" borderId="20" xfId="4" applyNumberFormat="1" applyFont="1" applyBorder="1" applyAlignment="1">
      <alignment horizontal="center" vertical="center" wrapText="1"/>
    </xf>
    <xf numFmtId="0" fontId="70" fillId="44" borderId="60" xfId="4" applyFont="1" applyFill="1" applyBorder="1" applyAlignment="1">
      <alignment horizontal="center" vertical="center" wrapText="1"/>
    </xf>
    <xf numFmtId="0" fontId="59" fillId="0" borderId="37" xfId="4" applyFont="1" applyBorder="1" applyAlignment="1">
      <alignment horizontal="left" vertical="center" wrapText="1"/>
    </xf>
    <xf numFmtId="0" fontId="31" fillId="16" borderId="76" xfId="4" applyFont="1" applyFill="1" applyBorder="1" applyAlignment="1">
      <alignment horizontal="center" vertical="center" wrapText="1"/>
    </xf>
    <xf numFmtId="0" fontId="31" fillId="16" borderId="15" xfId="4" applyFont="1" applyFill="1" applyBorder="1" applyAlignment="1">
      <alignment horizontal="center" vertical="center" wrapText="1"/>
    </xf>
    <xf numFmtId="0" fontId="46" fillId="0" borderId="68" xfId="4" applyFont="1" applyBorder="1" applyAlignment="1">
      <alignment horizontal="center" vertical="center"/>
    </xf>
    <xf numFmtId="0" fontId="46" fillId="0" borderId="46" xfId="4" applyFont="1" applyBorder="1" applyAlignment="1">
      <alignment horizontal="center" vertical="center"/>
    </xf>
    <xf numFmtId="0" fontId="46" fillId="0" borderId="75" xfId="4" applyFont="1" applyBorder="1" applyAlignment="1">
      <alignment horizontal="center" vertical="center"/>
    </xf>
    <xf numFmtId="0" fontId="46" fillId="0" borderId="7" xfId="4" applyFont="1" applyBorder="1" applyAlignment="1">
      <alignment horizontal="center" vertical="center" wrapText="1"/>
    </xf>
    <xf numFmtId="0" fontId="47" fillId="35" borderId="5" xfId="4" applyFont="1" applyFill="1" applyBorder="1" applyAlignment="1">
      <alignment horizontal="center" vertical="center" wrapText="1"/>
    </xf>
    <xf numFmtId="0" fontId="47" fillId="35" borderId="3" xfId="4" applyFont="1" applyFill="1" applyBorder="1" applyAlignment="1">
      <alignment horizontal="center" vertical="center" wrapText="1"/>
    </xf>
    <xf numFmtId="0" fontId="47" fillId="35" borderId="4" xfId="4" applyFont="1" applyFill="1" applyBorder="1" applyAlignment="1">
      <alignment horizontal="center" vertical="center" wrapText="1"/>
    </xf>
    <xf numFmtId="0" fontId="31" fillId="0" borderId="5" xfId="4" applyFont="1" applyBorder="1" applyAlignment="1">
      <alignment horizontal="center" vertical="center" wrapText="1"/>
    </xf>
    <xf numFmtId="0" fontId="31" fillId="16" borderId="41" xfId="4" applyFont="1" applyFill="1" applyBorder="1" applyAlignment="1">
      <alignment horizontal="left" vertical="center" wrapText="1"/>
    </xf>
    <xf numFmtId="164" fontId="61" fillId="0" borderId="13" xfId="4" applyNumberFormat="1" applyFont="1" applyBorder="1" applyAlignment="1">
      <alignment horizontal="center" vertical="center"/>
    </xf>
    <xf numFmtId="0" fontId="46" fillId="16" borderId="17" xfId="4" applyFont="1" applyFill="1" applyBorder="1" applyAlignment="1">
      <alignment horizontal="center" vertical="center" wrapText="1"/>
    </xf>
    <xf numFmtId="0" fontId="31" fillId="0" borderId="15" xfId="4" applyFont="1" applyBorder="1" applyAlignment="1">
      <alignment horizontal="center" vertical="center" wrapText="1"/>
    </xf>
    <xf numFmtId="14" fontId="61" fillId="16" borderId="4" xfId="4" applyNumberFormat="1" applyFont="1" applyFill="1" applyBorder="1" applyAlignment="1">
      <alignment horizontal="center" vertical="center"/>
    </xf>
    <xf numFmtId="14" fontId="61" fillId="16" borderId="18" xfId="4" applyNumberFormat="1" applyFont="1" applyFill="1" applyBorder="1" applyAlignment="1">
      <alignment horizontal="center" vertical="center"/>
    </xf>
    <xf numFmtId="0" fontId="33" fillId="16" borderId="15" xfId="4" applyFont="1" applyFill="1" applyBorder="1" applyAlignment="1">
      <alignment horizontal="center" vertical="center" wrapText="1"/>
    </xf>
    <xf numFmtId="0" fontId="44" fillId="0" borderId="3" xfId="4" applyFont="1" applyBorder="1" applyAlignment="1">
      <alignment horizontal="center" vertical="center" wrapText="1"/>
    </xf>
    <xf numFmtId="14" fontId="61" fillId="42" borderId="4" xfId="4" applyNumberFormat="1" applyFont="1" applyFill="1" applyBorder="1" applyAlignment="1">
      <alignment horizontal="center" vertical="center"/>
    </xf>
    <xf numFmtId="14" fontId="61" fillId="42" borderId="18" xfId="4" applyNumberFormat="1" applyFont="1" applyFill="1" applyBorder="1" applyAlignment="1">
      <alignment horizontal="center" vertical="center"/>
    </xf>
    <xf numFmtId="14" fontId="45" fillId="42" borderId="4" xfId="4" applyNumberFormat="1" applyFont="1" applyFill="1" applyBorder="1" applyAlignment="1">
      <alignment horizontal="center" vertical="center"/>
    </xf>
    <xf numFmtId="0" fontId="45" fillId="42" borderId="18" xfId="4" applyFont="1" applyFill="1" applyBorder="1" applyAlignment="1">
      <alignment horizontal="center" vertical="center"/>
    </xf>
    <xf numFmtId="0" fontId="60" fillId="27" borderId="39" xfId="4" applyFont="1" applyFill="1" applyBorder="1" applyAlignment="1">
      <alignment horizontal="left" vertical="center" wrapText="1"/>
    </xf>
    <xf numFmtId="0" fontId="31" fillId="0" borderId="13" xfId="4" applyFont="1" applyBorder="1" applyAlignment="1">
      <alignment horizontal="center" vertical="center" wrapText="1"/>
    </xf>
    <xf numFmtId="0" fontId="31" fillId="0" borderId="31" xfId="4" applyFont="1" applyBorder="1" applyAlignment="1">
      <alignment horizontal="center" vertical="center" wrapText="1"/>
    </xf>
    <xf numFmtId="0" fontId="31" fillId="27" borderId="39" xfId="4" applyFont="1" applyFill="1" applyBorder="1" applyAlignment="1">
      <alignment horizontal="justify" vertical="center" wrapText="1"/>
    </xf>
    <xf numFmtId="0" fontId="31" fillId="27" borderId="41" xfId="4" applyFont="1" applyFill="1" applyBorder="1" applyAlignment="1">
      <alignment horizontal="justify" vertical="center" wrapText="1"/>
    </xf>
    <xf numFmtId="0" fontId="46" fillId="0" borderId="72" xfId="4" applyFont="1" applyBorder="1" applyAlignment="1">
      <alignment horizontal="center" vertical="center"/>
    </xf>
    <xf numFmtId="0" fontId="31" fillId="0" borderId="4" xfId="4" applyFont="1" applyBorder="1" applyAlignment="1">
      <alignment horizontal="center" vertical="center" wrapText="1"/>
    </xf>
    <xf numFmtId="0" fontId="59" fillId="27" borderId="55" xfId="4" applyFont="1" applyFill="1" applyBorder="1" applyAlignment="1">
      <alignment horizontal="left" vertical="center" wrapText="1"/>
    </xf>
    <xf numFmtId="0" fontId="59" fillId="25" borderId="39" xfId="4" applyFont="1" applyFill="1" applyBorder="1" applyAlignment="1">
      <alignment horizontal="left" vertical="center" wrapText="1"/>
    </xf>
    <xf numFmtId="0" fontId="46" fillId="0" borderId="17" xfId="4" applyFont="1" applyBorder="1" applyAlignment="1">
      <alignment horizontal="center" vertical="center" wrapText="1"/>
    </xf>
    <xf numFmtId="0" fontId="46" fillId="0" borderId="56" xfId="4" applyFont="1" applyBorder="1" applyAlignment="1">
      <alignment horizontal="center" vertical="center"/>
    </xf>
    <xf numFmtId="0" fontId="47" fillId="36" borderId="5" xfId="4" applyFont="1" applyFill="1" applyBorder="1" applyAlignment="1">
      <alignment horizontal="center" vertical="center" wrapText="1"/>
    </xf>
    <xf numFmtId="0" fontId="47" fillId="36" borderId="3" xfId="4" applyFont="1" applyFill="1" applyBorder="1" applyAlignment="1">
      <alignment horizontal="center" vertical="center" wrapText="1"/>
    </xf>
    <xf numFmtId="0" fontId="47" fillId="36" borderId="4" xfId="4" applyFont="1" applyFill="1" applyBorder="1" applyAlignment="1">
      <alignment horizontal="center" vertical="center" wrapText="1"/>
    </xf>
    <xf numFmtId="0" fontId="59" fillId="27" borderId="57" xfId="4" applyFont="1" applyFill="1" applyBorder="1" applyAlignment="1">
      <alignment horizontal="left" vertical="center" wrapText="1"/>
    </xf>
    <xf numFmtId="0" fontId="59" fillId="25" borderId="31" xfId="4" applyFont="1" applyFill="1" applyBorder="1" applyAlignment="1">
      <alignment horizontal="left" vertical="center" wrapText="1"/>
    </xf>
    <xf numFmtId="0" fontId="59" fillId="25" borderId="10" xfId="4" applyFont="1" applyFill="1" applyBorder="1" applyAlignment="1">
      <alignment horizontal="left" vertical="center" wrapText="1"/>
    </xf>
    <xf numFmtId="0" fontId="59" fillId="25" borderId="37" xfId="4" applyFont="1" applyFill="1" applyBorder="1" applyAlignment="1">
      <alignment horizontal="left" vertical="center" wrapText="1"/>
    </xf>
    <xf numFmtId="0" fontId="59" fillId="25" borderId="12" xfId="4" applyFont="1" applyFill="1" applyBorder="1" applyAlignment="1">
      <alignment horizontal="left" vertical="center" wrapText="1"/>
    </xf>
    <xf numFmtId="9" fontId="68" fillId="0" borderId="62" xfId="4" applyNumberFormat="1" applyFont="1" applyBorder="1" applyAlignment="1">
      <alignment horizontal="center" vertical="center"/>
    </xf>
    <xf numFmtId="0" fontId="68" fillId="0" borderId="61" xfId="4" applyFont="1" applyBorder="1" applyAlignment="1">
      <alignment horizontal="center" vertical="center"/>
    </xf>
    <xf numFmtId="0" fontId="68" fillId="0" borderId="35" xfId="4" applyFont="1" applyBorder="1" applyAlignment="1">
      <alignment horizontal="center" vertical="center"/>
    </xf>
    <xf numFmtId="0" fontId="31" fillId="0" borderId="76" xfId="4" applyFont="1" applyBorder="1" applyAlignment="1">
      <alignment horizontal="center" vertical="center" wrapText="1"/>
    </xf>
    <xf numFmtId="9" fontId="69" fillId="0" borderId="79" xfId="4" applyNumberFormat="1" applyFont="1" applyBorder="1" applyAlignment="1">
      <alignment horizontal="center" vertical="center"/>
    </xf>
    <xf numFmtId="9" fontId="65" fillId="0" borderId="31" xfId="4" applyNumberFormat="1" applyFont="1" applyBorder="1" applyAlignment="1">
      <alignment horizontal="center" vertical="center"/>
    </xf>
    <xf numFmtId="0" fontId="65" fillId="0" borderId="10" xfId="4" applyFont="1" applyBorder="1" applyAlignment="1">
      <alignment horizontal="center" vertical="center"/>
    </xf>
    <xf numFmtId="0" fontId="65" fillId="0" borderId="12" xfId="4" applyFont="1" applyBorder="1" applyAlignment="1">
      <alignment horizontal="center" vertical="center"/>
    </xf>
    <xf numFmtId="0" fontId="59" fillId="0" borderId="57" xfId="4" applyFont="1" applyBorder="1" applyAlignment="1">
      <alignment horizontal="left" vertical="center" wrapText="1"/>
    </xf>
    <xf numFmtId="0" fontId="59" fillId="0" borderId="55" xfId="4" applyFont="1" applyBorder="1" applyAlignment="1">
      <alignment horizontal="left" vertical="center" wrapText="1"/>
    </xf>
    <xf numFmtId="0" fontId="31" fillId="0" borderId="76" xfId="4" applyFont="1" applyBorder="1" applyAlignment="1">
      <alignment horizontal="justify" vertical="center" wrapText="1"/>
    </xf>
    <xf numFmtId="0" fontId="31" fillId="0" borderId="15" xfId="4" applyFont="1" applyBorder="1" applyAlignment="1">
      <alignment horizontal="justify" vertical="center" wrapText="1"/>
    </xf>
    <xf numFmtId="14" fontId="61" fillId="0" borderId="24" xfId="4" applyNumberFormat="1" applyFont="1" applyBorder="1" applyAlignment="1">
      <alignment horizontal="center" vertical="center"/>
    </xf>
    <xf numFmtId="0" fontId="33" fillId="16" borderId="16" xfId="4" applyFont="1" applyFill="1" applyBorder="1" applyAlignment="1">
      <alignment horizontal="center" vertical="center" wrapText="1"/>
    </xf>
    <xf numFmtId="164" fontId="61" fillId="0" borderId="12" xfId="1" applyNumberFormat="1" applyFont="1" applyBorder="1" applyAlignment="1">
      <alignment horizontal="center" vertical="center"/>
    </xf>
    <xf numFmtId="0" fontId="59" fillId="27" borderId="80" xfId="4" applyFont="1" applyFill="1" applyBorder="1" applyAlignment="1">
      <alignment horizontal="left" vertical="center" wrapText="1"/>
    </xf>
    <xf numFmtId="0" fontId="31" fillId="16" borderId="15" xfId="4" applyFont="1" applyFill="1" applyBorder="1" applyAlignment="1">
      <alignment horizontal="left" vertical="center" wrapText="1"/>
    </xf>
    <xf numFmtId="0" fontId="31" fillId="16" borderId="16" xfId="4" applyFont="1" applyFill="1" applyBorder="1" applyAlignment="1">
      <alignment horizontal="left" vertical="center" wrapText="1"/>
    </xf>
    <xf numFmtId="0" fontId="63" fillId="0" borderId="0" xfId="4" applyFont="1"/>
    <xf numFmtId="0" fontId="47" fillId="37" borderId="5" xfId="4" applyFont="1" applyFill="1" applyBorder="1" applyAlignment="1">
      <alignment horizontal="center" vertical="center" wrapText="1"/>
    </xf>
    <xf numFmtId="0" fontId="47" fillId="37" borderId="3" xfId="4" applyFont="1" applyFill="1" applyBorder="1" applyAlignment="1">
      <alignment horizontal="center" vertical="center" wrapText="1"/>
    </xf>
    <xf numFmtId="0" fontId="47" fillId="37" borderId="6" xfId="4" applyFont="1" applyFill="1" applyBorder="1" applyAlignment="1">
      <alignment horizontal="center" vertical="center" wrapText="1"/>
    </xf>
    <xf numFmtId="0" fontId="46" fillId="16" borderId="11" xfId="4" applyFont="1" applyFill="1" applyBorder="1" applyAlignment="1">
      <alignment horizontal="center" vertical="center" wrapText="1"/>
    </xf>
    <xf numFmtId="14" fontId="61" fillId="16" borderId="5" xfId="4" applyNumberFormat="1" applyFont="1" applyFill="1" applyBorder="1" applyAlignment="1">
      <alignment horizontal="center" vertical="center"/>
    </xf>
    <xf numFmtId="14" fontId="61" fillId="16" borderId="3" xfId="4" applyNumberFormat="1" applyFont="1" applyFill="1" applyBorder="1" applyAlignment="1">
      <alignment horizontal="center" vertical="center"/>
    </xf>
    <xf numFmtId="164" fontId="61" fillId="0" borderId="8" xfId="1" applyNumberFormat="1" applyFont="1" applyBorder="1" applyAlignment="1">
      <alignment horizontal="center" vertical="center"/>
    </xf>
    <xf numFmtId="0" fontId="59" fillId="25" borderId="41" xfId="4" applyFont="1" applyFill="1" applyBorder="1" applyAlignment="1">
      <alignment horizontal="left" vertical="center" wrapText="1"/>
    </xf>
    <xf numFmtId="0" fontId="33" fillId="16" borderId="76" xfId="4" applyFont="1" applyFill="1" applyBorder="1" applyAlignment="1">
      <alignment horizontal="center" vertical="center" wrapText="1"/>
    </xf>
    <xf numFmtId="0" fontId="61" fillId="32" borderId="3" xfId="4" applyFont="1" applyFill="1" applyBorder="1" applyAlignment="1">
      <alignment horizontal="center" vertical="center"/>
    </xf>
    <xf numFmtId="0" fontId="61" fillId="32" borderId="4" xfId="4" applyFont="1" applyFill="1" applyBorder="1" applyAlignment="1">
      <alignment horizontal="center" vertical="center"/>
    </xf>
    <xf numFmtId="164" fontId="61" fillId="0" borderId="13" xfId="1" applyNumberFormat="1" applyFont="1" applyBorder="1" applyAlignment="1">
      <alignment horizontal="center" vertical="center"/>
    </xf>
    <xf numFmtId="14" fontId="61" fillId="0" borderId="36" xfId="4" applyNumberFormat="1" applyFont="1" applyBorder="1" applyAlignment="1">
      <alignment horizontal="center" vertical="center"/>
    </xf>
    <xf numFmtId="14" fontId="61" fillId="25" borderId="4" xfId="4" applyNumberFormat="1" applyFont="1" applyFill="1" applyBorder="1" applyAlignment="1">
      <alignment horizontal="center" vertical="center"/>
    </xf>
    <xf numFmtId="0" fontId="61" fillId="25" borderId="36" xfId="4" applyFont="1" applyFill="1" applyBorder="1" applyAlignment="1">
      <alignment horizontal="center" vertical="center"/>
    </xf>
    <xf numFmtId="0" fontId="31" fillId="16" borderId="6" xfId="4" applyFont="1" applyFill="1" applyBorder="1" applyAlignment="1">
      <alignment horizontal="center" vertical="center" wrapText="1"/>
    </xf>
    <xf numFmtId="0" fontId="33" fillId="16" borderId="6" xfId="4" applyFont="1" applyFill="1" applyBorder="1" applyAlignment="1">
      <alignment horizontal="center" vertical="center" wrapText="1"/>
    </xf>
    <xf numFmtId="0" fontId="33" fillId="0" borderId="4" xfId="4" applyFont="1" applyBorder="1" applyAlignment="1">
      <alignment horizontal="center" vertical="center" wrapText="1"/>
    </xf>
    <xf numFmtId="0" fontId="65" fillId="16" borderId="10" xfId="4" applyFont="1" applyFill="1" applyBorder="1" applyAlignment="1">
      <alignment horizontal="center" vertical="center"/>
    </xf>
    <xf numFmtId="0" fontId="65" fillId="16" borderId="12" xfId="4" applyFont="1" applyFill="1" applyBorder="1" applyAlignment="1">
      <alignment horizontal="center" vertical="center"/>
    </xf>
    <xf numFmtId="14" fontId="61" fillId="16" borderId="36" xfId="4" applyNumberFormat="1" applyFont="1" applyFill="1" applyBorder="1" applyAlignment="1">
      <alignment horizontal="center" vertical="center"/>
    </xf>
    <xf numFmtId="14" fontId="61" fillId="16" borderId="24" xfId="4" applyNumberFormat="1" applyFont="1" applyFill="1" applyBorder="1" applyAlignment="1">
      <alignment horizontal="center" vertical="center"/>
    </xf>
    <xf numFmtId="0" fontId="61" fillId="16" borderId="18" xfId="4" applyFont="1" applyFill="1" applyBorder="1" applyAlignment="1">
      <alignment horizontal="center" vertical="center"/>
    </xf>
    <xf numFmtId="14" fontId="61" fillId="16" borderId="19" xfId="4" applyNumberFormat="1" applyFont="1" applyFill="1" applyBorder="1" applyAlignment="1">
      <alignment horizontal="center" vertical="center"/>
    </xf>
    <xf numFmtId="0" fontId="31" fillId="0" borderId="54" xfId="4" applyFont="1" applyBorder="1" applyAlignment="1">
      <alignment horizontal="center" vertical="center" wrapText="1"/>
    </xf>
    <xf numFmtId="164" fontId="65" fillId="43" borderId="30" xfId="4" applyNumberFormat="1" applyFont="1" applyFill="1" applyBorder="1" applyAlignment="1">
      <alignment horizontal="center" vertical="center"/>
    </xf>
    <xf numFmtId="164" fontId="65" fillId="43" borderId="9" xfId="4" applyNumberFormat="1" applyFont="1" applyFill="1" applyBorder="1" applyAlignment="1">
      <alignment horizontal="center" vertical="center"/>
    </xf>
    <xf numFmtId="164" fontId="65" fillId="43" borderId="11" xfId="4" applyNumberFormat="1" applyFont="1" applyFill="1" applyBorder="1" applyAlignment="1">
      <alignment horizontal="center" vertical="center"/>
    </xf>
    <xf numFmtId="164" fontId="65" fillId="43" borderId="23" xfId="4" applyNumberFormat="1" applyFont="1" applyFill="1" applyBorder="1" applyAlignment="1">
      <alignment horizontal="center" vertical="center"/>
    </xf>
    <xf numFmtId="164" fontId="65" fillId="43" borderId="60" xfId="4" applyNumberFormat="1" applyFont="1" applyFill="1" applyBorder="1" applyAlignment="1">
      <alignment horizontal="center" vertical="center"/>
    </xf>
    <xf numFmtId="0" fontId="65" fillId="43" borderId="9" xfId="4" applyFont="1" applyFill="1" applyBorder="1" applyAlignment="1">
      <alignment horizontal="center" vertical="center"/>
    </xf>
    <xf numFmtId="0" fontId="65" fillId="43" borderId="11" xfId="4" applyFont="1" applyFill="1" applyBorder="1" applyAlignment="1">
      <alignment horizontal="center" vertical="center"/>
    </xf>
    <xf numFmtId="164" fontId="65" fillId="43" borderId="17" xfId="4" applyNumberFormat="1" applyFont="1" applyFill="1" applyBorder="1" applyAlignment="1">
      <alignment horizontal="center" vertical="center"/>
    </xf>
    <xf numFmtId="164" fontId="65" fillId="43" borderId="7" xfId="4" applyNumberFormat="1" applyFont="1" applyFill="1" applyBorder="1" applyAlignment="1">
      <alignment horizontal="center" vertical="center"/>
    </xf>
    <xf numFmtId="0" fontId="13" fillId="0" borderId="0" xfId="0" applyFont="1" applyAlignment="1">
      <alignment horizontal="center" vertical="center" wrapText="1"/>
    </xf>
    <xf numFmtId="14" fontId="33" fillId="25" borderId="4" xfId="0" applyNumberFormat="1" applyFont="1" applyFill="1" applyBorder="1" applyAlignment="1">
      <alignment horizontal="center" vertical="center" wrapText="1"/>
    </xf>
    <xf numFmtId="14" fontId="33" fillId="25" borderId="18" xfId="0" applyNumberFormat="1" applyFont="1" applyFill="1" applyBorder="1" applyAlignment="1">
      <alignment horizontal="center" vertical="center" wrapText="1"/>
    </xf>
    <xf numFmtId="0" fontId="80" fillId="0" borderId="3" xfId="0" applyFont="1" applyBorder="1" applyAlignment="1">
      <alignment horizontal="center" vertical="center" wrapText="1"/>
    </xf>
    <xf numFmtId="0" fontId="80" fillId="0" borderId="3" xfId="0" applyFont="1" applyBorder="1" applyAlignment="1">
      <alignment horizontal="center" vertical="center"/>
    </xf>
    <xf numFmtId="0" fontId="33" fillId="25" borderId="4" xfId="0" applyFont="1" applyFill="1" applyBorder="1" applyAlignment="1">
      <alignment horizontal="center" vertical="center" wrapText="1"/>
    </xf>
    <xf numFmtId="0" fontId="33" fillId="25" borderId="18" xfId="0" applyFont="1" applyFill="1" applyBorder="1" applyAlignment="1">
      <alignment horizontal="center" vertical="center" wrapText="1"/>
    </xf>
    <xf numFmtId="0" fontId="81" fillId="0" borderId="3" xfId="0" applyFont="1" applyBorder="1" applyAlignment="1">
      <alignment horizontal="center" vertical="center" wrapText="1"/>
    </xf>
    <xf numFmtId="0" fontId="81" fillId="0" borderId="3" xfId="0" applyFont="1" applyBorder="1" applyAlignment="1">
      <alignment horizontal="center" vertical="center"/>
    </xf>
    <xf numFmtId="0" fontId="81" fillId="0" borderId="18" xfId="0" applyFont="1" applyBorder="1" applyAlignment="1">
      <alignment horizontal="justify" vertical="center" wrapText="1"/>
    </xf>
    <xf numFmtId="0" fontId="81" fillId="0" borderId="3" xfId="0" applyFont="1" applyBorder="1" applyAlignment="1">
      <alignment horizontal="justify" vertical="center" wrapText="1"/>
    </xf>
    <xf numFmtId="0" fontId="31" fillId="38" borderId="4" xfId="0" applyFont="1" applyFill="1" applyBorder="1" applyAlignment="1">
      <alignment horizontal="center" vertical="center" wrapText="1"/>
    </xf>
    <xf numFmtId="0" fontId="31" fillId="38" borderId="18" xfId="0" applyFont="1" applyFill="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80" fillId="0" borderId="0" xfId="0" applyFont="1" applyAlignment="1">
      <alignment horizontal="center" vertical="center" wrapText="1"/>
    </xf>
    <xf numFmtId="0" fontId="3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20" fillId="0" borderId="13"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34" xfId="0" applyFont="1" applyBorder="1" applyAlignment="1">
      <alignment horizontal="center" vertical="center" wrapText="1"/>
    </xf>
    <xf numFmtId="0" fontId="21" fillId="27" borderId="3" xfId="0" applyFont="1" applyFill="1" applyBorder="1" applyAlignment="1">
      <alignment vertical="center" wrapText="1"/>
    </xf>
    <xf numFmtId="0" fontId="21" fillId="27" borderId="3" xfId="0" applyFont="1" applyFill="1" applyBorder="1" applyAlignment="1">
      <alignment vertical="center"/>
    </xf>
    <xf numFmtId="0" fontId="35" fillId="18" borderId="27" xfId="0" applyFont="1" applyFill="1" applyBorder="1" applyAlignment="1">
      <alignment horizontal="center" vertical="center"/>
    </xf>
    <xf numFmtId="0" fontId="35" fillId="18" borderId="49" xfId="0" applyFont="1" applyFill="1" applyBorder="1" applyAlignment="1">
      <alignment horizontal="center" vertical="center"/>
    </xf>
    <xf numFmtId="0" fontId="35" fillId="18" borderId="45" xfId="0" applyFont="1" applyFill="1" applyBorder="1" applyAlignment="1">
      <alignment horizontal="center" vertical="center"/>
    </xf>
    <xf numFmtId="0" fontId="0" fillId="0" borderId="50" xfId="0" applyBorder="1" applyAlignment="1">
      <alignment horizontal="left" vertical="center" wrapText="1"/>
    </xf>
    <xf numFmtId="0" fontId="0" fillId="0" borderId="28" xfId="0" applyBorder="1" applyAlignment="1">
      <alignment horizontal="left" vertical="center" wrapText="1"/>
    </xf>
    <xf numFmtId="0" fontId="52" fillId="0" borderId="4" xfId="0" applyFont="1" applyBorder="1" applyAlignment="1">
      <alignment horizontal="center" vertical="center" wrapText="1"/>
    </xf>
    <xf numFmtId="0" fontId="52" fillId="0" borderId="18" xfId="0" applyFont="1" applyBorder="1" applyAlignment="1">
      <alignment horizontal="center" vertical="center" wrapText="1"/>
    </xf>
    <xf numFmtId="14" fontId="31" fillId="25" borderId="4" xfId="0" applyNumberFormat="1" applyFont="1" applyFill="1" applyBorder="1" applyAlignment="1">
      <alignment horizontal="center" vertical="center" wrapText="1"/>
    </xf>
    <xf numFmtId="14" fontId="31" fillId="25" borderId="18" xfId="0" applyNumberFormat="1" applyFont="1" applyFill="1" applyBorder="1" applyAlignment="1">
      <alignment horizontal="center" vertical="center" wrapText="1"/>
    </xf>
    <xf numFmtId="0" fontId="31" fillId="25" borderId="39" xfId="4" applyFont="1" applyFill="1" applyBorder="1" applyAlignment="1">
      <alignment horizontal="left" vertical="center" wrapText="1"/>
    </xf>
    <xf numFmtId="0" fontId="31" fillId="25" borderId="41" xfId="4" applyFont="1" applyFill="1" applyBorder="1" applyAlignment="1">
      <alignment horizontal="left" vertical="center" wrapText="1"/>
    </xf>
    <xf numFmtId="9" fontId="61" fillId="16" borderId="18" xfId="4" applyNumberFormat="1" applyFont="1" applyFill="1" applyBorder="1" applyAlignment="1">
      <alignment horizontal="center" vertical="center"/>
    </xf>
    <xf numFmtId="9" fontId="61" fillId="25" borderId="24" xfId="4" applyNumberFormat="1" applyFont="1" applyFill="1" applyBorder="1" applyAlignment="1">
      <alignment horizontal="center" vertical="center"/>
    </xf>
    <xf numFmtId="9" fontId="61" fillId="25" borderId="4" xfId="4" applyNumberFormat="1" applyFont="1" applyFill="1" applyBorder="1" applyAlignment="1">
      <alignment horizontal="center" vertical="center"/>
    </xf>
    <xf numFmtId="9" fontId="61" fillId="27" borderId="4" xfId="4" applyNumberFormat="1" applyFont="1" applyFill="1" applyBorder="1" applyAlignment="1">
      <alignment horizontal="center" vertical="center"/>
    </xf>
    <xf numFmtId="9" fontId="45" fillId="27" borderId="4" xfId="4" applyNumberFormat="1" applyFont="1" applyFill="1" applyBorder="1" applyAlignment="1">
      <alignment horizontal="center" vertical="center"/>
    </xf>
    <xf numFmtId="0" fontId="31" fillId="25" borderId="15" xfId="4" applyFont="1" applyFill="1" applyBorder="1" applyAlignment="1">
      <alignment horizontal="left" vertical="center" wrapText="1"/>
    </xf>
    <xf numFmtId="0" fontId="31" fillId="25" borderId="16" xfId="4" applyFont="1" applyFill="1" applyBorder="1" applyAlignment="1">
      <alignment horizontal="left" vertical="center" wrapText="1"/>
    </xf>
    <xf numFmtId="9" fontId="61" fillId="25" borderId="3" xfId="4" applyNumberFormat="1" applyFont="1" applyFill="1" applyBorder="1" applyAlignment="1">
      <alignment horizontal="center" vertical="center"/>
    </xf>
    <xf numFmtId="0" fontId="80" fillId="0" borderId="3" xfId="0" applyFont="1" applyBorder="1" applyAlignment="1">
      <alignment horizontal="justify" vertical="center" wrapText="1"/>
    </xf>
    <xf numFmtId="0" fontId="80" fillId="0" borderId="50" xfId="0" applyFont="1" applyBorder="1" applyAlignment="1">
      <alignment horizontal="center" vertical="center" wrapText="1"/>
    </xf>
    <xf numFmtId="0" fontId="80" fillId="0" borderId="28" xfId="0" applyFont="1" applyBorder="1" applyAlignment="1">
      <alignment horizontal="center" vertical="center" wrapText="1"/>
    </xf>
    <xf numFmtId="0" fontId="31" fillId="27" borderId="4" xfId="0" applyFont="1" applyFill="1" applyBorder="1" applyAlignment="1">
      <alignment horizontal="center" vertical="center" wrapText="1"/>
    </xf>
    <xf numFmtId="0" fontId="31" fillId="27" borderId="18" xfId="0" applyFont="1" applyFill="1" applyBorder="1" applyAlignment="1">
      <alignment horizontal="center" vertical="center" wrapText="1"/>
    </xf>
  </cellXfs>
  <cellStyles count="8">
    <cellStyle name="BodyStyle" xfId="6" xr:uid="{4B07DE25-44A9-4C6D-9D4A-C1DCA38E3160}"/>
    <cellStyle name="Currency" xfId="7" xr:uid="{03572155-C162-4791-9109-C10292CBF250}"/>
    <cellStyle name="HeaderStyle" xfId="5" xr:uid="{ACF2BE0B-6308-4E70-9C67-70CC8A6F1CE4}"/>
    <cellStyle name="Normal" xfId="0" builtinId="0"/>
    <cellStyle name="Normal 2" xfId="2" xr:uid="{F6D7B5C7-EAA5-41B2-A428-B1E4829B4239}"/>
    <cellStyle name="Normal 3" xfId="4" xr:uid="{8069BBAF-1CE5-4F46-BC5E-D38D0AE969E4}"/>
    <cellStyle name="Normal 98" xfId="3" xr:uid="{FE56FDC3-B997-4D23-979B-AD55E7AB71E0}"/>
    <cellStyle name="Porcentaje" xfId="1" builtinId="5"/>
  </cellStyles>
  <dxfs count="188">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33CC"/>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13. PSPI'!A1"/><Relationship Id="rId13" Type="http://schemas.openxmlformats.org/officeDocument/2006/relationships/hyperlink" Target="#'03. PINAR'!A1"/><Relationship Id="rId18" Type="http://schemas.openxmlformats.org/officeDocument/2006/relationships/hyperlink" Target="#'08. PSST'!A1"/><Relationship Id="rId3" Type="http://schemas.openxmlformats.org/officeDocument/2006/relationships/hyperlink" Target="#'06. PETH'!A1"/><Relationship Id="rId21" Type="http://schemas.openxmlformats.org/officeDocument/2006/relationships/hyperlink" Target="#'06. PIC'!A1"/><Relationship Id="rId7" Type="http://schemas.openxmlformats.org/officeDocument/2006/relationships/hyperlink" Target="#'03. PAA'!A1"/><Relationship Id="rId12" Type="http://schemas.openxmlformats.org/officeDocument/2006/relationships/hyperlink" Target="#'01. Plan Acci&#243;n Anual'!A1"/><Relationship Id="rId17" Type="http://schemas.openxmlformats.org/officeDocument/2006/relationships/hyperlink" Target="#'09. PAAC'!A1"/><Relationship Id="rId2" Type="http://schemas.openxmlformats.org/officeDocument/2006/relationships/hyperlink" Target="#'02. INTITUCIONAL'!A1"/><Relationship Id="rId16" Type="http://schemas.openxmlformats.org/officeDocument/2006/relationships/hyperlink" Target="#'10.PETI'!A1"/><Relationship Id="rId20" Type="http://schemas.openxmlformats.org/officeDocument/2006/relationships/hyperlink" Target="#'04. PAA'!A1"/><Relationship Id="rId1" Type="http://schemas.openxmlformats.org/officeDocument/2006/relationships/image" Target="../media/image1.png"/><Relationship Id="rId6" Type="http://schemas.openxmlformats.org/officeDocument/2006/relationships/hyperlink" Target="#'11. PETI'!A1"/><Relationship Id="rId11" Type="http://schemas.openxmlformats.org/officeDocument/2006/relationships/hyperlink" Target="#'01. SECTORIAL'!A1"/><Relationship Id="rId24" Type="http://schemas.openxmlformats.org/officeDocument/2006/relationships/hyperlink" Target="#'07. PII'!A1"/><Relationship Id="rId5" Type="http://schemas.openxmlformats.org/officeDocument/2006/relationships/hyperlink" Target="#'12. Trat. riesgos'!A1"/><Relationship Id="rId15" Type="http://schemas.openxmlformats.org/officeDocument/2006/relationships/hyperlink" Target="#'11. PTRSPI'!A1"/><Relationship Id="rId23" Type="http://schemas.openxmlformats.org/officeDocument/2006/relationships/hyperlink" Target="#'08. PII'!A1"/><Relationship Id="rId10" Type="http://schemas.openxmlformats.org/officeDocument/2006/relationships/hyperlink" Target="#'07. PIC'!A1"/><Relationship Id="rId19" Type="http://schemas.openxmlformats.org/officeDocument/2006/relationships/hyperlink" Target="#'05. PETH'!A1"/><Relationship Id="rId4" Type="http://schemas.openxmlformats.org/officeDocument/2006/relationships/hyperlink" Target="#'09. PSST'!A1"/><Relationship Id="rId9" Type="http://schemas.openxmlformats.org/officeDocument/2006/relationships/hyperlink" Target="#'10. PAAC'!A1"/><Relationship Id="rId14" Type="http://schemas.openxmlformats.org/officeDocument/2006/relationships/hyperlink" Target="#'11.PSPI'!A1"/><Relationship Id="rId22" Type="http://schemas.openxmlformats.org/officeDocument/2006/relationships/hyperlink" Target="#'02. PINAR'!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368300</xdr:colOff>
      <xdr:row>21</xdr:row>
      <xdr:rowOff>88900</xdr:rowOff>
    </xdr:from>
    <xdr:to>
      <xdr:col>11</xdr:col>
      <xdr:colOff>396875</xdr:colOff>
      <xdr:row>45</xdr:row>
      <xdr:rowOff>184150</xdr:rowOff>
    </xdr:to>
    <xdr:sp macro="" textlink="">
      <xdr:nvSpPr>
        <xdr:cNvPr id="2" name="TextBox 121">
          <a:extLst>
            <a:ext uri="{FF2B5EF4-FFF2-40B4-BE49-F238E27FC236}">
              <a16:creationId xmlns:a16="http://schemas.microsoft.com/office/drawing/2014/main" id="{4EFAAC6E-78E8-470F-820E-0116D83A46E6}"/>
            </a:ext>
          </a:extLst>
        </xdr:cNvPr>
        <xdr:cNvSpPr txBox="1"/>
      </xdr:nvSpPr>
      <xdr:spPr>
        <a:xfrm>
          <a:off x="3568700" y="3911600"/>
          <a:ext cx="5629275" cy="451485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ysClr val="windowText" lastClr="000000"/>
              </a:solidFill>
              <a:latin typeface="Arial" pitchFamily="34" charset="0"/>
              <a:cs typeface="Arial" pitchFamily="34" charset="0"/>
            </a:rPr>
            <a:t>Integración</a:t>
          </a:r>
          <a:r>
            <a:rPr lang="en-US" sz="4800" kern="0" baseline="0">
              <a:solidFill>
                <a:sysClr val="windowText" lastClr="000000"/>
              </a:solidFill>
              <a:latin typeface="Arial" pitchFamily="34" charset="0"/>
              <a:cs typeface="Arial" pitchFamily="34" charset="0"/>
            </a:rPr>
            <a:t> </a:t>
          </a:r>
        </a:p>
        <a:p>
          <a:pPr algn="ctr"/>
          <a:r>
            <a:rPr lang="en-US" sz="5200" b="1" kern="0">
              <a:solidFill>
                <a:sysClr val="windowText" lastClr="000000"/>
              </a:solidFill>
              <a:latin typeface="Arial" pitchFamily="34" charset="0"/>
              <a:cs typeface="Arial" pitchFamily="34" charset="0"/>
            </a:rPr>
            <a:t>Planes</a:t>
          </a:r>
          <a:r>
            <a:rPr lang="en-US" sz="5200" b="1" kern="0" baseline="0">
              <a:solidFill>
                <a:sysClr val="windowText" lastClr="000000"/>
              </a:solidFill>
              <a:latin typeface="Arial" pitchFamily="34" charset="0"/>
              <a:cs typeface="Arial" pitchFamily="34" charset="0"/>
            </a:rPr>
            <a:t> Institucionales</a:t>
          </a: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r>
            <a:rPr lang="en-US" sz="5200" b="1" kern="0" baseline="0">
              <a:solidFill>
                <a:srgbClr val="204D38"/>
              </a:solidFill>
              <a:latin typeface="Arial" pitchFamily="34" charset="0"/>
              <a:cs typeface="Arial" pitchFamily="34" charset="0"/>
            </a:rPr>
            <a:t>2023</a:t>
          </a:r>
          <a:endParaRPr lang="en-US" sz="5200" b="1" kern="0">
            <a:solidFill>
              <a:srgbClr val="204D38"/>
            </a:solidFill>
            <a:latin typeface="Arial" pitchFamily="34" charset="0"/>
            <a:cs typeface="Arial" pitchFamily="34" charset="0"/>
          </a:endParaRPr>
        </a:p>
      </xdr:txBody>
    </xdr:sp>
    <xdr:clientData/>
  </xdr:twoCellAnchor>
  <xdr:twoCellAnchor editAs="oneCell">
    <xdr:from>
      <xdr:col>5</xdr:col>
      <xdr:colOff>367240</xdr:colOff>
      <xdr:row>35</xdr:row>
      <xdr:rowOff>64556</xdr:rowOff>
    </xdr:from>
    <xdr:to>
      <xdr:col>10</xdr:col>
      <xdr:colOff>623237</xdr:colOff>
      <xdr:row>46</xdr:row>
      <xdr:rowOff>174625</xdr:rowOff>
    </xdr:to>
    <xdr:pic>
      <xdr:nvPicPr>
        <xdr:cNvPr id="3" name="6 Imagen">
          <a:extLst>
            <a:ext uri="{FF2B5EF4-FFF2-40B4-BE49-F238E27FC236}">
              <a16:creationId xmlns:a16="http://schemas.microsoft.com/office/drawing/2014/main" id="{51A1F3B8-F599-4F13-95A4-075E2AFB42BB}"/>
            </a:ext>
            <a:ext uri="{147F2762-F138-4A5C-976F-8EAC2B608ADB}">
              <a16:predDERef xmlns:a16="http://schemas.microsoft.com/office/drawing/2014/main" pred="{3DF6C39E-6CBE-4C97-A6A7-2F0585D1EB8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67740" y="6465356"/>
          <a:ext cx="4256497" cy="213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496546</xdr:colOff>
      <xdr:row>5</xdr:row>
      <xdr:rowOff>35979</xdr:rowOff>
    </xdr:from>
    <xdr:to>
      <xdr:col>9</xdr:col>
      <xdr:colOff>455231</xdr:colOff>
      <xdr:row>17</xdr:row>
      <xdr:rowOff>247646</xdr:rowOff>
    </xdr:to>
    <xdr:sp macro="" textlink="">
      <xdr:nvSpPr>
        <xdr:cNvPr id="4" name="Lágrima 3">
          <a:hlinkClick xmlns:r="http://schemas.openxmlformats.org/officeDocument/2006/relationships" r:id="rId2"/>
          <a:extLst>
            <a:ext uri="{FF2B5EF4-FFF2-40B4-BE49-F238E27FC236}">
              <a16:creationId xmlns:a16="http://schemas.microsoft.com/office/drawing/2014/main" id="{015AE69A-3F47-4AB9-AC34-53239212A6F8}"/>
            </a:ext>
          </a:extLst>
        </xdr:cNvPr>
        <xdr:cNvSpPr/>
      </xdr:nvSpPr>
      <xdr:spPr>
        <a:xfrm rot="19034445">
          <a:off x="5297146" y="829729"/>
          <a:ext cx="2358985" cy="2421467"/>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9</xdr:col>
      <xdr:colOff>416976</xdr:colOff>
      <xdr:row>7</xdr:row>
      <xdr:rowOff>138475</xdr:rowOff>
    </xdr:from>
    <xdr:to>
      <xdr:col>12</xdr:col>
      <xdr:colOff>413071</xdr:colOff>
      <xdr:row>20</xdr:row>
      <xdr:rowOff>75754</xdr:rowOff>
    </xdr:to>
    <xdr:sp macro="" textlink="">
      <xdr:nvSpPr>
        <xdr:cNvPr id="5" name="Lágrima 4">
          <a:extLst>
            <a:ext uri="{FF2B5EF4-FFF2-40B4-BE49-F238E27FC236}">
              <a16:creationId xmlns:a16="http://schemas.microsoft.com/office/drawing/2014/main" id="{FECFCF0E-897B-4FD5-9FF1-6282CA61CCD3}"/>
            </a:ext>
          </a:extLst>
        </xdr:cNvPr>
        <xdr:cNvSpPr/>
      </xdr:nvSpPr>
      <xdr:spPr>
        <a:xfrm rot="20924410">
          <a:off x="7617876" y="1300525"/>
          <a:ext cx="2396395" cy="2413779"/>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10</xdr:col>
      <xdr:colOff>324949</xdr:colOff>
      <xdr:row>51</xdr:row>
      <xdr:rowOff>163507</xdr:rowOff>
    </xdr:from>
    <xdr:to>
      <xdr:col>13</xdr:col>
      <xdr:colOff>410395</xdr:colOff>
      <xdr:row>65</xdr:row>
      <xdr:rowOff>75447</xdr:rowOff>
    </xdr:to>
    <xdr:sp macro="" textlink="">
      <xdr:nvSpPr>
        <xdr:cNvPr id="6" name="Lágrima 137">
          <a:hlinkClick xmlns:r="http://schemas.openxmlformats.org/officeDocument/2006/relationships" r:id="rId3"/>
          <a:extLst>
            <a:ext uri="{FF2B5EF4-FFF2-40B4-BE49-F238E27FC236}">
              <a16:creationId xmlns:a16="http://schemas.microsoft.com/office/drawing/2014/main" id="{EA23039C-ADE0-4FF0-860E-869FF00C2E38}"/>
            </a:ext>
          </a:extLst>
        </xdr:cNvPr>
        <xdr:cNvSpPr/>
      </xdr:nvSpPr>
      <xdr:spPr>
        <a:xfrm rot="5888503">
          <a:off x="8415877" y="9420779"/>
          <a:ext cx="2305890" cy="2485746"/>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2</xdr:col>
      <xdr:colOff>127038</xdr:colOff>
      <xdr:row>52</xdr:row>
      <xdr:rowOff>116970</xdr:rowOff>
    </xdr:from>
    <xdr:to>
      <xdr:col>5</xdr:col>
      <xdr:colOff>99470</xdr:colOff>
      <xdr:row>66</xdr:row>
      <xdr:rowOff>138916</xdr:rowOff>
    </xdr:to>
    <xdr:sp macro="" textlink="">
      <xdr:nvSpPr>
        <xdr:cNvPr id="7" name="Lágrima 6">
          <a:hlinkClick xmlns:r="http://schemas.openxmlformats.org/officeDocument/2006/relationships" r:id="rId4"/>
          <a:extLst>
            <a:ext uri="{FF2B5EF4-FFF2-40B4-BE49-F238E27FC236}">
              <a16:creationId xmlns:a16="http://schemas.microsoft.com/office/drawing/2014/main" id="{D170D7A3-1497-4232-AD22-7587D0BCE67A}"/>
            </a:ext>
          </a:extLst>
        </xdr:cNvPr>
        <xdr:cNvSpPr/>
      </xdr:nvSpPr>
      <xdr:spPr>
        <a:xfrm rot="10073442">
          <a:off x="1727238" y="9648320"/>
          <a:ext cx="2372732" cy="241589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165020</xdr:colOff>
      <xdr:row>16</xdr:row>
      <xdr:rowOff>620</xdr:rowOff>
    </xdr:from>
    <xdr:to>
      <xdr:col>4</xdr:col>
      <xdr:colOff>250466</xdr:colOff>
      <xdr:row>28</xdr:row>
      <xdr:rowOff>24743</xdr:rowOff>
    </xdr:to>
    <xdr:sp macro="" textlink="">
      <xdr:nvSpPr>
        <xdr:cNvPr id="8" name="Lágrima 7">
          <a:hlinkClick xmlns:r="http://schemas.openxmlformats.org/officeDocument/2006/relationships" r:id="rId5"/>
          <a:extLst>
            <a:ext uri="{FF2B5EF4-FFF2-40B4-BE49-F238E27FC236}">
              <a16:creationId xmlns:a16="http://schemas.microsoft.com/office/drawing/2014/main" id="{7A9C677A-D123-4693-99FB-D7144D97CC1A}"/>
            </a:ext>
          </a:extLst>
        </xdr:cNvPr>
        <xdr:cNvSpPr/>
      </xdr:nvSpPr>
      <xdr:spPr>
        <a:xfrm rot="16200000">
          <a:off x="1049756" y="2735384"/>
          <a:ext cx="2316473" cy="248574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0</xdr:col>
      <xdr:colOff>543963</xdr:colOff>
      <xdr:row>27</xdr:row>
      <xdr:rowOff>171446</xdr:rowOff>
    </xdr:from>
    <xdr:to>
      <xdr:col>3</xdr:col>
      <xdr:colOff>532103</xdr:colOff>
      <xdr:row>41</xdr:row>
      <xdr:rowOff>13976</xdr:rowOff>
    </xdr:to>
    <xdr:sp macro="" textlink="">
      <xdr:nvSpPr>
        <xdr:cNvPr id="9" name="Lágrima 8">
          <a:hlinkClick xmlns:r="http://schemas.openxmlformats.org/officeDocument/2006/relationships" r:id="rId6"/>
          <a:extLst>
            <a:ext uri="{FF2B5EF4-FFF2-40B4-BE49-F238E27FC236}">
              <a16:creationId xmlns:a16="http://schemas.microsoft.com/office/drawing/2014/main" id="{D98A9EF9-6B04-4B4E-BC64-528677E1BF8A}"/>
            </a:ext>
          </a:extLst>
        </xdr:cNvPr>
        <xdr:cNvSpPr/>
      </xdr:nvSpPr>
      <xdr:spPr>
        <a:xfrm rot="13197227">
          <a:off x="543963" y="5099046"/>
          <a:ext cx="2388440" cy="2420630"/>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661142</xdr:colOff>
      <xdr:row>16</xdr:row>
      <xdr:rowOff>35979</xdr:rowOff>
    </xdr:from>
    <xdr:to>
      <xdr:col>14</xdr:col>
      <xdr:colOff>634999</xdr:colOff>
      <xdr:row>28</xdr:row>
      <xdr:rowOff>162979</xdr:rowOff>
    </xdr:to>
    <xdr:sp macro="" textlink="">
      <xdr:nvSpPr>
        <xdr:cNvPr id="10" name="Lágrima 141">
          <a:hlinkClick xmlns:r="http://schemas.openxmlformats.org/officeDocument/2006/relationships" r:id="rId7"/>
          <a:extLst>
            <a:ext uri="{FF2B5EF4-FFF2-40B4-BE49-F238E27FC236}">
              <a16:creationId xmlns:a16="http://schemas.microsoft.com/office/drawing/2014/main" id="{D98BF169-01ED-441A-844F-728ED0291C0F}"/>
            </a:ext>
          </a:extLst>
        </xdr:cNvPr>
        <xdr:cNvSpPr/>
      </xdr:nvSpPr>
      <xdr:spPr>
        <a:xfrm>
          <a:off x="9462242" y="2855379"/>
          <a:ext cx="2374157" cy="2419350"/>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12</xdr:col>
      <xdr:colOff>263953</xdr:colOff>
      <xdr:row>28</xdr:row>
      <xdr:rowOff>59842</xdr:rowOff>
    </xdr:from>
    <xdr:to>
      <xdr:col>15</xdr:col>
      <xdr:colOff>349399</xdr:colOff>
      <xdr:row>40</xdr:row>
      <xdr:rowOff>141815</xdr:rowOff>
    </xdr:to>
    <xdr:sp macro="" textlink="">
      <xdr:nvSpPr>
        <xdr:cNvPr id="11" name="Lágrima 10">
          <a:extLst>
            <a:ext uri="{FF2B5EF4-FFF2-40B4-BE49-F238E27FC236}">
              <a16:creationId xmlns:a16="http://schemas.microsoft.com/office/drawing/2014/main" id="{848CF211-DEA1-4687-A4D5-657C71149870}"/>
            </a:ext>
          </a:extLst>
        </xdr:cNvPr>
        <xdr:cNvSpPr/>
      </xdr:nvSpPr>
      <xdr:spPr>
        <a:xfrm rot="2716324">
          <a:off x="9962139" y="5074606"/>
          <a:ext cx="2291773"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3</xdr:col>
      <xdr:colOff>522724</xdr:colOff>
      <xdr:row>8</xdr:row>
      <xdr:rowOff>102023</xdr:rowOff>
    </xdr:from>
    <xdr:to>
      <xdr:col>6</xdr:col>
      <xdr:colOff>608170</xdr:colOff>
      <xdr:row>20</xdr:row>
      <xdr:rowOff>119796</xdr:rowOff>
    </xdr:to>
    <xdr:sp macro="" textlink="">
      <xdr:nvSpPr>
        <xdr:cNvPr id="12" name="Lágrima 11">
          <a:hlinkClick xmlns:r="http://schemas.openxmlformats.org/officeDocument/2006/relationships" r:id="rId8"/>
          <a:extLst>
            <a:ext uri="{FF2B5EF4-FFF2-40B4-BE49-F238E27FC236}">
              <a16:creationId xmlns:a16="http://schemas.microsoft.com/office/drawing/2014/main" id="{307237E3-BB89-4523-8AD1-B3C46100C258}"/>
            </a:ext>
          </a:extLst>
        </xdr:cNvPr>
        <xdr:cNvSpPr/>
      </xdr:nvSpPr>
      <xdr:spPr>
        <a:xfrm rot="17063044">
          <a:off x="3010835" y="1360412"/>
          <a:ext cx="2310123" cy="248574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454578</xdr:colOff>
      <xdr:row>40</xdr:row>
      <xdr:rowOff>34204</xdr:rowOff>
    </xdr:from>
    <xdr:to>
      <xdr:col>4</xdr:col>
      <xdr:colOff>416970</xdr:colOff>
      <xdr:row>53</xdr:row>
      <xdr:rowOff>56150</xdr:rowOff>
    </xdr:to>
    <xdr:sp macro="" textlink="">
      <xdr:nvSpPr>
        <xdr:cNvPr id="13" name="Lágrima 12">
          <a:hlinkClick xmlns:r="http://schemas.openxmlformats.org/officeDocument/2006/relationships" r:id="rId9"/>
          <a:extLst>
            <a:ext uri="{FF2B5EF4-FFF2-40B4-BE49-F238E27FC236}">
              <a16:creationId xmlns:a16="http://schemas.microsoft.com/office/drawing/2014/main" id="{60150D2D-3996-4373-8EF9-8DA82D1FC2F8}"/>
            </a:ext>
          </a:extLst>
        </xdr:cNvPr>
        <xdr:cNvSpPr/>
      </xdr:nvSpPr>
      <xdr:spPr>
        <a:xfrm rot="11835076">
          <a:off x="1254678" y="7355754"/>
          <a:ext cx="2362692" cy="241589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544250</xdr:colOff>
      <xdr:row>40</xdr:row>
      <xdr:rowOff>86030</xdr:rowOff>
    </xdr:from>
    <xdr:to>
      <xdr:col>14</xdr:col>
      <xdr:colOff>629696</xdr:colOff>
      <xdr:row>53</xdr:row>
      <xdr:rowOff>4320</xdr:rowOff>
    </xdr:to>
    <xdr:sp macro="" textlink="">
      <xdr:nvSpPr>
        <xdr:cNvPr id="14" name="Lágrima 13">
          <a:extLst>
            <a:ext uri="{FF2B5EF4-FFF2-40B4-BE49-F238E27FC236}">
              <a16:creationId xmlns:a16="http://schemas.microsoft.com/office/drawing/2014/main" id="{5B25704D-4007-47F2-AAF1-B7B2D1712543}"/>
            </a:ext>
          </a:extLst>
        </xdr:cNvPr>
        <xdr:cNvSpPr/>
      </xdr:nvSpPr>
      <xdr:spPr>
        <a:xfrm rot="5400000">
          <a:off x="9432103" y="7320827"/>
          <a:ext cx="2312240"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646536</xdr:colOff>
      <xdr:row>57</xdr:row>
      <xdr:rowOff>71847</xdr:rowOff>
    </xdr:from>
    <xdr:to>
      <xdr:col>10</xdr:col>
      <xdr:colOff>731982</xdr:colOff>
      <xdr:row>70</xdr:row>
      <xdr:rowOff>8939</xdr:rowOff>
    </xdr:to>
    <xdr:sp macro="" textlink="">
      <xdr:nvSpPr>
        <xdr:cNvPr id="15" name="Lágrima 14">
          <a:hlinkClick xmlns:r="http://schemas.openxmlformats.org/officeDocument/2006/relationships" r:id="rId10"/>
          <a:extLst>
            <a:ext uri="{FF2B5EF4-FFF2-40B4-BE49-F238E27FC236}">
              <a16:creationId xmlns:a16="http://schemas.microsoft.com/office/drawing/2014/main" id="{30741EFA-4D9D-4EA4-B896-3AC5CDCACA2E}"/>
            </a:ext>
          </a:extLst>
        </xdr:cNvPr>
        <xdr:cNvSpPr/>
      </xdr:nvSpPr>
      <xdr:spPr>
        <a:xfrm rot="7274512">
          <a:off x="6324588" y="10262445"/>
          <a:ext cx="2331042" cy="2485746"/>
        </a:xfrm>
        <a:prstGeom prst="teardrop">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216996</xdr:colOff>
      <xdr:row>10</xdr:row>
      <xdr:rowOff>114300</xdr:rowOff>
    </xdr:from>
    <xdr:to>
      <xdr:col>8</xdr:col>
      <xdr:colOff>678038</xdr:colOff>
      <xdr:row>14</xdr:row>
      <xdr:rowOff>42542</xdr:rowOff>
    </xdr:to>
    <xdr:sp macro="" textlink="">
      <xdr:nvSpPr>
        <xdr:cNvPr id="16" name="TextBox 121">
          <a:hlinkClick xmlns:r="http://schemas.openxmlformats.org/officeDocument/2006/relationships" r:id="rId11"/>
          <a:extLst>
            <a:ext uri="{FF2B5EF4-FFF2-40B4-BE49-F238E27FC236}">
              <a16:creationId xmlns:a16="http://schemas.microsoft.com/office/drawing/2014/main" id="{89AB238D-AB73-4090-9844-A82876A45F46}"/>
            </a:ext>
          </a:extLst>
        </xdr:cNvPr>
        <xdr:cNvSpPr txBox="1"/>
      </xdr:nvSpPr>
      <xdr:spPr bwMode="auto">
        <a:xfrm>
          <a:off x="5817696" y="1828800"/>
          <a:ext cx="1261142"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Acción Anual</a:t>
          </a:r>
        </a:p>
      </xdr:txBody>
    </xdr:sp>
    <xdr:clientData/>
  </xdr:twoCellAnchor>
  <xdr:twoCellAnchor>
    <xdr:from>
      <xdr:col>7</xdr:col>
      <xdr:colOff>370808</xdr:colOff>
      <xdr:row>10</xdr:row>
      <xdr:rowOff>38100</xdr:rowOff>
    </xdr:from>
    <xdr:to>
      <xdr:col>8</xdr:col>
      <xdr:colOff>515682</xdr:colOff>
      <xdr:row>10</xdr:row>
      <xdr:rowOff>38100</xdr:rowOff>
    </xdr:to>
    <xdr:cxnSp macro="">
      <xdr:nvCxnSpPr>
        <xdr:cNvPr id="17" name="Straight Connector 72">
          <a:extLst>
            <a:ext uri="{FF2B5EF4-FFF2-40B4-BE49-F238E27FC236}">
              <a16:creationId xmlns:a16="http://schemas.microsoft.com/office/drawing/2014/main" id="{2B291905-5A26-48CA-8D27-2782AA7F317E}"/>
            </a:ext>
          </a:extLst>
        </xdr:cNvPr>
        <xdr:cNvCxnSpPr/>
      </xdr:nvCxnSpPr>
      <xdr:spPr bwMode="auto">
        <a:xfrm>
          <a:off x="5971508" y="17526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465352</xdr:colOff>
      <xdr:row>6</xdr:row>
      <xdr:rowOff>40214</xdr:rowOff>
    </xdr:from>
    <xdr:to>
      <xdr:col>8</xdr:col>
      <xdr:colOff>533399</xdr:colOff>
      <xdr:row>8</xdr:row>
      <xdr:rowOff>165100</xdr:rowOff>
    </xdr:to>
    <xdr:sp macro="" textlink="">
      <xdr:nvSpPr>
        <xdr:cNvPr id="18" name="TextBox 70">
          <a:hlinkClick xmlns:r="http://schemas.openxmlformats.org/officeDocument/2006/relationships" r:id="rId12"/>
          <a:extLst>
            <a:ext uri="{FF2B5EF4-FFF2-40B4-BE49-F238E27FC236}">
              <a16:creationId xmlns:a16="http://schemas.microsoft.com/office/drawing/2014/main" id="{201C65B9-9EE2-40F8-ABFD-7927422C9947}"/>
            </a:ext>
          </a:extLst>
        </xdr:cNvPr>
        <xdr:cNvSpPr txBox="1"/>
      </xdr:nvSpPr>
      <xdr:spPr bwMode="auto">
        <a:xfrm>
          <a:off x="6066052" y="101811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01</a:t>
          </a:r>
        </a:p>
      </xdr:txBody>
    </xdr:sp>
    <xdr:clientData/>
  </xdr:twoCellAnchor>
  <xdr:twoCellAnchor>
    <xdr:from>
      <xdr:col>9</xdr:col>
      <xdr:colOff>795994</xdr:colOff>
      <xdr:row>13</xdr:row>
      <xdr:rowOff>30602</xdr:rowOff>
    </xdr:from>
    <xdr:to>
      <xdr:col>12</xdr:col>
      <xdr:colOff>241300</xdr:colOff>
      <xdr:row>16</xdr:row>
      <xdr:rowOff>149344</xdr:rowOff>
    </xdr:to>
    <xdr:sp macro="" textlink="">
      <xdr:nvSpPr>
        <xdr:cNvPr id="19" name="TextBox 121">
          <a:hlinkClick xmlns:r="http://schemas.openxmlformats.org/officeDocument/2006/relationships" r:id="rId13"/>
          <a:extLst>
            <a:ext uri="{FF2B5EF4-FFF2-40B4-BE49-F238E27FC236}">
              <a16:creationId xmlns:a16="http://schemas.microsoft.com/office/drawing/2014/main" id="{FDE9F310-DF7A-4D3D-8CCD-1C26EB8FD009}"/>
            </a:ext>
          </a:extLst>
        </xdr:cNvPr>
        <xdr:cNvSpPr txBox="1"/>
      </xdr:nvSpPr>
      <xdr:spPr bwMode="auto">
        <a:xfrm>
          <a:off x="7996894" y="2297552"/>
          <a:ext cx="1845606" cy="67119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a:t>
          </a:r>
          <a:r>
            <a:rPr lang="en-US" sz="2000" b="1" kern="0" baseline="0">
              <a:solidFill>
                <a:schemeClr val="bg1"/>
              </a:solidFill>
              <a:latin typeface="Arial" pitchFamily="34" charset="0"/>
              <a:cs typeface="Arial" pitchFamily="34" charset="0"/>
            </a:rPr>
            <a:t> Institucional de Archivos</a:t>
          </a:r>
          <a:endParaRPr lang="en-US" sz="2000" b="1" kern="0">
            <a:solidFill>
              <a:schemeClr val="bg1"/>
            </a:solidFill>
            <a:latin typeface="Arial" pitchFamily="34" charset="0"/>
            <a:cs typeface="Arial" pitchFamily="34" charset="0"/>
          </a:endParaRPr>
        </a:p>
      </xdr:txBody>
    </xdr:sp>
    <xdr:clientData/>
  </xdr:twoCellAnchor>
  <xdr:twoCellAnchor>
    <xdr:from>
      <xdr:col>4</xdr:col>
      <xdr:colOff>28752</xdr:colOff>
      <xdr:row>12</xdr:row>
      <xdr:rowOff>128607</xdr:rowOff>
    </xdr:from>
    <xdr:to>
      <xdr:col>6</xdr:col>
      <xdr:colOff>301625</xdr:colOff>
      <xdr:row>16</xdr:row>
      <xdr:rowOff>63734</xdr:rowOff>
    </xdr:to>
    <xdr:sp macro="" textlink="">
      <xdr:nvSpPr>
        <xdr:cNvPr id="20" name="TextBox 121">
          <a:hlinkClick xmlns:r="http://schemas.openxmlformats.org/officeDocument/2006/relationships" r:id="rId14"/>
          <a:extLst>
            <a:ext uri="{FF2B5EF4-FFF2-40B4-BE49-F238E27FC236}">
              <a16:creationId xmlns:a16="http://schemas.microsoft.com/office/drawing/2014/main" id="{89333198-F2A6-461E-AC94-ADD9FDDCA587}"/>
            </a:ext>
          </a:extLst>
        </xdr:cNvPr>
        <xdr:cNvSpPr txBox="1"/>
      </xdr:nvSpPr>
      <xdr:spPr bwMode="auto">
        <a:xfrm>
          <a:off x="3229152" y="2211407"/>
          <a:ext cx="1873073" cy="6717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Seguridad y Privacidad de la Información </a:t>
          </a:r>
        </a:p>
      </xdr:txBody>
    </xdr:sp>
    <xdr:clientData/>
  </xdr:twoCellAnchor>
  <xdr:twoCellAnchor>
    <xdr:from>
      <xdr:col>1</xdr:col>
      <xdr:colOff>269938</xdr:colOff>
      <xdr:row>18</xdr:row>
      <xdr:rowOff>130481</xdr:rowOff>
    </xdr:from>
    <xdr:to>
      <xdr:col>4</xdr:col>
      <xdr:colOff>142875</xdr:colOff>
      <xdr:row>22</xdr:row>
      <xdr:rowOff>58723</xdr:rowOff>
    </xdr:to>
    <xdr:sp macro="" textlink="">
      <xdr:nvSpPr>
        <xdr:cNvPr id="21" name="TextBox 121">
          <a:hlinkClick xmlns:r="http://schemas.openxmlformats.org/officeDocument/2006/relationships" r:id="rId15"/>
          <a:extLst>
            <a:ext uri="{FF2B5EF4-FFF2-40B4-BE49-F238E27FC236}">
              <a16:creationId xmlns:a16="http://schemas.microsoft.com/office/drawing/2014/main" id="{B52E91A5-D995-4A0C-A039-C9FFEBE2725E}"/>
            </a:ext>
          </a:extLst>
        </xdr:cNvPr>
        <xdr:cNvSpPr txBox="1"/>
      </xdr:nvSpPr>
      <xdr:spPr bwMode="auto">
        <a:xfrm>
          <a:off x="1070038" y="3400731"/>
          <a:ext cx="227323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Tratamiento de Riesgos de Seguridad y Privacidad de la Información</a:t>
          </a:r>
        </a:p>
      </xdr:txBody>
    </xdr:sp>
    <xdr:clientData/>
  </xdr:twoCellAnchor>
  <xdr:twoCellAnchor>
    <xdr:from>
      <xdr:col>1</xdr:col>
      <xdr:colOff>15479</xdr:colOff>
      <xdr:row>33</xdr:row>
      <xdr:rowOff>68397</xdr:rowOff>
    </xdr:from>
    <xdr:to>
      <xdr:col>3</xdr:col>
      <xdr:colOff>145361</xdr:colOff>
      <xdr:row>36</xdr:row>
      <xdr:rowOff>180253</xdr:rowOff>
    </xdr:to>
    <xdr:sp macro="" textlink="">
      <xdr:nvSpPr>
        <xdr:cNvPr id="22" name="TextBox 121">
          <a:hlinkClick xmlns:r="http://schemas.openxmlformats.org/officeDocument/2006/relationships" r:id="rId16"/>
          <a:extLst>
            <a:ext uri="{FF2B5EF4-FFF2-40B4-BE49-F238E27FC236}">
              <a16:creationId xmlns:a16="http://schemas.microsoft.com/office/drawing/2014/main" id="{74E33CDE-2CF8-4ABB-A009-7AB97B406F9A}"/>
            </a:ext>
          </a:extLst>
        </xdr:cNvPr>
        <xdr:cNvSpPr txBox="1"/>
      </xdr:nvSpPr>
      <xdr:spPr bwMode="auto">
        <a:xfrm>
          <a:off x="815579" y="6100897"/>
          <a:ext cx="1730082"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a:t>
          </a:r>
          <a:r>
            <a:rPr lang="en-US" sz="2000" b="1" kern="0" baseline="0">
              <a:solidFill>
                <a:schemeClr val="bg1"/>
              </a:solidFill>
              <a:latin typeface="Arial" pitchFamily="34" charset="0"/>
              <a:cs typeface="Arial" pitchFamily="34" charset="0"/>
            </a:rPr>
            <a:t> de TIC</a:t>
          </a:r>
          <a:endParaRPr lang="en-US" sz="2000" b="1" kern="0">
            <a:solidFill>
              <a:schemeClr val="bg1"/>
            </a:solidFill>
            <a:latin typeface="Arial" pitchFamily="34" charset="0"/>
            <a:cs typeface="Arial" pitchFamily="34" charset="0"/>
          </a:endParaRPr>
        </a:p>
      </xdr:txBody>
    </xdr:sp>
    <xdr:clientData/>
  </xdr:twoCellAnchor>
  <xdr:twoCellAnchor>
    <xdr:from>
      <xdr:col>1</xdr:col>
      <xdr:colOff>293809</xdr:colOff>
      <xdr:row>45</xdr:row>
      <xdr:rowOff>80943</xdr:rowOff>
    </xdr:from>
    <xdr:to>
      <xdr:col>4</xdr:col>
      <xdr:colOff>382530</xdr:colOff>
      <xdr:row>49</xdr:row>
      <xdr:rowOff>9185</xdr:rowOff>
    </xdr:to>
    <xdr:sp macro="" textlink="">
      <xdr:nvSpPr>
        <xdr:cNvPr id="23" name="TextBox 121">
          <a:hlinkClick xmlns:r="http://schemas.openxmlformats.org/officeDocument/2006/relationships" r:id="rId17"/>
          <a:extLst>
            <a:ext uri="{FF2B5EF4-FFF2-40B4-BE49-F238E27FC236}">
              <a16:creationId xmlns:a16="http://schemas.microsoft.com/office/drawing/2014/main" id="{0D908F98-96FD-405F-ABB9-D1B06F9EAC43}"/>
            </a:ext>
          </a:extLst>
        </xdr:cNvPr>
        <xdr:cNvSpPr txBox="1"/>
      </xdr:nvSpPr>
      <xdr:spPr bwMode="auto">
        <a:xfrm>
          <a:off x="1093909" y="8323243"/>
          <a:ext cx="2489021"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Anticorrupción</a:t>
          </a:r>
          <a:r>
            <a:rPr lang="en-US" sz="2000" b="1" kern="0" baseline="0">
              <a:solidFill>
                <a:schemeClr val="bg1"/>
              </a:solidFill>
              <a:latin typeface="Arial" pitchFamily="34" charset="0"/>
              <a:cs typeface="Arial" pitchFamily="34" charset="0"/>
            </a:rPr>
            <a:t> y de Atención al Ciudadano</a:t>
          </a:r>
          <a:endParaRPr lang="en-US" sz="2000" b="1" kern="0">
            <a:solidFill>
              <a:schemeClr val="bg1"/>
            </a:solidFill>
            <a:latin typeface="Arial" pitchFamily="34" charset="0"/>
            <a:cs typeface="Arial" pitchFamily="34" charset="0"/>
          </a:endParaRPr>
        </a:p>
      </xdr:txBody>
    </xdr:sp>
    <xdr:clientData/>
  </xdr:twoCellAnchor>
  <xdr:twoCellAnchor>
    <xdr:from>
      <xdr:col>2</xdr:col>
      <xdr:colOff>53222</xdr:colOff>
      <xdr:row>58</xdr:row>
      <xdr:rowOff>60898</xdr:rowOff>
    </xdr:from>
    <xdr:to>
      <xdr:col>5</xdr:col>
      <xdr:colOff>137711</xdr:colOff>
      <xdr:row>61</xdr:row>
      <xdr:rowOff>172754</xdr:rowOff>
    </xdr:to>
    <xdr:sp macro="" textlink="">
      <xdr:nvSpPr>
        <xdr:cNvPr id="24" name="TextBox 121">
          <a:hlinkClick xmlns:r="http://schemas.openxmlformats.org/officeDocument/2006/relationships" r:id="rId18"/>
          <a:extLst>
            <a:ext uri="{FF2B5EF4-FFF2-40B4-BE49-F238E27FC236}">
              <a16:creationId xmlns:a16="http://schemas.microsoft.com/office/drawing/2014/main" id="{B28EBEF5-0C7D-4E3D-BB8E-59D2E7F68C7E}"/>
            </a:ext>
          </a:extLst>
        </xdr:cNvPr>
        <xdr:cNvSpPr txBox="1"/>
      </xdr:nvSpPr>
      <xdr:spPr bwMode="auto">
        <a:xfrm>
          <a:off x="1653422" y="10512998"/>
          <a:ext cx="2484789"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Trabajo Anual en Seguridad y Salud en el Trabajo</a:t>
          </a:r>
        </a:p>
      </xdr:txBody>
    </xdr:sp>
    <xdr:clientData/>
  </xdr:twoCellAnchor>
  <xdr:twoCellAnchor>
    <xdr:from>
      <xdr:col>8</xdr:col>
      <xdr:colOff>97239</xdr:colOff>
      <xdr:row>63</xdr:row>
      <xdr:rowOff>69366</xdr:rowOff>
    </xdr:from>
    <xdr:to>
      <xdr:col>10</xdr:col>
      <xdr:colOff>596746</xdr:colOff>
      <xdr:row>66</xdr:row>
      <xdr:rowOff>181223</xdr:rowOff>
    </xdr:to>
    <xdr:sp macro="" textlink="">
      <xdr:nvSpPr>
        <xdr:cNvPr id="25" name="TextBox 121">
          <a:hlinkClick xmlns:r="http://schemas.openxmlformats.org/officeDocument/2006/relationships" r:id="rId10"/>
          <a:extLst>
            <a:ext uri="{FF2B5EF4-FFF2-40B4-BE49-F238E27FC236}">
              <a16:creationId xmlns:a16="http://schemas.microsoft.com/office/drawing/2014/main" id="{5C1D70C8-D4EA-4D39-90DE-BC5B79765C71}"/>
            </a:ext>
          </a:extLst>
        </xdr:cNvPr>
        <xdr:cNvSpPr txBox="1"/>
      </xdr:nvSpPr>
      <xdr:spPr bwMode="auto">
        <a:xfrm>
          <a:off x="6498039" y="11442216"/>
          <a:ext cx="2099707" cy="66430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Institucional de Capacitación</a:t>
          </a:r>
        </a:p>
      </xdr:txBody>
    </xdr:sp>
    <xdr:clientData/>
  </xdr:twoCellAnchor>
  <xdr:twoCellAnchor>
    <xdr:from>
      <xdr:col>10</xdr:col>
      <xdr:colOff>653539</xdr:colOff>
      <xdr:row>57</xdr:row>
      <xdr:rowOff>122411</xdr:rowOff>
    </xdr:from>
    <xdr:to>
      <xdr:col>13</xdr:col>
      <xdr:colOff>84157</xdr:colOff>
      <xdr:row>61</xdr:row>
      <xdr:rowOff>57539</xdr:rowOff>
    </xdr:to>
    <xdr:sp macro="" textlink="">
      <xdr:nvSpPr>
        <xdr:cNvPr id="26" name="TextBox 121">
          <a:hlinkClick xmlns:r="http://schemas.openxmlformats.org/officeDocument/2006/relationships" r:id="rId19"/>
          <a:extLst>
            <a:ext uri="{FF2B5EF4-FFF2-40B4-BE49-F238E27FC236}">
              <a16:creationId xmlns:a16="http://schemas.microsoft.com/office/drawing/2014/main" id="{1FD9D5D9-5E8D-455E-B830-42E0E54F6B2F}"/>
            </a:ext>
          </a:extLst>
        </xdr:cNvPr>
        <xdr:cNvSpPr txBox="1"/>
      </xdr:nvSpPr>
      <xdr:spPr bwMode="auto">
        <a:xfrm>
          <a:off x="8654539" y="10390361"/>
          <a:ext cx="1830918"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 de Talento</a:t>
          </a:r>
          <a:r>
            <a:rPr lang="en-US" sz="2000" b="1" kern="0" baseline="0">
              <a:solidFill>
                <a:schemeClr val="bg1"/>
              </a:solidFill>
              <a:latin typeface="Arial" pitchFamily="34" charset="0"/>
              <a:cs typeface="Arial" pitchFamily="34" charset="0"/>
            </a:rPr>
            <a:t> Humano</a:t>
          </a:r>
          <a:endParaRPr lang="en-US" sz="2000" b="1" kern="0">
            <a:solidFill>
              <a:schemeClr val="bg1"/>
            </a:solidFill>
            <a:latin typeface="Arial" pitchFamily="34" charset="0"/>
            <a:cs typeface="Arial" pitchFamily="34" charset="0"/>
          </a:endParaRPr>
        </a:p>
      </xdr:txBody>
    </xdr:sp>
    <xdr:clientData/>
  </xdr:twoCellAnchor>
  <xdr:twoCellAnchor>
    <xdr:from>
      <xdr:col>11</xdr:col>
      <xdr:colOff>657364</xdr:colOff>
      <xdr:row>45</xdr:row>
      <xdr:rowOff>183155</xdr:rowOff>
    </xdr:from>
    <xdr:to>
      <xdr:col>14</xdr:col>
      <xdr:colOff>657951</xdr:colOff>
      <xdr:row>49</xdr:row>
      <xdr:rowOff>111397</xdr:rowOff>
    </xdr:to>
    <xdr:sp macro="" textlink="">
      <xdr:nvSpPr>
        <xdr:cNvPr id="27" name="TextBox 121">
          <a:extLst>
            <a:ext uri="{FF2B5EF4-FFF2-40B4-BE49-F238E27FC236}">
              <a16:creationId xmlns:a16="http://schemas.microsoft.com/office/drawing/2014/main" id="{3189B46D-63E1-4FE2-A569-21C688DAF7EA}"/>
            </a:ext>
          </a:extLst>
        </xdr:cNvPr>
        <xdr:cNvSpPr txBox="1"/>
      </xdr:nvSpPr>
      <xdr:spPr bwMode="auto">
        <a:xfrm>
          <a:off x="9458464" y="8425455"/>
          <a:ext cx="240088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Previsión de Recursos Humanos</a:t>
          </a:r>
        </a:p>
      </xdr:txBody>
    </xdr:sp>
    <xdr:clientData/>
  </xdr:twoCellAnchor>
  <xdr:twoCellAnchor>
    <xdr:from>
      <xdr:col>12</xdr:col>
      <xdr:colOff>704493</xdr:colOff>
      <xdr:row>33</xdr:row>
      <xdr:rowOff>94103</xdr:rowOff>
    </xdr:from>
    <xdr:to>
      <xdr:col>15</xdr:col>
      <xdr:colOff>30603</xdr:colOff>
      <xdr:row>37</xdr:row>
      <xdr:rowOff>29231</xdr:rowOff>
    </xdr:to>
    <xdr:sp macro="" textlink="">
      <xdr:nvSpPr>
        <xdr:cNvPr id="28" name="TextBox 121">
          <a:extLst>
            <a:ext uri="{FF2B5EF4-FFF2-40B4-BE49-F238E27FC236}">
              <a16:creationId xmlns:a16="http://schemas.microsoft.com/office/drawing/2014/main" id="{A9399857-C8C8-4DB0-B478-2D861BD1545D}"/>
            </a:ext>
          </a:extLst>
        </xdr:cNvPr>
        <xdr:cNvSpPr txBox="1"/>
      </xdr:nvSpPr>
      <xdr:spPr bwMode="auto">
        <a:xfrm>
          <a:off x="10305693" y="6126603"/>
          <a:ext cx="1726410"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 de Vacantes</a:t>
          </a:r>
        </a:p>
      </xdr:txBody>
    </xdr:sp>
    <xdr:clientData/>
  </xdr:twoCellAnchor>
  <xdr:twoCellAnchor>
    <xdr:from>
      <xdr:col>12</xdr:col>
      <xdr:colOff>111418</xdr:colOff>
      <xdr:row>20</xdr:row>
      <xdr:rowOff>139700</xdr:rowOff>
    </xdr:from>
    <xdr:to>
      <xdr:col>14</xdr:col>
      <xdr:colOff>451385</xdr:colOff>
      <xdr:row>24</xdr:row>
      <xdr:rowOff>67942</xdr:rowOff>
    </xdr:to>
    <xdr:sp macro="" textlink="">
      <xdr:nvSpPr>
        <xdr:cNvPr id="29" name="TextBox 121">
          <a:hlinkClick xmlns:r="http://schemas.openxmlformats.org/officeDocument/2006/relationships" r:id="rId20"/>
          <a:extLst>
            <a:ext uri="{FF2B5EF4-FFF2-40B4-BE49-F238E27FC236}">
              <a16:creationId xmlns:a16="http://schemas.microsoft.com/office/drawing/2014/main" id="{3149C6FC-E61A-48E1-ABCD-16BA63C1A737}"/>
            </a:ext>
          </a:extLst>
        </xdr:cNvPr>
        <xdr:cNvSpPr txBox="1"/>
      </xdr:nvSpPr>
      <xdr:spPr bwMode="auto">
        <a:xfrm>
          <a:off x="9712618" y="3778250"/>
          <a:ext cx="194016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a:t>
          </a:r>
          <a:r>
            <a:rPr lang="en-US" sz="2000" b="1" kern="0" baseline="0">
              <a:solidFill>
                <a:schemeClr val="bg1"/>
              </a:solidFill>
              <a:latin typeface="Arial" pitchFamily="34" charset="0"/>
              <a:cs typeface="Arial" pitchFamily="34" charset="0"/>
            </a:rPr>
            <a:t> de Adquisiciones</a:t>
          </a:r>
          <a:endParaRPr lang="en-US" sz="2000" b="1" kern="0">
            <a:solidFill>
              <a:schemeClr val="bg1"/>
            </a:solidFill>
            <a:latin typeface="Arial" pitchFamily="34" charset="0"/>
            <a:cs typeface="Arial" pitchFamily="34" charset="0"/>
          </a:endParaRPr>
        </a:p>
      </xdr:txBody>
    </xdr:sp>
    <xdr:clientData/>
  </xdr:twoCellAnchor>
  <xdr:twoCellAnchor>
    <xdr:from>
      <xdr:col>10</xdr:col>
      <xdr:colOff>320008</xdr:colOff>
      <xdr:row>12</xdr:row>
      <xdr:rowOff>127000</xdr:rowOff>
    </xdr:from>
    <xdr:to>
      <xdr:col>11</xdr:col>
      <xdr:colOff>464882</xdr:colOff>
      <xdr:row>12</xdr:row>
      <xdr:rowOff>127000</xdr:rowOff>
    </xdr:to>
    <xdr:cxnSp macro="">
      <xdr:nvCxnSpPr>
        <xdr:cNvPr id="30" name="Straight Connector 72">
          <a:extLst>
            <a:ext uri="{FF2B5EF4-FFF2-40B4-BE49-F238E27FC236}">
              <a16:creationId xmlns:a16="http://schemas.microsoft.com/office/drawing/2014/main" id="{CCCEC601-2385-476A-A5B5-3C2E23B20A79}"/>
            </a:ext>
          </a:extLst>
        </xdr:cNvPr>
        <xdr:cNvCxnSpPr/>
      </xdr:nvCxnSpPr>
      <xdr:spPr bwMode="auto">
        <a:xfrm>
          <a:off x="8321008" y="22098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635059</xdr:colOff>
      <xdr:row>20</xdr:row>
      <xdr:rowOff>112004</xdr:rowOff>
    </xdr:from>
    <xdr:to>
      <xdr:col>13</xdr:col>
      <xdr:colOff>779933</xdr:colOff>
      <xdr:row>20</xdr:row>
      <xdr:rowOff>112004</xdr:rowOff>
    </xdr:to>
    <xdr:cxnSp macro="">
      <xdr:nvCxnSpPr>
        <xdr:cNvPr id="31" name="Straight Connector 72">
          <a:extLst>
            <a:ext uri="{FF2B5EF4-FFF2-40B4-BE49-F238E27FC236}">
              <a16:creationId xmlns:a16="http://schemas.microsoft.com/office/drawing/2014/main" id="{81BC54EE-21C3-420E-A7F4-44E1B77773F6}"/>
            </a:ext>
          </a:extLst>
        </xdr:cNvPr>
        <xdr:cNvCxnSpPr/>
      </xdr:nvCxnSpPr>
      <xdr:spPr bwMode="auto">
        <a:xfrm>
          <a:off x="10236259" y="3750554"/>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279460</xdr:colOff>
      <xdr:row>33</xdr:row>
      <xdr:rowOff>66255</xdr:rowOff>
    </xdr:from>
    <xdr:to>
      <xdr:col>14</xdr:col>
      <xdr:colOff>424334</xdr:colOff>
      <xdr:row>33</xdr:row>
      <xdr:rowOff>66255</xdr:rowOff>
    </xdr:to>
    <xdr:cxnSp macro="">
      <xdr:nvCxnSpPr>
        <xdr:cNvPr id="32" name="Straight Connector 72">
          <a:extLst>
            <a:ext uri="{FF2B5EF4-FFF2-40B4-BE49-F238E27FC236}">
              <a16:creationId xmlns:a16="http://schemas.microsoft.com/office/drawing/2014/main" id="{8A293E83-ABB1-44C9-9910-C4A8569E68ED}"/>
            </a:ext>
          </a:extLst>
        </xdr:cNvPr>
        <xdr:cNvCxnSpPr/>
      </xdr:nvCxnSpPr>
      <xdr:spPr bwMode="auto">
        <a:xfrm>
          <a:off x="10680760" y="6098755"/>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563910</xdr:colOff>
      <xdr:row>45</xdr:row>
      <xdr:rowOff>145056</xdr:rowOff>
    </xdr:from>
    <xdr:to>
      <xdr:col>13</xdr:col>
      <xdr:colOff>708784</xdr:colOff>
      <xdr:row>45</xdr:row>
      <xdr:rowOff>145056</xdr:rowOff>
    </xdr:to>
    <xdr:cxnSp macro="">
      <xdr:nvCxnSpPr>
        <xdr:cNvPr id="33" name="Straight Connector 72">
          <a:extLst>
            <a:ext uri="{FF2B5EF4-FFF2-40B4-BE49-F238E27FC236}">
              <a16:creationId xmlns:a16="http://schemas.microsoft.com/office/drawing/2014/main" id="{0490C54C-C791-4CA2-BC7D-4ADC45B9B222}"/>
            </a:ext>
          </a:extLst>
        </xdr:cNvPr>
        <xdr:cNvCxnSpPr/>
      </xdr:nvCxnSpPr>
      <xdr:spPr bwMode="auto">
        <a:xfrm>
          <a:off x="10165110" y="8387356"/>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273440</xdr:colOff>
      <xdr:row>57</xdr:row>
      <xdr:rowOff>97367</xdr:rowOff>
    </xdr:from>
    <xdr:to>
      <xdr:col>12</xdr:col>
      <xdr:colOff>418315</xdr:colOff>
      <xdr:row>57</xdr:row>
      <xdr:rowOff>97367</xdr:rowOff>
    </xdr:to>
    <xdr:cxnSp macro="">
      <xdr:nvCxnSpPr>
        <xdr:cNvPr id="34" name="Straight Connector 72">
          <a:hlinkClick xmlns:r="http://schemas.openxmlformats.org/officeDocument/2006/relationships" r:id="rId3"/>
          <a:extLst>
            <a:ext uri="{FF2B5EF4-FFF2-40B4-BE49-F238E27FC236}">
              <a16:creationId xmlns:a16="http://schemas.microsoft.com/office/drawing/2014/main" id="{606E8EED-56B8-44A0-A61E-83EF1DB1F1FB}"/>
            </a:ext>
          </a:extLst>
        </xdr:cNvPr>
        <xdr:cNvCxnSpPr/>
      </xdr:nvCxnSpPr>
      <xdr:spPr bwMode="auto">
        <a:xfrm>
          <a:off x="9074540" y="10365317"/>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671170</xdr:colOff>
      <xdr:row>63</xdr:row>
      <xdr:rowOff>65438</xdr:rowOff>
    </xdr:from>
    <xdr:to>
      <xdr:col>10</xdr:col>
      <xdr:colOff>12731</xdr:colOff>
      <xdr:row>63</xdr:row>
      <xdr:rowOff>65438</xdr:rowOff>
    </xdr:to>
    <xdr:cxnSp macro="">
      <xdr:nvCxnSpPr>
        <xdr:cNvPr id="35" name="Straight Connector 72">
          <a:hlinkClick xmlns:r="http://schemas.openxmlformats.org/officeDocument/2006/relationships" r:id="rId21"/>
          <a:extLst>
            <a:ext uri="{FF2B5EF4-FFF2-40B4-BE49-F238E27FC236}">
              <a16:creationId xmlns:a16="http://schemas.microsoft.com/office/drawing/2014/main" id="{80BBC437-857D-419F-AB0B-609BD1B0E27A}"/>
            </a:ext>
          </a:extLst>
        </xdr:cNvPr>
        <xdr:cNvCxnSpPr/>
      </xdr:nvCxnSpPr>
      <xdr:spPr bwMode="auto">
        <a:xfrm>
          <a:off x="7071970" y="11438288"/>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13932</xdr:colOff>
      <xdr:row>58</xdr:row>
      <xdr:rowOff>52433</xdr:rowOff>
    </xdr:from>
    <xdr:to>
      <xdr:col>4</xdr:col>
      <xdr:colOff>158807</xdr:colOff>
      <xdr:row>58</xdr:row>
      <xdr:rowOff>52433</xdr:rowOff>
    </xdr:to>
    <xdr:cxnSp macro="">
      <xdr:nvCxnSpPr>
        <xdr:cNvPr id="36" name="Straight Connector 72">
          <a:extLst>
            <a:ext uri="{FF2B5EF4-FFF2-40B4-BE49-F238E27FC236}">
              <a16:creationId xmlns:a16="http://schemas.microsoft.com/office/drawing/2014/main" id="{B9A49C02-5109-4448-9EC4-94E419E51D9C}"/>
            </a:ext>
          </a:extLst>
        </xdr:cNvPr>
        <xdr:cNvCxnSpPr/>
      </xdr:nvCxnSpPr>
      <xdr:spPr bwMode="auto">
        <a:xfrm>
          <a:off x="2414232" y="10504533"/>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269208</xdr:colOff>
      <xdr:row>45</xdr:row>
      <xdr:rowOff>38100</xdr:rowOff>
    </xdr:from>
    <xdr:to>
      <xdr:col>3</xdr:col>
      <xdr:colOff>414082</xdr:colOff>
      <xdr:row>45</xdr:row>
      <xdr:rowOff>38100</xdr:rowOff>
    </xdr:to>
    <xdr:cxnSp macro="">
      <xdr:nvCxnSpPr>
        <xdr:cNvPr id="37" name="Straight Connector 72">
          <a:extLst>
            <a:ext uri="{FF2B5EF4-FFF2-40B4-BE49-F238E27FC236}">
              <a16:creationId xmlns:a16="http://schemas.microsoft.com/office/drawing/2014/main" id="{C12A331E-73F5-4028-BD7C-246C433E3569}"/>
            </a:ext>
          </a:extLst>
        </xdr:cNvPr>
        <xdr:cNvCxnSpPr/>
      </xdr:nvCxnSpPr>
      <xdr:spPr bwMode="auto">
        <a:xfrm>
          <a:off x="1869408" y="8280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383508</xdr:colOff>
      <xdr:row>33</xdr:row>
      <xdr:rowOff>81402</xdr:rowOff>
    </xdr:from>
    <xdr:to>
      <xdr:col>2</xdr:col>
      <xdr:colOff>528382</xdr:colOff>
      <xdr:row>33</xdr:row>
      <xdr:rowOff>81402</xdr:rowOff>
    </xdr:to>
    <xdr:cxnSp macro="">
      <xdr:nvCxnSpPr>
        <xdr:cNvPr id="38" name="Straight Connector 72">
          <a:extLst>
            <a:ext uri="{FF2B5EF4-FFF2-40B4-BE49-F238E27FC236}">
              <a16:creationId xmlns:a16="http://schemas.microsoft.com/office/drawing/2014/main" id="{F0A6AD4C-BE0F-4D20-BDD7-A23CCBC5ABBD}"/>
            </a:ext>
          </a:extLst>
        </xdr:cNvPr>
        <xdr:cNvCxnSpPr/>
      </xdr:nvCxnSpPr>
      <xdr:spPr bwMode="auto">
        <a:xfrm>
          <a:off x="1183608" y="6113902"/>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139913</xdr:colOff>
      <xdr:row>18</xdr:row>
      <xdr:rowOff>158061</xdr:rowOff>
    </xdr:from>
    <xdr:to>
      <xdr:col>3</xdr:col>
      <xdr:colOff>284787</xdr:colOff>
      <xdr:row>18</xdr:row>
      <xdr:rowOff>158061</xdr:rowOff>
    </xdr:to>
    <xdr:cxnSp macro="">
      <xdr:nvCxnSpPr>
        <xdr:cNvPr id="39" name="Straight Connector 72">
          <a:extLst>
            <a:ext uri="{FF2B5EF4-FFF2-40B4-BE49-F238E27FC236}">
              <a16:creationId xmlns:a16="http://schemas.microsoft.com/office/drawing/2014/main" id="{818B5299-32D8-4BC8-ADD3-18CFD2C78583}"/>
            </a:ext>
          </a:extLst>
        </xdr:cNvPr>
        <xdr:cNvCxnSpPr/>
      </xdr:nvCxnSpPr>
      <xdr:spPr bwMode="auto">
        <a:xfrm>
          <a:off x="1740113" y="3428311"/>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510508</xdr:colOff>
      <xdr:row>12</xdr:row>
      <xdr:rowOff>101600</xdr:rowOff>
    </xdr:from>
    <xdr:to>
      <xdr:col>5</xdr:col>
      <xdr:colOff>655382</xdr:colOff>
      <xdr:row>12</xdr:row>
      <xdr:rowOff>101600</xdr:rowOff>
    </xdr:to>
    <xdr:cxnSp macro="">
      <xdr:nvCxnSpPr>
        <xdr:cNvPr id="40" name="Straight Connector 72">
          <a:extLst>
            <a:ext uri="{FF2B5EF4-FFF2-40B4-BE49-F238E27FC236}">
              <a16:creationId xmlns:a16="http://schemas.microsoft.com/office/drawing/2014/main" id="{40E061D6-56BC-48B9-A05A-EC9601BCC36E}"/>
            </a:ext>
          </a:extLst>
        </xdr:cNvPr>
        <xdr:cNvCxnSpPr/>
      </xdr:nvCxnSpPr>
      <xdr:spPr bwMode="auto">
        <a:xfrm>
          <a:off x="3710908" y="2184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452652</xdr:colOff>
      <xdr:row>9</xdr:row>
      <xdr:rowOff>2114</xdr:rowOff>
    </xdr:from>
    <xdr:to>
      <xdr:col>11</xdr:col>
      <xdr:colOff>520699</xdr:colOff>
      <xdr:row>11</xdr:row>
      <xdr:rowOff>127000</xdr:rowOff>
    </xdr:to>
    <xdr:sp macro="" textlink="">
      <xdr:nvSpPr>
        <xdr:cNvPr id="41" name="TextBox 70">
          <a:hlinkClick xmlns:r="http://schemas.openxmlformats.org/officeDocument/2006/relationships" r:id="rId22"/>
          <a:extLst>
            <a:ext uri="{FF2B5EF4-FFF2-40B4-BE49-F238E27FC236}">
              <a16:creationId xmlns:a16="http://schemas.microsoft.com/office/drawing/2014/main" id="{341B029E-6DBC-4D61-A962-7AA2BBF5D6D2}"/>
            </a:ext>
          </a:extLst>
        </xdr:cNvPr>
        <xdr:cNvSpPr txBox="1"/>
      </xdr:nvSpPr>
      <xdr:spPr bwMode="auto">
        <a:xfrm>
          <a:off x="8453652" y="15324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02</a:t>
          </a:r>
        </a:p>
      </xdr:txBody>
    </xdr:sp>
    <xdr:clientData/>
  </xdr:twoCellAnchor>
  <xdr:twoCellAnchor>
    <xdr:from>
      <xdr:col>12</xdr:col>
      <xdr:colOff>691350</xdr:colOff>
      <xdr:row>17</xdr:row>
      <xdr:rowOff>75866</xdr:rowOff>
    </xdr:from>
    <xdr:to>
      <xdr:col>13</xdr:col>
      <xdr:colOff>759397</xdr:colOff>
      <xdr:row>19</xdr:row>
      <xdr:rowOff>124552</xdr:rowOff>
    </xdr:to>
    <xdr:sp macro="" textlink="">
      <xdr:nvSpPr>
        <xdr:cNvPr id="42" name="TextBox 70">
          <a:hlinkClick xmlns:r="http://schemas.openxmlformats.org/officeDocument/2006/relationships" r:id="rId7"/>
          <a:extLst>
            <a:ext uri="{FF2B5EF4-FFF2-40B4-BE49-F238E27FC236}">
              <a16:creationId xmlns:a16="http://schemas.microsoft.com/office/drawing/2014/main" id="{A3639515-CEC7-41CF-B2DF-8CBB65F79738}"/>
            </a:ext>
          </a:extLst>
        </xdr:cNvPr>
        <xdr:cNvSpPr txBox="1"/>
      </xdr:nvSpPr>
      <xdr:spPr bwMode="auto">
        <a:xfrm>
          <a:off x="10292550" y="3079416"/>
          <a:ext cx="868147" cy="4995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03</a:t>
          </a:r>
        </a:p>
      </xdr:txBody>
    </xdr:sp>
    <xdr:clientData/>
  </xdr:twoCellAnchor>
  <xdr:twoCellAnchor>
    <xdr:from>
      <xdr:col>13</xdr:col>
      <xdr:colOff>363752</xdr:colOff>
      <xdr:row>29</xdr:row>
      <xdr:rowOff>141814</xdr:rowOff>
    </xdr:from>
    <xdr:to>
      <xdr:col>14</xdr:col>
      <xdr:colOff>431799</xdr:colOff>
      <xdr:row>32</xdr:row>
      <xdr:rowOff>76200</xdr:rowOff>
    </xdr:to>
    <xdr:sp macro="" textlink="">
      <xdr:nvSpPr>
        <xdr:cNvPr id="43" name="TextBox 70">
          <a:extLst>
            <a:ext uri="{FF2B5EF4-FFF2-40B4-BE49-F238E27FC236}">
              <a16:creationId xmlns:a16="http://schemas.microsoft.com/office/drawing/2014/main" id="{181AC67D-DDC1-4065-B9A1-CE5D6275B83A}"/>
            </a:ext>
          </a:extLst>
        </xdr:cNvPr>
        <xdr:cNvSpPr txBox="1"/>
      </xdr:nvSpPr>
      <xdr:spPr bwMode="auto">
        <a:xfrm>
          <a:off x="10765052" y="54377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04</a:t>
          </a:r>
        </a:p>
      </xdr:txBody>
    </xdr:sp>
    <xdr:clientData/>
  </xdr:twoCellAnchor>
  <xdr:twoCellAnchor>
    <xdr:from>
      <xdr:col>12</xdr:col>
      <xdr:colOff>656006</xdr:colOff>
      <xdr:row>42</xdr:row>
      <xdr:rowOff>11600</xdr:rowOff>
    </xdr:from>
    <xdr:to>
      <xdr:col>13</xdr:col>
      <xdr:colOff>724053</xdr:colOff>
      <xdr:row>44</xdr:row>
      <xdr:rowOff>129601</xdr:rowOff>
    </xdr:to>
    <xdr:sp macro="" textlink="">
      <xdr:nvSpPr>
        <xdr:cNvPr id="44" name="TextBox 70">
          <a:extLst>
            <a:ext uri="{FF2B5EF4-FFF2-40B4-BE49-F238E27FC236}">
              <a16:creationId xmlns:a16="http://schemas.microsoft.com/office/drawing/2014/main" id="{BC824233-6387-4538-92FB-CE5EA71053D1}"/>
            </a:ext>
          </a:extLst>
        </xdr:cNvPr>
        <xdr:cNvSpPr txBox="1"/>
      </xdr:nvSpPr>
      <xdr:spPr bwMode="auto">
        <a:xfrm>
          <a:off x="10257206" y="7701450"/>
          <a:ext cx="868147" cy="486301"/>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05</a:t>
          </a:r>
        </a:p>
      </xdr:txBody>
    </xdr:sp>
    <xdr:clientData/>
  </xdr:twoCellAnchor>
  <xdr:twoCellAnchor>
    <xdr:from>
      <xdr:col>11</xdr:col>
      <xdr:colOff>376452</xdr:colOff>
      <xdr:row>53</xdr:row>
      <xdr:rowOff>14814</xdr:rowOff>
    </xdr:from>
    <xdr:to>
      <xdr:col>12</xdr:col>
      <xdr:colOff>444500</xdr:colOff>
      <xdr:row>55</xdr:row>
      <xdr:rowOff>139700</xdr:rowOff>
    </xdr:to>
    <xdr:sp macro="" textlink="">
      <xdr:nvSpPr>
        <xdr:cNvPr id="45" name="TextBox 70">
          <a:hlinkClick xmlns:r="http://schemas.openxmlformats.org/officeDocument/2006/relationships" r:id="rId3"/>
          <a:extLst>
            <a:ext uri="{FF2B5EF4-FFF2-40B4-BE49-F238E27FC236}">
              <a16:creationId xmlns:a16="http://schemas.microsoft.com/office/drawing/2014/main" id="{86366A9C-615E-453B-A33C-E82FF01AE139}"/>
            </a:ext>
          </a:extLst>
        </xdr:cNvPr>
        <xdr:cNvSpPr txBox="1"/>
      </xdr:nvSpPr>
      <xdr:spPr bwMode="auto">
        <a:xfrm>
          <a:off x="9177552" y="9730314"/>
          <a:ext cx="868148"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06</a:t>
          </a:r>
        </a:p>
      </xdr:txBody>
    </xdr:sp>
    <xdr:clientData/>
  </xdr:twoCellAnchor>
  <xdr:twoCellAnchor>
    <xdr:from>
      <xdr:col>8</xdr:col>
      <xdr:colOff>773211</xdr:colOff>
      <xdr:row>59</xdr:row>
      <xdr:rowOff>148802</xdr:rowOff>
    </xdr:from>
    <xdr:to>
      <xdr:col>10</xdr:col>
      <xdr:colOff>37945</xdr:colOff>
      <xdr:row>62</xdr:row>
      <xdr:rowOff>83188</xdr:rowOff>
    </xdr:to>
    <xdr:sp macro="" textlink="">
      <xdr:nvSpPr>
        <xdr:cNvPr id="46" name="TextBox 70">
          <a:hlinkClick xmlns:r="http://schemas.openxmlformats.org/officeDocument/2006/relationships" r:id="rId6"/>
          <a:extLst>
            <a:ext uri="{FF2B5EF4-FFF2-40B4-BE49-F238E27FC236}">
              <a16:creationId xmlns:a16="http://schemas.microsoft.com/office/drawing/2014/main" id="{B3C463E3-7C2E-41A9-8C63-1BA00A3B76CB}"/>
            </a:ext>
          </a:extLst>
        </xdr:cNvPr>
        <xdr:cNvSpPr txBox="1"/>
      </xdr:nvSpPr>
      <xdr:spPr bwMode="auto">
        <a:xfrm>
          <a:off x="7174011" y="10785052"/>
          <a:ext cx="864934"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07</a:t>
          </a:r>
        </a:p>
      </xdr:txBody>
    </xdr:sp>
    <xdr:clientData/>
  </xdr:twoCellAnchor>
  <xdr:twoCellAnchor>
    <xdr:from>
      <xdr:col>3</xdr:col>
      <xdr:colOff>87004</xdr:colOff>
      <xdr:row>53</xdr:row>
      <xdr:rowOff>129929</xdr:rowOff>
    </xdr:from>
    <xdr:to>
      <xdr:col>4</xdr:col>
      <xdr:colOff>155052</xdr:colOff>
      <xdr:row>57</xdr:row>
      <xdr:rowOff>64315</xdr:rowOff>
    </xdr:to>
    <xdr:sp macro="" textlink="">
      <xdr:nvSpPr>
        <xdr:cNvPr id="47" name="TextBox 70">
          <a:hlinkClick xmlns:r="http://schemas.openxmlformats.org/officeDocument/2006/relationships" r:id="rId4"/>
          <a:extLst>
            <a:ext uri="{FF2B5EF4-FFF2-40B4-BE49-F238E27FC236}">
              <a16:creationId xmlns:a16="http://schemas.microsoft.com/office/drawing/2014/main" id="{C55283A3-A00C-408F-AF76-8958C1CA2C38}"/>
            </a:ext>
          </a:extLst>
        </xdr:cNvPr>
        <xdr:cNvSpPr txBox="1"/>
      </xdr:nvSpPr>
      <xdr:spPr bwMode="auto">
        <a:xfrm>
          <a:off x="2487304" y="9845429"/>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09</a:t>
          </a:r>
        </a:p>
      </xdr:txBody>
    </xdr:sp>
    <xdr:clientData/>
  </xdr:twoCellAnchor>
  <xdr:twoCellAnchor>
    <xdr:from>
      <xdr:col>2</xdr:col>
      <xdr:colOff>376452</xdr:colOff>
      <xdr:row>41</xdr:row>
      <xdr:rowOff>116414</xdr:rowOff>
    </xdr:from>
    <xdr:to>
      <xdr:col>3</xdr:col>
      <xdr:colOff>444499</xdr:colOff>
      <xdr:row>44</xdr:row>
      <xdr:rowOff>50800</xdr:rowOff>
    </xdr:to>
    <xdr:sp macro="" textlink="">
      <xdr:nvSpPr>
        <xdr:cNvPr id="48" name="TextBox 70">
          <a:hlinkClick xmlns:r="http://schemas.openxmlformats.org/officeDocument/2006/relationships" r:id="rId9"/>
          <a:extLst>
            <a:ext uri="{FF2B5EF4-FFF2-40B4-BE49-F238E27FC236}">
              <a16:creationId xmlns:a16="http://schemas.microsoft.com/office/drawing/2014/main" id="{38D98A97-9384-4EC6-9926-682AD1459CF5}"/>
            </a:ext>
          </a:extLst>
        </xdr:cNvPr>
        <xdr:cNvSpPr txBox="1"/>
      </xdr:nvSpPr>
      <xdr:spPr bwMode="auto">
        <a:xfrm>
          <a:off x="1976652" y="76221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10</a:t>
          </a:r>
        </a:p>
      </xdr:txBody>
    </xdr:sp>
    <xdr:clientData/>
  </xdr:twoCellAnchor>
  <xdr:twoCellAnchor>
    <xdr:from>
      <xdr:col>1</xdr:col>
      <xdr:colOff>503452</xdr:colOff>
      <xdr:row>30</xdr:row>
      <xdr:rowOff>2114</xdr:rowOff>
    </xdr:from>
    <xdr:to>
      <xdr:col>2</xdr:col>
      <xdr:colOff>571499</xdr:colOff>
      <xdr:row>32</xdr:row>
      <xdr:rowOff>127000</xdr:rowOff>
    </xdr:to>
    <xdr:sp macro="" textlink="">
      <xdr:nvSpPr>
        <xdr:cNvPr id="49" name="TextBox 70">
          <a:hlinkClick xmlns:r="http://schemas.openxmlformats.org/officeDocument/2006/relationships" r:id="rId6"/>
          <a:extLst>
            <a:ext uri="{FF2B5EF4-FFF2-40B4-BE49-F238E27FC236}">
              <a16:creationId xmlns:a16="http://schemas.microsoft.com/office/drawing/2014/main" id="{E7128238-132C-486E-BF5B-ED9C63ED8362}"/>
            </a:ext>
          </a:extLst>
        </xdr:cNvPr>
        <xdr:cNvSpPr txBox="1"/>
      </xdr:nvSpPr>
      <xdr:spPr bwMode="auto">
        <a:xfrm>
          <a:off x="1303552" y="54821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11</a:t>
          </a:r>
        </a:p>
      </xdr:txBody>
    </xdr:sp>
    <xdr:clientData/>
  </xdr:twoCellAnchor>
  <xdr:twoCellAnchor>
    <xdr:from>
      <xdr:col>2</xdr:col>
      <xdr:colOff>168049</xdr:colOff>
      <xdr:row>15</xdr:row>
      <xdr:rowOff>132174</xdr:rowOff>
    </xdr:from>
    <xdr:to>
      <xdr:col>3</xdr:col>
      <xdr:colOff>236096</xdr:colOff>
      <xdr:row>17</xdr:row>
      <xdr:rowOff>265016</xdr:rowOff>
    </xdr:to>
    <xdr:sp macro="" textlink="">
      <xdr:nvSpPr>
        <xdr:cNvPr id="50" name="TextBox 70">
          <a:hlinkClick xmlns:r="http://schemas.openxmlformats.org/officeDocument/2006/relationships" r:id="rId5"/>
          <a:extLst>
            <a:ext uri="{FF2B5EF4-FFF2-40B4-BE49-F238E27FC236}">
              <a16:creationId xmlns:a16="http://schemas.microsoft.com/office/drawing/2014/main" id="{D14E8E56-D85D-4EB1-AC9C-9D2C0DB36948}"/>
            </a:ext>
          </a:extLst>
        </xdr:cNvPr>
        <xdr:cNvSpPr txBox="1"/>
      </xdr:nvSpPr>
      <xdr:spPr bwMode="auto">
        <a:xfrm>
          <a:off x="1768249" y="2767424"/>
          <a:ext cx="868147" cy="501142"/>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12</a:t>
          </a:r>
        </a:p>
      </xdr:txBody>
    </xdr:sp>
    <xdr:clientData/>
  </xdr:twoCellAnchor>
  <xdr:twoCellAnchor>
    <xdr:from>
      <xdr:col>4</xdr:col>
      <xdr:colOff>579652</xdr:colOff>
      <xdr:row>9</xdr:row>
      <xdr:rowOff>40214</xdr:rowOff>
    </xdr:from>
    <xdr:to>
      <xdr:col>5</xdr:col>
      <xdr:colOff>647699</xdr:colOff>
      <xdr:row>11</xdr:row>
      <xdr:rowOff>165100</xdr:rowOff>
    </xdr:to>
    <xdr:sp macro="" textlink="">
      <xdr:nvSpPr>
        <xdr:cNvPr id="51" name="TextBox 70">
          <a:hlinkClick xmlns:r="http://schemas.openxmlformats.org/officeDocument/2006/relationships" r:id="rId8"/>
          <a:extLst>
            <a:ext uri="{FF2B5EF4-FFF2-40B4-BE49-F238E27FC236}">
              <a16:creationId xmlns:a16="http://schemas.microsoft.com/office/drawing/2014/main" id="{A07F5A41-94BA-4E44-89F4-42B22099D5C4}"/>
            </a:ext>
          </a:extLst>
        </xdr:cNvPr>
        <xdr:cNvSpPr txBox="1"/>
      </xdr:nvSpPr>
      <xdr:spPr bwMode="auto">
        <a:xfrm>
          <a:off x="3780052" y="15705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13</a:t>
          </a:r>
        </a:p>
      </xdr:txBody>
    </xdr:sp>
    <xdr:clientData/>
  </xdr:twoCellAnchor>
  <xdr:twoCellAnchor>
    <xdr:from>
      <xdr:col>4</xdr:col>
      <xdr:colOff>777859</xdr:colOff>
      <xdr:row>57</xdr:row>
      <xdr:rowOff>65402</xdr:rowOff>
    </xdr:from>
    <xdr:to>
      <xdr:col>7</xdr:col>
      <xdr:colOff>778451</xdr:colOff>
      <xdr:row>70</xdr:row>
      <xdr:rowOff>87348</xdr:rowOff>
    </xdr:to>
    <xdr:sp macro="" textlink="">
      <xdr:nvSpPr>
        <xdr:cNvPr id="52" name="Lágrima 184">
          <a:hlinkClick xmlns:r="http://schemas.openxmlformats.org/officeDocument/2006/relationships" r:id="rId23"/>
          <a:extLst>
            <a:ext uri="{FF2B5EF4-FFF2-40B4-BE49-F238E27FC236}">
              <a16:creationId xmlns:a16="http://schemas.microsoft.com/office/drawing/2014/main" id="{168FF331-9BD3-499E-897D-D76F71D71D54}"/>
            </a:ext>
          </a:extLst>
        </xdr:cNvPr>
        <xdr:cNvSpPr/>
      </xdr:nvSpPr>
      <xdr:spPr>
        <a:xfrm rot="9157431">
          <a:off x="3978259" y="10333352"/>
          <a:ext cx="2400892" cy="2415896"/>
        </a:xfrm>
        <a:prstGeom prst="teardrop">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6</xdr:col>
      <xdr:colOff>17537</xdr:colOff>
      <xdr:row>59</xdr:row>
      <xdr:rowOff>167570</xdr:rowOff>
    </xdr:from>
    <xdr:to>
      <xdr:col>7</xdr:col>
      <xdr:colOff>85585</xdr:colOff>
      <xdr:row>62</xdr:row>
      <xdr:rowOff>101956</xdr:rowOff>
    </xdr:to>
    <xdr:sp macro="" textlink="">
      <xdr:nvSpPr>
        <xdr:cNvPr id="53" name="TextBox 70">
          <a:hlinkClick xmlns:r="http://schemas.openxmlformats.org/officeDocument/2006/relationships" r:id="rId23"/>
          <a:extLst>
            <a:ext uri="{FF2B5EF4-FFF2-40B4-BE49-F238E27FC236}">
              <a16:creationId xmlns:a16="http://schemas.microsoft.com/office/drawing/2014/main" id="{496A8BE0-0D18-4A30-9C07-60CA463EAA0A}"/>
            </a:ext>
          </a:extLst>
        </xdr:cNvPr>
        <xdr:cNvSpPr txBox="1"/>
      </xdr:nvSpPr>
      <xdr:spPr bwMode="auto">
        <a:xfrm>
          <a:off x="4818137" y="10803820"/>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08</a:t>
          </a:r>
        </a:p>
      </xdr:txBody>
    </xdr:sp>
    <xdr:clientData/>
  </xdr:twoCellAnchor>
  <xdr:twoCellAnchor>
    <xdr:from>
      <xdr:col>5</xdr:col>
      <xdr:colOff>701875</xdr:colOff>
      <xdr:row>63</xdr:row>
      <xdr:rowOff>67121</xdr:rowOff>
    </xdr:from>
    <xdr:to>
      <xdr:col>7</xdr:col>
      <xdr:colOff>43436</xdr:colOff>
      <xdr:row>63</xdr:row>
      <xdr:rowOff>67121</xdr:rowOff>
    </xdr:to>
    <xdr:cxnSp macro="">
      <xdr:nvCxnSpPr>
        <xdr:cNvPr id="54" name="Straight Connector 72">
          <a:extLst>
            <a:ext uri="{FF2B5EF4-FFF2-40B4-BE49-F238E27FC236}">
              <a16:creationId xmlns:a16="http://schemas.microsoft.com/office/drawing/2014/main" id="{5C74FA7C-672F-4960-90E6-D58F4A52CD36}"/>
            </a:ext>
          </a:extLst>
        </xdr:cNvPr>
        <xdr:cNvCxnSpPr/>
      </xdr:nvCxnSpPr>
      <xdr:spPr bwMode="auto">
        <a:xfrm>
          <a:off x="4702375" y="11439971"/>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167369</xdr:colOff>
      <xdr:row>63</xdr:row>
      <xdr:rowOff>75586</xdr:rowOff>
    </xdr:from>
    <xdr:to>
      <xdr:col>7</xdr:col>
      <xdr:colOff>566144</xdr:colOff>
      <xdr:row>67</xdr:row>
      <xdr:rowOff>3828</xdr:rowOff>
    </xdr:to>
    <xdr:sp macro="" textlink="">
      <xdr:nvSpPr>
        <xdr:cNvPr id="55" name="TextBox 121">
          <a:hlinkClick xmlns:r="http://schemas.openxmlformats.org/officeDocument/2006/relationships" r:id="rId24"/>
          <a:extLst>
            <a:ext uri="{FF2B5EF4-FFF2-40B4-BE49-F238E27FC236}">
              <a16:creationId xmlns:a16="http://schemas.microsoft.com/office/drawing/2014/main" id="{693F7D10-7A07-4D20-80AD-14349F6916CC}"/>
            </a:ext>
          </a:extLst>
        </xdr:cNvPr>
        <xdr:cNvSpPr txBox="1"/>
      </xdr:nvSpPr>
      <xdr:spPr bwMode="auto">
        <a:xfrm>
          <a:off x="4167869" y="11448436"/>
          <a:ext cx="1998975"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Incentivos Institucionales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20</xdr:col>
      <xdr:colOff>57150</xdr:colOff>
      <xdr:row>27</xdr:row>
      <xdr:rowOff>0</xdr:rowOff>
    </xdr:to>
    <xdr:sp macro="" textlink="">
      <xdr:nvSpPr>
        <xdr:cNvPr id="2" name="AutoShape 3">
          <a:extLst>
            <a:ext uri="{FF2B5EF4-FFF2-40B4-BE49-F238E27FC236}">
              <a16:creationId xmlns:a16="http://schemas.microsoft.com/office/drawing/2014/main" id="{3B2EF293-EE50-4D1E-BF2E-38FF68005C4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EF24FD28-B452-4725-BCC3-4805BAA7BDA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CD61C7D4-60B6-47A6-9427-5CB875EC15E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110938</xdr:colOff>
      <xdr:row>4</xdr:row>
      <xdr:rowOff>100105</xdr:rowOff>
    </xdr:from>
    <xdr:to>
      <xdr:col>4</xdr:col>
      <xdr:colOff>549275</xdr:colOff>
      <xdr:row>37</xdr:row>
      <xdr:rowOff>488249</xdr:rowOff>
    </xdr:to>
    <xdr:pic>
      <xdr:nvPicPr>
        <xdr:cNvPr id="2" name="Imagen 1">
          <a:extLst>
            <a:ext uri="{FF2B5EF4-FFF2-40B4-BE49-F238E27FC236}">
              <a16:creationId xmlns:a16="http://schemas.microsoft.com/office/drawing/2014/main" id="{C94EC013-2227-41FE-A654-ED3A5DAB6D29}"/>
            </a:ext>
          </a:extLst>
        </xdr:cNvPr>
        <xdr:cNvPicPr>
          <a:picLocks noChangeAspect="1"/>
        </xdr:cNvPicPr>
      </xdr:nvPicPr>
      <xdr:blipFill>
        <a:blip xmlns:r="http://schemas.openxmlformats.org/officeDocument/2006/relationships" r:embed="rId1"/>
        <a:stretch>
          <a:fillRect/>
        </a:stretch>
      </xdr:blipFill>
      <xdr:spPr>
        <a:xfrm>
          <a:off x="110938" y="836705"/>
          <a:ext cx="2673350" cy="466024"/>
        </a:xfrm>
        <a:prstGeom prst="rect">
          <a:avLst/>
        </a:prstGeom>
      </xdr:spPr>
    </xdr:pic>
    <xdr:clientData/>
  </xdr:twoCellAnchor>
  <xdr:oneCellAnchor>
    <xdr:from>
      <xdr:col>3</xdr:col>
      <xdr:colOff>971550</xdr:colOff>
      <xdr:row>4</xdr:row>
      <xdr:rowOff>107950</xdr:rowOff>
    </xdr:from>
    <xdr:ext cx="2305050" cy="381997"/>
    <xdr:pic>
      <xdr:nvPicPr>
        <xdr:cNvPr id="3" name="Imagen 3">
          <a:extLst>
            <a:ext uri="{FF2B5EF4-FFF2-40B4-BE49-F238E27FC236}">
              <a16:creationId xmlns:a16="http://schemas.microsoft.com/office/drawing/2014/main" id="{235283E9-4F3A-4120-A7D0-9765A861765A}"/>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098800" y="844550"/>
          <a:ext cx="2305050" cy="381997"/>
        </a:xfrm>
        <a:prstGeom prst="rect">
          <a:avLst/>
        </a:prstGeom>
      </xdr:spPr>
    </xdr:pic>
    <xdr:clientData/>
  </xdr:oneCellAnchor>
  <xdr:twoCellAnchor editAs="oneCell">
    <xdr:from>
      <xdr:col>0</xdr:col>
      <xdr:colOff>0</xdr:colOff>
      <xdr:row>11</xdr:row>
      <xdr:rowOff>276225</xdr:rowOff>
    </xdr:from>
    <xdr:to>
      <xdr:col>4</xdr:col>
      <xdr:colOff>1885950</xdr:colOff>
      <xdr:row>41</xdr:row>
      <xdr:rowOff>152400</xdr:rowOff>
    </xdr:to>
    <xdr:pic>
      <xdr:nvPicPr>
        <xdr:cNvPr id="4" name="Imagen 13">
          <a:extLst>
            <a:ext uri="{FF2B5EF4-FFF2-40B4-BE49-F238E27FC236}">
              <a16:creationId xmlns:a16="http://schemas.microsoft.com/office/drawing/2014/main" id="{640340BF-397D-4F0C-8289-6934D1E20EFF}"/>
            </a:ext>
            <a:ext uri="{147F2762-F138-4A5C-976F-8EAC2B608ADB}">
              <a16:predDERef xmlns:a16="http://schemas.microsoft.com/office/drawing/2014/main" pred="{235283E9-4F3A-4120-A7D0-9765A861765A}"/>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29" t="2899" r="5657" b="3836"/>
        <a:stretch/>
      </xdr:blipFill>
      <xdr:spPr bwMode="auto">
        <a:xfrm>
          <a:off x="0" y="2266950"/>
          <a:ext cx="391477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46463</xdr:colOff>
      <xdr:row>13</xdr:row>
      <xdr:rowOff>15487</xdr:rowOff>
    </xdr:from>
    <xdr:to>
      <xdr:col>27</xdr:col>
      <xdr:colOff>1982438</xdr:colOff>
      <xdr:row>32</xdr:row>
      <xdr:rowOff>139390</xdr:rowOff>
    </xdr:to>
    <xdr:sp macro="" textlink="">
      <xdr:nvSpPr>
        <xdr:cNvPr id="5" name="TextBox 121">
          <a:extLst>
            <a:ext uri="{FF2B5EF4-FFF2-40B4-BE49-F238E27FC236}">
              <a16:creationId xmlns:a16="http://schemas.microsoft.com/office/drawing/2014/main" id="{832BEA4A-B492-4A6B-B179-60366B3B3B81}"/>
            </a:ext>
          </a:extLst>
        </xdr:cNvPr>
        <xdr:cNvSpPr txBox="1"/>
      </xdr:nvSpPr>
      <xdr:spPr>
        <a:xfrm>
          <a:off x="6428213" y="2574537"/>
          <a:ext cx="42353725" cy="4587953"/>
        </a:xfrm>
        <a:prstGeom prst="rect">
          <a:avLst/>
        </a:prstGeom>
        <a:noFill/>
        <a:ln>
          <a:solidFill>
            <a:schemeClr val="bg1"/>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endParaRPr lang="en-US" sz="4000" kern="0">
            <a:solidFill>
              <a:schemeClr val="tx1">
                <a:lumMod val="50000"/>
                <a:lumOff val="50000"/>
              </a:schemeClr>
            </a:solidFill>
            <a:latin typeface="Arial" pitchFamily="34" charset="0"/>
            <a:cs typeface="Arial" pitchFamily="34" charset="0"/>
          </a:endParaRPr>
        </a:p>
        <a:p>
          <a:pPr algn="ctr"/>
          <a:r>
            <a:rPr lang="en-US" sz="4000" kern="0">
              <a:solidFill>
                <a:schemeClr val="tx1">
                  <a:lumMod val="50000"/>
                  <a:lumOff val="50000"/>
                </a:schemeClr>
              </a:solidFill>
              <a:latin typeface="Arial" pitchFamily="34" charset="0"/>
              <a:cs typeface="Arial" pitchFamily="34" charset="0"/>
            </a:rPr>
            <a:t>Componentes </a:t>
          </a:r>
          <a:r>
            <a:rPr lang="en-US" sz="4000" kern="0" baseline="0">
              <a:solidFill>
                <a:schemeClr val="tx1">
                  <a:lumMod val="50000"/>
                  <a:lumOff val="50000"/>
                </a:schemeClr>
              </a:solidFill>
              <a:latin typeface="Arial" pitchFamily="34" charset="0"/>
              <a:cs typeface="Arial" pitchFamily="34" charset="0"/>
            </a:rPr>
            <a:t>Plan Anticorrupción y de Atención al Ciudadano</a:t>
          </a:r>
        </a:p>
        <a:p>
          <a:pPr algn="ctr"/>
          <a:endParaRPr lang="en-US" sz="4000"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1: </a:t>
          </a:r>
          <a:r>
            <a:rPr lang="en-US" sz="4000" b="0" kern="0" baseline="0">
              <a:solidFill>
                <a:schemeClr val="tx1">
                  <a:lumMod val="50000"/>
                  <a:lumOff val="50000"/>
                </a:schemeClr>
              </a:solidFill>
              <a:latin typeface="Arial" pitchFamily="34" charset="0"/>
              <a:cs typeface="Arial" pitchFamily="34" charset="0"/>
            </a:rPr>
            <a:t>El cronograma de actividades del Plan Anticorrupción y de Atención al Ciudadano se encuentra inmerso en el Plan de Acción Anual de la Entidad dando cumplimiento al Decreto 612 de 2018. Las actividades programadas del Plan Anticorrupción y de Atención al Ciudadano, contemplan los siguientes componentes.</a:t>
          </a:r>
        </a:p>
        <a:p>
          <a:pPr algn="ctr"/>
          <a:endParaRPr lang="en-US" sz="4000" b="1"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a:t>
          </a:r>
          <a:r>
            <a:rPr lang="en-US" sz="4000" kern="0" baseline="0">
              <a:solidFill>
                <a:schemeClr val="tx1">
                  <a:lumMod val="50000"/>
                  <a:lumOff val="50000"/>
                </a:schemeClr>
              </a:solidFill>
              <a:latin typeface="Arial" pitchFamily="34" charset="0"/>
              <a:cs typeface="Arial" pitchFamily="34" charset="0"/>
            </a:rPr>
            <a:t>el componente 02. Racionalización de Trámites no aplica a La Previsora.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57150</xdr:colOff>
      <xdr:row>23</xdr:row>
      <xdr:rowOff>0</xdr:rowOff>
    </xdr:to>
    <xdr:sp macro="" textlink="">
      <xdr:nvSpPr>
        <xdr:cNvPr id="2" name="AutoShape 3">
          <a:extLst>
            <a:ext uri="{FF2B5EF4-FFF2-40B4-BE49-F238E27FC236}">
              <a16:creationId xmlns:a16="http://schemas.microsoft.com/office/drawing/2014/main" id="{698049DA-03EC-480D-9CF9-ADCA98A64CC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69D4EF25-BB49-4059-92EE-1B1EDC87B3F9}"/>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7331A266-48C5-4A61-88BD-98762C0B9A0B}"/>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19</xdr:row>
      <xdr:rowOff>0</xdr:rowOff>
    </xdr:to>
    <xdr:sp macro="" textlink="">
      <xdr:nvSpPr>
        <xdr:cNvPr id="2" name="AutoShape 3">
          <a:extLst>
            <a:ext uri="{FF2B5EF4-FFF2-40B4-BE49-F238E27FC236}">
              <a16:creationId xmlns:a16="http://schemas.microsoft.com/office/drawing/2014/main" id="{55CE59F9-434C-49A0-8B76-983BDFB908D8}"/>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FF2E1497-3585-4632-A05E-DD3F8C3B51E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BE0AF39C-F1EB-477C-B09D-F6E3A89DCDB8}"/>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23</xdr:row>
      <xdr:rowOff>0</xdr:rowOff>
    </xdr:to>
    <xdr:sp macro="" textlink="">
      <xdr:nvSpPr>
        <xdr:cNvPr id="2" name="AutoShape 3">
          <a:extLst>
            <a:ext uri="{FF2B5EF4-FFF2-40B4-BE49-F238E27FC236}">
              <a16:creationId xmlns:a16="http://schemas.microsoft.com/office/drawing/2014/main" id="{A837A9BF-762F-4351-BD02-5DCE77BBEAF9}"/>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0F61BB44-6F1B-4A42-A940-8D08803B543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85EC3359-233F-4E18-9B3A-E8E7243CA54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152683</xdr:rowOff>
    </xdr:from>
    <xdr:to>
      <xdr:col>3</xdr:col>
      <xdr:colOff>4586</xdr:colOff>
      <xdr:row>3</xdr:row>
      <xdr:rowOff>136810</xdr:rowOff>
    </xdr:to>
    <xdr:pic>
      <xdr:nvPicPr>
        <xdr:cNvPr id="56" name="Imagen 55">
          <a:extLst>
            <a:ext uri="{FF2B5EF4-FFF2-40B4-BE49-F238E27FC236}">
              <a16:creationId xmlns:a16="http://schemas.microsoft.com/office/drawing/2014/main" id="{51B96748-0939-4B58-B848-C6F173CE2560}"/>
            </a:ext>
          </a:extLst>
        </xdr:cNvPr>
        <xdr:cNvPicPr>
          <a:picLocks noChangeAspect="1"/>
        </xdr:cNvPicPr>
      </xdr:nvPicPr>
      <xdr:blipFill>
        <a:blip xmlns:r="http://schemas.openxmlformats.org/officeDocument/2006/relationships" r:embed="rId1"/>
        <a:stretch>
          <a:fillRect/>
        </a:stretch>
      </xdr:blipFill>
      <xdr:spPr>
        <a:xfrm>
          <a:off x="0" y="214634"/>
          <a:ext cx="2386843" cy="402298"/>
        </a:xfrm>
        <a:prstGeom prst="rect">
          <a:avLst/>
        </a:prstGeom>
      </xdr:spPr>
    </xdr:pic>
    <xdr:clientData/>
  </xdr:twoCellAnchor>
  <xdr:oneCellAnchor>
    <xdr:from>
      <xdr:col>0</xdr:col>
      <xdr:colOff>15488</xdr:colOff>
      <xdr:row>3</xdr:row>
      <xdr:rowOff>198544</xdr:rowOff>
    </xdr:from>
    <xdr:ext cx="2341611" cy="388056"/>
    <xdr:pic>
      <xdr:nvPicPr>
        <xdr:cNvPr id="57" name="Imagen 56">
          <a:extLst>
            <a:ext uri="{FF2B5EF4-FFF2-40B4-BE49-F238E27FC236}">
              <a16:creationId xmlns:a16="http://schemas.microsoft.com/office/drawing/2014/main" id="{11E5AA60-7B42-4FAE-A7E7-DC08D2F19F8A}"/>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15488" y="678666"/>
          <a:ext cx="2341611" cy="388056"/>
        </a:xfrm>
        <a:prstGeom prst="rect">
          <a:avLst/>
        </a:prstGeom>
      </xdr:spPr>
    </xdr:pic>
    <xdr:clientData/>
  </xdr:oneCellAnchor>
  <xdr:twoCellAnchor editAs="oneCell">
    <xdr:from>
      <xdr:col>0</xdr:col>
      <xdr:colOff>696951</xdr:colOff>
      <xdr:row>6</xdr:row>
      <xdr:rowOff>665720</xdr:rowOff>
    </xdr:from>
    <xdr:to>
      <xdr:col>14</xdr:col>
      <xdr:colOff>696951</xdr:colOff>
      <xdr:row>71</xdr:row>
      <xdr:rowOff>44446</xdr:rowOff>
    </xdr:to>
    <xdr:pic>
      <xdr:nvPicPr>
        <xdr:cNvPr id="58" name="Imagen 57">
          <a:extLst>
            <a:ext uri="{FF2B5EF4-FFF2-40B4-BE49-F238E27FC236}">
              <a16:creationId xmlns:a16="http://schemas.microsoft.com/office/drawing/2014/main" id="{015D4FAC-B04D-61E8-67B4-201EDE03629E}"/>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96951" y="1889257"/>
          <a:ext cx="11275122" cy="11923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13335000" cy="85344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xdr:from>
      <xdr:col>0</xdr:col>
      <xdr:colOff>0</xdr:colOff>
      <xdr:row>0</xdr:row>
      <xdr:rowOff>0</xdr:rowOff>
    </xdr:from>
    <xdr:to>
      <xdr:col>10</xdr:col>
      <xdr:colOff>0</xdr:colOff>
      <xdr:row>27</xdr:row>
      <xdr:rowOff>0</xdr:rowOff>
    </xdr:to>
    <xdr:sp macro="" textlink="">
      <xdr:nvSpPr>
        <xdr:cNvPr id="2050" name="Text Box 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oneCell">
    <xdr:from>
      <xdr:col>1</xdr:col>
      <xdr:colOff>461930</xdr:colOff>
      <xdr:row>0</xdr:row>
      <xdr:rowOff>95249</xdr:rowOff>
    </xdr:from>
    <xdr:to>
      <xdr:col>2</xdr:col>
      <xdr:colOff>1111250</xdr:colOff>
      <xdr:row>2</xdr:row>
      <xdr:rowOff>140887</xdr:rowOff>
    </xdr:to>
    <xdr:pic>
      <xdr:nvPicPr>
        <xdr:cNvPr id="2" name="Imagen 1">
          <a:extLst>
            <a:ext uri="{FF2B5EF4-FFF2-40B4-BE49-F238E27FC236}">
              <a16:creationId xmlns:a16="http://schemas.microsoft.com/office/drawing/2014/main" id="{3579DEE5-08D2-4302-9419-81229C70B468}"/>
            </a:ext>
          </a:extLst>
        </xdr:cNvPr>
        <xdr:cNvPicPr>
          <a:picLocks noChangeAspect="1"/>
        </xdr:cNvPicPr>
      </xdr:nvPicPr>
      <xdr:blipFill>
        <a:blip xmlns:r="http://schemas.openxmlformats.org/officeDocument/2006/relationships" r:embed="rId1"/>
        <a:stretch>
          <a:fillRect/>
        </a:stretch>
      </xdr:blipFill>
      <xdr:spPr>
        <a:xfrm>
          <a:off x="959347" y="95249"/>
          <a:ext cx="2638986"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B4BB676-2D0A-4A5D-8C24-5DC2CB14CEA4}"/>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1115" y="656167"/>
          <a:ext cx="2501385" cy="4145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25</xdr:row>
      <xdr:rowOff>0</xdr:rowOff>
    </xdr:to>
    <xdr:sp macro="" textlink="">
      <xdr:nvSpPr>
        <xdr:cNvPr id="2" name="AutoShape 3">
          <a:extLst>
            <a:ext uri="{FF2B5EF4-FFF2-40B4-BE49-F238E27FC236}">
              <a16:creationId xmlns:a16="http://schemas.microsoft.com/office/drawing/2014/main" id="{B361CF51-2F98-4C6A-8E6B-DDD33894B4AC}"/>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50C65D93-6816-4B5D-83B8-56FAB912670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43D25698-8C75-45A8-B2A8-D6DD78C344A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2" name="AutoShape 3">
          <a:extLst>
            <a:ext uri="{FF2B5EF4-FFF2-40B4-BE49-F238E27FC236}">
              <a16:creationId xmlns:a16="http://schemas.microsoft.com/office/drawing/2014/main" id="{485E5049-E793-44AA-B5CC-6231FDE1AA5F}"/>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123774</xdr:rowOff>
    </xdr:to>
    <xdr:pic>
      <xdr:nvPicPr>
        <xdr:cNvPr id="3" name="Imagen 2">
          <a:extLst>
            <a:ext uri="{FF2B5EF4-FFF2-40B4-BE49-F238E27FC236}">
              <a16:creationId xmlns:a16="http://schemas.microsoft.com/office/drawing/2014/main" id="{A0E2C2C9-BB3D-4A24-A111-103773E0115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2A11E275-C615-4B82-8B44-89D6BED67182}"/>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21</xdr:row>
      <xdr:rowOff>0</xdr:rowOff>
    </xdr:to>
    <xdr:sp macro="" textlink="">
      <xdr:nvSpPr>
        <xdr:cNvPr id="2" name="AutoShape 3">
          <a:extLst>
            <a:ext uri="{FF2B5EF4-FFF2-40B4-BE49-F238E27FC236}">
              <a16:creationId xmlns:a16="http://schemas.microsoft.com/office/drawing/2014/main" id="{EB11344B-1DB4-4362-812C-F568274E7C6B}"/>
            </a:ext>
          </a:extLst>
        </xdr:cNvPr>
        <xdr:cNvSpPr>
          <a:spLocks noChangeArrowheads="1"/>
        </xdr:cNvSpPr>
      </xdr:nvSpPr>
      <xdr:spPr bwMode="auto">
        <a:xfrm>
          <a:off x="501650" y="0"/>
          <a:ext cx="26720800" cy="93218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123774</xdr:rowOff>
    </xdr:to>
    <xdr:pic>
      <xdr:nvPicPr>
        <xdr:cNvPr id="3" name="Imagen 2">
          <a:extLst>
            <a:ext uri="{FF2B5EF4-FFF2-40B4-BE49-F238E27FC236}">
              <a16:creationId xmlns:a16="http://schemas.microsoft.com/office/drawing/2014/main" id="{9F44B349-B899-46CF-8738-1F230280278A}"/>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78457BD-4156-4643-8AA6-4BDB73DF1BF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351368</xdr:colOff>
      <xdr:row>0</xdr:row>
      <xdr:rowOff>63499</xdr:rowOff>
    </xdr:from>
    <xdr:to>
      <xdr:col>1</xdr:col>
      <xdr:colOff>597830</xdr:colOff>
      <xdr:row>2</xdr:row>
      <xdr:rowOff>126999</xdr:rowOff>
    </xdr:to>
    <xdr:pic>
      <xdr:nvPicPr>
        <xdr:cNvPr id="2" name="Imagen 1">
          <a:extLst>
            <a:ext uri="{FF2B5EF4-FFF2-40B4-BE49-F238E27FC236}">
              <a16:creationId xmlns:a16="http://schemas.microsoft.com/office/drawing/2014/main" id="{0C571183-ED99-494D-968E-F6C2EF61CAC1}"/>
            </a:ext>
          </a:extLst>
        </xdr:cNvPr>
        <xdr:cNvPicPr>
          <a:picLocks noChangeAspect="1"/>
        </xdr:cNvPicPr>
      </xdr:nvPicPr>
      <xdr:blipFill>
        <a:blip xmlns:r="http://schemas.openxmlformats.org/officeDocument/2006/relationships" r:embed="rId1"/>
        <a:stretch>
          <a:fillRect/>
        </a:stretch>
      </xdr:blipFill>
      <xdr:spPr>
        <a:xfrm>
          <a:off x="351368" y="63499"/>
          <a:ext cx="2380062" cy="423333"/>
        </a:xfrm>
        <a:prstGeom prst="rect">
          <a:avLst/>
        </a:prstGeom>
      </xdr:spPr>
    </xdr:pic>
    <xdr:clientData/>
  </xdr:twoCellAnchor>
  <xdr:oneCellAnchor>
    <xdr:from>
      <xdr:col>1</xdr:col>
      <xdr:colOff>1411817</xdr:colOff>
      <xdr:row>0</xdr:row>
      <xdr:rowOff>74084</xdr:rowOff>
    </xdr:from>
    <xdr:ext cx="2305050" cy="381997"/>
    <xdr:pic>
      <xdr:nvPicPr>
        <xdr:cNvPr id="3" name="Imagen 2">
          <a:extLst>
            <a:ext uri="{FF2B5EF4-FFF2-40B4-BE49-F238E27FC236}">
              <a16:creationId xmlns:a16="http://schemas.microsoft.com/office/drawing/2014/main" id="{C2F32899-20B0-48FC-BDCE-9F9B42E87943}"/>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539067" y="74084"/>
          <a:ext cx="2305050" cy="38199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24</xdr:col>
      <xdr:colOff>57150</xdr:colOff>
      <xdr:row>27</xdr:row>
      <xdr:rowOff>0</xdr:rowOff>
    </xdr:to>
    <xdr:sp macro="" textlink="">
      <xdr:nvSpPr>
        <xdr:cNvPr id="2" name="AutoShape 3">
          <a:extLst>
            <a:ext uri="{FF2B5EF4-FFF2-40B4-BE49-F238E27FC236}">
              <a16:creationId xmlns:a16="http://schemas.microsoft.com/office/drawing/2014/main" id="{E8B8A438-2D22-4D94-B96A-AC78FC00D1C6}"/>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E593CF33-62FA-4560-9F68-DBC1B37EC3B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91EF97E8-A5C0-4198-A8B1-ABC4293BC66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146050</xdr:colOff>
      <xdr:row>1</xdr:row>
      <xdr:rowOff>146050</xdr:rowOff>
    </xdr:from>
    <xdr:to>
      <xdr:col>1</xdr:col>
      <xdr:colOff>692150</xdr:colOff>
      <xdr:row>2</xdr:row>
      <xdr:rowOff>373388</xdr:rowOff>
    </xdr:to>
    <xdr:pic>
      <xdr:nvPicPr>
        <xdr:cNvPr id="2" name="Imagen 1">
          <a:extLst>
            <a:ext uri="{FF2B5EF4-FFF2-40B4-BE49-F238E27FC236}">
              <a16:creationId xmlns:a16="http://schemas.microsoft.com/office/drawing/2014/main" id="{14989C25-AF29-417E-87B6-5F444B177683}"/>
            </a:ext>
          </a:extLst>
        </xdr:cNvPr>
        <xdr:cNvPicPr>
          <a:picLocks noChangeAspect="1"/>
        </xdr:cNvPicPr>
      </xdr:nvPicPr>
      <xdr:blipFill>
        <a:blip xmlns:r="http://schemas.openxmlformats.org/officeDocument/2006/relationships" r:embed="rId1"/>
        <a:stretch>
          <a:fillRect/>
        </a:stretch>
      </xdr:blipFill>
      <xdr:spPr>
        <a:xfrm>
          <a:off x="146050" y="336550"/>
          <a:ext cx="2679700" cy="481338"/>
        </a:xfrm>
        <a:prstGeom prst="rect">
          <a:avLst/>
        </a:prstGeom>
      </xdr:spPr>
    </xdr:pic>
    <xdr:clientData/>
  </xdr:twoCellAnchor>
  <xdr:oneCellAnchor>
    <xdr:from>
      <xdr:col>1</xdr:col>
      <xdr:colOff>984250</xdr:colOff>
      <xdr:row>1</xdr:row>
      <xdr:rowOff>146050</xdr:rowOff>
    </xdr:from>
    <xdr:ext cx="2305050" cy="381997"/>
    <xdr:pic>
      <xdr:nvPicPr>
        <xdr:cNvPr id="3" name="Imagen 3">
          <a:extLst>
            <a:ext uri="{FF2B5EF4-FFF2-40B4-BE49-F238E27FC236}">
              <a16:creationId xmlns:a16="http://schemas.microsoft.com/office/drawing/2014/main" id="{0E026DAA-6DF3-4BBC-896F-7604DE62C14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117850" y="336550"/>
          <a:ext cx="2305050" cy="38199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aprevisora.sharepoint.com/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aprevisora.sharepoint.com/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aprevisora.sharepoint.com/BSC_Indicadores/A&#241;o%202017/MAPAS/Procedimientos/Mapa%20Corporativo/Procedimiento%20c&#225;lculo%20indicadores%20Mapa%20Corpora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 val="8"/>
      <sheetName val="9"/>
      <sheetName val="10"/>
      <sheetName val="11"/>
      <sheetName val="12"/>
      <sheetName val="13"/>
      <sheetName val="14"/>
      <sheetName val="15"/>
      <sheetName val="16"/>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0FA3-811A-4695-89CC-312731AE2202}">
  <dimension ref="A1:XFC82"/>
  <sheetViews>
    <sheetView showGridLines="0" tabSelected="1" zoomScale="55" zoomScaleNormal="55" zoomScaleSheetLayoutView="40" workbookViewId="0">
      <selection activeCell="I82" sqref="I82"/>
    </sheetView>
  </sheetViews>
  <sheetFormatPr baseColWidth="10" defaultColWidth="0" defaultRowHeight="14.5" x14ac:dyDescent="0.35"/>
  <cols>
    <col min="1" max="16" width="11.453125" style="80" customWidth="1"/>
    <col min="17" max="4945" width="0" style="80" hidden="1" customWidth="1"/>
    <col min="4946" max="15759" width="11.453125" style="80" hidden="1"/>
    <col min="15760" max="16382" width="0" style="80" hidden="1"/>
    <col min="16383" max="16383" width="12.453125" style="80" hidden="1"/>
    <col min="16384" max="16384" width="7.54296875" style="80" hidden="1"/>
  </cols>
  <sheetData>
    <row r="1" ht="4.5" customHeight="1" x14ac:dyDescent="0.35"/>
    <row r="18" spans="8:8" ht="21" x14ac:dyDescent="0.5">
      <c r="H18" s="99"/>
    </row>
    <row r="41" spans="1:11" x14ac:dyDescent="0.35">
      <c r="A41" s="100"/>
      <c r="B41" s="100"/>
      <c r="C41" s="100"/>
      <c r="D41" s="100"/>
      <c r="E41" s="100"/>
      <c r="F41" s="100"/>
      <c r="G41" s="100"/>
      <c r="H41" s="100"/>
      <c r="I41" s="100"/>
      <c r="J41" s="100"/>
      <c r="K41" s="100"/>
    </row>
    <row r="42" spans="1:11" x14ac:dyDescent="0.35">
      <c r="A42" s="100"/>
      <c r="B42" s="100"/>
      <c r="C42" s="100"/>
      <c r="D42" s="100"/>
      <c r="E42" s="100"/>
      <c r="F42" s="100"/>
      <c r="G42" s="100"/>
      <c r="H42" s="100"/>
      <c r="I42" s="100"/>
      <c r="J42" s="100"/>
      <c r="K42" s="100"/>
    </row>
    <row r="57" hidden="1" x14ac:dyDescent="0.35"/>
    <row r="75" spans="1:16" ht="26" x14ac:dyDescent="0.6">
      <c r="A75" s="236" t="s">
        <v>0</v>
      </c>
      <c r="B75" s="236"/>
      <c r="C75" s="236"/>
      <c r="D75" s="236"/>
      <c r="E75" s="236"/>
      <c r="F75" s="236"/>
      <c r="G75" s="236"/>
      <c r="H75" s="236"/>
      <c r="I75" s="236"/>
      <c r="J75" s="236"/>
      <c r="K75" s="236"/>
      <c r="L75" s="236"/>
      <c r="M75" s="236"/>
      <c r="N75" s="236"/>
      <c r="O75" s="236"/>
      <c r="P75" s="236"/>
    </row>
    <row r="76" spans="1:16" ht="14.9" customHeight="1" x14ac:dyDescent="0.35">
      <c r="A76" s="237" t="s">
        <v>1</v>
      </c>
      <c r="B76" s="238"/>
      <c r="C76" s="238"/>
      <c r="D76" s="238"/>
      <c r="E76" s="238"/>
      <c r="F76" s="238"/>
      <c r="G76" s="238"/>
      <c r="H76" s="238"/>
      <c r="I76" s="238"/>
      <c r="J76" s="238"/>
      <c r="K76" s="238"/>
      <c r="L76" s="238"/>
      <c r="M76" s="238"/>
      <c r="N76" s="238"/>
      <c r="O76" s="238"/>
      <c r="P76" s="239"/>
    </row>
    <row r="77" spans="1:16" ht="15" customHeight="1" x14ac:dyDescent="0.35">
      <c r="A77" s="240"/>
      <c r="B77" s="241"/>
      <c r="C77" s="241"/>
      <c r="D77" s="241"/>
      <c r="E77" s="241"/>
      <c r="F77" s="241"/>
      <c r="G77" s="241"/>
      <c r="H77" s="241"/>
      <c r="I77" s="241"/>
      <c r="J77" s="241"/>
      <c r="K77" s="241"/>
      <c r="L77" s="241"/>
      <c r="M77" s="241"/>
      <c r="N77" s="241"/>
      <c r="O77" s="241"/>
      <c r="P77" s="242"/>
    </row>
    <row r="78" spans="1:16" ht="44.15" customHeight="1" x14ac:dyDescent="0.35">
      <c r="A78" s="101" t="s">
        <v>2</v>
      </c>
      <c r="B78" s="243" t="s">
        <v>3</v>
      </c>
      <c r="C78" s="244"/>
      <c r="D78" s="244"/>
      <c r="E78" s="244"/>
      <c r="F78" s="245"/>
      <c r="G78" s="243" t="s">
        <v>4</v>
      </c>
      <c r="H78" s="244"/>
      <c r="I78" s="244"/>
      <c r="J78" s="244"/>
      <c r="K78" s="244"/>
      <c r="L78" s="244"/>
      <c r="M78" s="244"/>
      <c r="N78" s="244"/>
      <c r="O78" s="244"/>
      <c r="P78" s="245"/>
    </row>
    <row r="79" spans="1:16" ht="65.150000000000006" customHeight="1" x14ac:dyDescent="0.35">
      <c r="A79" s="102">
        <v>1</v>
      </c>
      <c r="B79" s="230">
        <v>44957</v>
      </c>
      <c r="C79" s="231"/>
      <c r="D79" s="231"/>
      <c r="E79" s="231"/>
      <c r="F79" s="232"/>
      <c r="G79" s="233" t="s">
        <v>5</v>
      </c>
      <c r="H79" s="234"/>
      <c r="I79" s="234"/>
      <c r="J79" s="234"/>
      <c r="K79" s="234"/>
      <c r="L79" s="234"/>
      <c r="M79" s="234"/>
      <c r="N79" s="234"/>
      <c r="O79" s="234"/>
      <c r="P79" s="235"/>
    </row>
    <row r="80" spans="1:16" ht="65.150000000000006" customHeight="1" x14ac:dyDescent="0.35">
      <c r="A80" s="102">
        <v>2</v>
      </c>
      <c r="B80" s="230">
        <v>45013</v>
      </c>
      <c r="C80" s="231"/>
      <c r="D80" s="231"/>
      <c r="E80" s="231"/>
      <c r="F80" s="232"/>
      <c r="G80" s="233" t="s">
        <v>6</v>
      </c>
      <c r="H80" s="234"/>
      <c r="I80" s="234"/>
      <c r="J80" s="234"/>
      <c r="K80" s="234"/>
      <c r="L80" s="234"/>
      <c r="M80" s="234"/>
      <c r="N80" s="234"/>
      <c r="O80" s="234"/>
      <c r="P80" s="235"/>
    </row>
    <row r="81" spans="1:16" ht="65.150000000000006" customHeight="1" x14ac:dyDescent="0.35">
      <c r="A81" s="102">
        <v>3</v>
      </c>
      <c r="B81" s="230">
        <v>45197</v>
      </c>
      <c r="C81" s="231"/>
      <c r="D81" s="231"/>
      <c r="E81" s="231"/>
      <c r="F81" s="232"/>
      <c r="G81" s="233" t="s">
        <v>7</v>
      </c>
      <c r="H81" s="234"/>
      <c r="I81" s="234"/>
      <c r="J81" s="234"/>
      <c r="K81" s="234"/>
      <c r="L81" s="234"/>
      <c r="M81" s="234"/>
      <c r="N81" s="234"/>
      <c r="O81" s="234"/>
      <c r="P81" s="235"/>
    </row>
    <row r="82" spans="1:16" ht="86.65" customHeight="1" x14ac:dyDescent="0.35"/>
  </sheetData>
  <sheetProtection autoFilter="0"/>
  <mergeCells count="10">
    <mergeCell ref="B81:F81"/>
    <mergeCell ref="G81:P81"/>
    <mergeCell ref="B80:F80"/>
    <mergeCell ref="G80:P80"/>
    <mergeCell ref="A75:P75"/>
    <mergeCell ref="A76:P77"/>
    <mergeCell ref="B78:F78"/>
    <mergeCell ref="G78:P78"/>
    <mergeCell ref="B79:F79"/>
    <mergeCell ref="G79:P79"/>
  </mergeCells>
  <pageMargins left="0.7" right="0.7" top="0.75" bottom="0.75" header="0.3" footer="0.3"/>
  <pageSetup scale="49" orientation="portrait" r:id="rId1"/>
  <headerFooter>
    <oddHeader>&amp;C&amp;G</oddHeader>
    <oddFooter>&amp;C_x000D_&amp;1#&amp;"Calibri"&amp;10&amp;K008000 Información Pública - La Previsora S.A. Compañía de Seguros</oddFooter>
  </headerFooter>
  <colBreaks count="2" manualBreakCount="2">
    <brk id="16" max="83" man="1"/>
    <brk id="11939" max="1048575" man="1"/>
  </colBreaks>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51CB-FFDF-4B66-9DFF-B1AA7CAF69BE}">
  <dimension ref="A1:AK111"/>
  <sheetViews>
    <sheetView showGridLines="0" view="pageBreakPreview" topLeftCell="J1" zoomScale="60" zoomScaleNormal="10" zoomScalePageLayoutView="48" workbookViewId="0">
      <selection activeCell="J6" sqref="J6:J10"/>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7" width="18.26953125" style="1" customWidth="1"/>
    <col min="18" max="20" width="13.7265625" style="1" customWidth="1"/>
    <col min="21" max="33" width="9.54296875" style="1" customWidth="1"/>
    <col min="34" max="34" width="35.7265625" style="1" customWidth="1"/>
    <col min="35" max="37" width="42.54296875" style="1" customWidth="1"/>
    <col min="38" max="16384" width="12.54296875" style="1"/>
  </cols>
  <sheetData>
    <row r="1" spans="1:37" s="60" customFormat="1" ht="15" customHeight="1" x14ac:dyDescent="0.35">
      <c r="A1" s="293"/>
      <c r="B1" s="294"/>
      <c r="C1" s="295"/>
      <c r="D1" s="361" t="s">
        <v>1037</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row>
    <row r="2" spans="1:37"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row>
    <row r="3" spans="1:37"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row>
    <row r="4" spans="1:37"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c r="AH4" s="62"/>
      <c r="AI4" s="62"/>
    </row>
    <row r="5" spans="1:37"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c r="AH5" s="62"/>
      <c r="AI5" s="62"/>
    </row>
    <row r="6" spans="1:37" ht="20.149999999999999" customHeight="1" x14ac:dyDescent="0.35">
      <c r="A6" s="292" t="s">
        <v>28</v>
      </c>
      <c r="B6" s="292"/>
      <c r="C6" s="302" t="s">
        <v>118</v>
      </c>
      <c r="D6" s="302"/>
      <c r="E6" s="303" t="s">
        <v>30</v>
      </c>
      <c r="F6" s="303"/>
      <c r="G6" s="324">
        <f>+S15+S17+S19+S21+S23+S25+S27+S29+S31+S33+S35+S37+S39+S41+S43+S45+S47+S49+S51+S53+S55+S57+S59+S61+S63+S65+S67+S69+S71+S73+S75+S77+S79+S81+S83+S85+S87+S89+S93+S97+S99+S101+S103+S105+S107+S109+S111+S91+S95</f>
        <v>1.0000000000000007</v>
      </c>
      <c r="H6" s="303" t="s">
        <v>31</v>
      </c>
      <c r="I6" s="303"/>
      <c r="J6" s="414">
        <f>+S14+S16+S18+S20+S22+S24+S26+S28+S30+S32+S34+S36+S38+S40+S42+S44+S46+S48+S50+S52+S54+S56+S58+S60+S62+S64+S66+S70+S72+S74+S76+S78+S80+S82+S84+S86+S88+S90+S92+S94+S96+S98+S100+S102+S104+S106+S108+S110</f>
        <v>0.25000000000000011</v>
      </c>
      <c r="K6" s="286" t="s">
        <v>32</v>
      </c>
      <c r="L6" s="287"/>
      <c r="M6" s="330">
        <v>0.95</v>
      </c>
      <c r="N6" s="306" t="s">
        <v>33</v>
      </c>
      <c r="O6" s="307"/>
      <c r="P6" s="307"/>
      <c r="Q6" s="308"/>
      <c r="R6" s="510">
        <f>(SUM(X14,X16,X18,X20,X22,X24,X26,X28,X30,X32,X34,V36:X36,X40,X42,X44,X46,X48,X50,X52,X54,X56,V58:X58,V62:X62,X64,X66,X68,V70:X70,X72,V74:X74,X76,X78,V80:X80,X82,X84,X86,X88,X90,X92,X94,X96,V98:X98,X102,X104,X106,X108,X110,V38:X38,V60:X60)/SUM(X15,X17,X19,X21,X23,X25,X27,X29,X31,X33,X35,V37:X37,X41,X43,X45,X47,X49,X51,X53,X55,X57,V59:X59,X61,V63:X63,X65,X67,X69,V71:X71,X73,V75:X75,X77,X79,V81:X81,X83,X85,X87,X89,X91,X93,X95,X97,V99:X99,X101,X103,X105,X107,X109,X111,V39:X39,))/M6</f>
        <v>1.0526315789473681</v>
      </c>
      <c r="S6" s="510"/>
      <c r="T6" s="510"/>
      <c r="U6" s="306" t="s">
        <v>34</v>
      </c>
      <c r="V6" s="307"/>
      <c r="W6" s="307"/>
      <c r="X6" s="308"/>
      <c r="Y6" s="333">
        <f>(SUM(Y14:AA14,Y16:AA16,Y18:AA18,Y20:AA20,Y22:AA22,Y24:AA24,Y26:AA26,Y28:AA28,Y30:AA30,Y32:AA32,Y34:AA34,Y36:AA36,Y40:AA40,Y42:AA42,Y44:AA44,Y46:AA46,Y48:AA48,Y50:AA50,Y52:AA52,Y54:AA54,Y56:AA56,Y58:AA58,Y62:AA62,Y64:AA64,Y66:AA66,Y68:AA68,Y70:AA70,Y72:AA72,Y74:AA74,Y76:AA76,Y78:AA78,Y80:AA80,Y82:AA82,Y84:AA84,Y86:AA86,Y88:AA88,Y90:AA90,Y92:AA92,Y94:AA94,Y96:AA96,Y98:AA98,Y100:AA100,Y102:AA102,Y104:AA104,Y106:AA106,Y108:AA108,Y110:AA110,Y38:AA38,Y60:AA60)/SUM(Y15:AA15,Y17:AA17,Y19:AA19,Y21:AA21,Y23:AA23,Y25:AA25,Y27:AA27,Y29:AA29,Y31:AA31,Y33:AA33,Y35:AA35,Y37:AA37,Y41:AA41,Y43:AA43,Y45:AA45,Y47:AA47,Y49:AA49,Y51:AA51,Y53:AA53,Y55:AA55,Y57:AA57,Y59:AA59,Y61:AA61,Y63:AA63,Y65:AA65,Y67:AA67,AA69,Y71:AA71,Y73:AA73,Y75:AA75,Y77:AA77,Y79:AA79,Y81:AA81,Y83:AA83,Y85:AA85,Y87:AA87,Y89:AA89,Y91:AA91,Y93:AA93,Y95:AA95,Y97:AA97,Y99:AA99,Y101:AA101,Y103:AA103,Y105:AA105,Y107:AA107,Y109:AA109,Y111:AA111,Y39:AA39,))/M6</f>
        <v>1.0233918128654973</v>
      </c>
      <c r="Z6" s="334"/>
      <c r="AA6" s="334"/>
      <c r="AB6" s="335"/>
      <c r="AC6" s="306" t="s">
        <v>35</v>
      </c>
      <c r="AD6" s="307"/>
      <c r="AE6" s="307"/>
      <c r="AF6" s="308"/>
      <c r="AG6" s="333">
        <f>(SUM(AD14,AD16,AD18,AD20,AD22,AD24,AD26,AD28,AD30,AD32,AD34,AB36:AD36,AD40,AD42,AD44,AD46,AD48,AD50,AD52,AD54,AD56,AB58:AD58,AD62:AD62,AD64,AD66,AD68,AB70:AD70,AD72,AB74:AD74,AD76,AD78,AB80:AD80,AD82,AD84,AD86,AD88,AD90,AD92,AD94,AD96,AB98:AD98,AD100,AD102,AD104,AD106,AD108,AD110,AD38:AD38,AD60:AD60)/SUM(AD15,AD17,AD19,AD21,AD23,AD25,AD27,AD29,AD31,AD33,AD35,AB37:AD37,AD41,AD43,AD45,AD47,AD49,AD51,AD53,AD55,AD57,AB59:AD59,AD61,AD63:AD63,AD65,AD67,AD69,AB71:AD71,AD73,AB75:AD75,AD77,AD79,AB81:AD81,AD83,AD85,AD87,AD89,AD91,AD93,AD95,AD97,AB99:AD99,AD101,AD103,AD105,AD107,AD109,AD111,AD39:AD39,))</f>
        <v>0</v>
      </c>
      <c r="AH6" s="334"/>
      <c r="AI6" s="306" t="s">
        <v>36</v>
      </c>
      <c r="AJ6" s="333">
        <f>(SUM(AG14,AG16,AG18,AG20,AG22,AG24,AG26,AG28,AG30,AG32,AG34,AE36:AG36,AG40,AG42,AG44,AG46,AG48,AG50,AG52,AG54,AG56,AE58:AG58,AG62:AG62,AG64,AG66,AG68,AE70:AG70,AG72,AE74:AG74,AG76,AG78,AE80:AG80,AG82,AG84,AG86,AG88,AG90,AG92,AG94,AG96,AE98:AG98,AG100,AG102,AG104,AG8,AG108,AG110,AG38:AG38,AG60:AG60)/SUM(AG15,AG17,AG19,AG21,AG23,AG25,AG27,AG29,AG31,AG33,AG35,AE37:AG37,AG41,AG43,AG45,AG47,AG49,AG51,AG53,AG55,AG57,AE59:AG59,AG61,AG63:AG63,AG65,AG67,AG69,AE71:AG71,AG73,AE75:AG75,AG77,AG79,AE81:AG81,AG83,AG85,AG87,AG89,AG91,AG93,AG95,AG97,AE99:AG99,AG101,AG103,AG105,AG107,AG109,AG111,AG39:AG39,))</f>
        <v>0</v>
      </c>
    </row>
    <row r="7" spans="1:37" ht="15" customHeight="1" x14ac:dyDescent="0.35">
      <c r="A7" s="292"/>
      <c r="B7" s="292"/>
      <c r="C7" s="302"/>
      <c r="D7" s="302"/>
      <c r="E7" s="303"/>
      <c r="F7" s="303"/>
      <c r="G7" s="325"/>
      <c r="H7" s="303"/>
      <c r="I7" s="303"/>
      <c r="J7" s="415"/>
      <c r="K7" s="288"/>
      <c r="L7" s="289"/>
      <c r="M7" s="331"/>
      <c r="N7" s="309"/>
      <c r="O7" s="310"/>
      <c r="P7" s="310"/>
      <c r="Q7" s="311"/>
      <c r="R7" s="510"/>
      <c r="S7" s="510"/>
      <c r="T7" s="510"/>
      <c r="U7" s="309"/>
      <c r="V7" s="310"/>
      <c r="W7" s="310"/>
      <c r="X7" s="311"/>
      <c r="Y7" s="336"/>
      <c r="Z7" s="337"/>
      <c r="AA7" s="337"/>
      <c r="AB7" s="338"/>
      <c r="AC7" s="309"/>
      <c r="AD7" s="310"/>
      <c r="AE7" s="310"/>
      <c r="AF7" s="311"/>
      <c r="AG7" s="336"/>
      <c r="AH7" s="337"/>
      <c r="AI7" s="309"/>
      <c r="AJ7" s="336"/>
    </row>
    <row r="8" spans="1:37" ht="25.15" hidden="1" customHeight="1" thickBot="1" x14ac:dyDescent="0.4">
      <c r="A8" s="292"/>
      <c r="B8" s="292"/>
      <c r="C8" s="302"/>
      <c r="D8" s="302"/>
      <c r="E8" s="303"/>
      <c r="F8" s="303"/>
      <c r="G8" s="325"/>
      <c r="H8" s="303"/>
      <c r="I8" s="303"/>
      <c r="J8" s="415"/>
      <c r="K8" s="288"/>
      <c r="L8" s="289"/>
      <c r="M8" s="331"/>
      <c r="N8" s="309"/>
      <c r="O8" s="310"/>
      <c r="P8" s="310"/>
      <c r="Q8" s="311"/>
      <c r="R8" s="510"/>
      <c r="S8" s="510"/>
      <c r="T8" s="510"/>
      <c r="U8" s="309"/>
      <c r="V8" s="310"/>
      <c r="W8" s="310"/>
      <c r="X8" s="311"/>
      <c r="Y8" s="336"/>
      <c r="Z8" s="337"/>
      <c r="AA8" s="337"/>
      <c r="AB8" s="338"/>
      <c r="AC8" s="309"/>
      <c r="AD8" s="310"/>
      <c r="AE8" s="310"/>
      <c r="AF8" s="311"/>
      <c r="AG8" s="336"/>
      <c r="AH8" s="337"/>
      <c r="AI8" s="309"/>
      <c r="AJ8" s="336"/>
    </row>
    <row r="9" spans="1:37" ht="25.15" hidden="1" customHeight="1" thickBot="1" x14ac:dyDescent="0.4">
      <c r="A9" s="292"/>
      <c r="B9" s="292"/>
      <c r="C9" s="302"/>
      <c r="D9" s="302"/>
      <c r="E9" s="303"/>
      <c r="F9" s="303"/>
      <c r="G9" s="325"/>
      <c r="H9" s="303"/>
      <c r="I9" s="303"/>
      <c r="J9" s="415"/>
      <c r="K9" s="288"/>
      <c r="L9" s="289"/>
      <c r="M9" s="331"/>
      <c r="N9" s="309"/>
      <c r="O9" s="310"/>
      <c r="P9" s="310"/>
      <c r="Q9" s="311"/>
      <c r="R9" s="510"/>
      <c r="S9" s="510"/>
      <c r="T9" s="510"/>
      <c r="U9" s="309"/>
      <c r="V9" s="310"/>
      <c r="W9" s="310"/>
      <c r="X9" s="311"/>
      <c r="Y9" s="336"/>
      <c r="Z9" s="337"/>
      <c r="AA9" s="337"/>
      <c r="AB9" s="338"/>
      <c r="AC9" s="309"/>
      <c r="AD9" s="310"/>
      <c r="AE9" s="310"/>
      <c r="AF9" s="311"/>
      <c r="AG9" s="336"/>
      <c r="AH9" s="337"/>
      <c r="AI9" s="309"/>
      <c r="AJ9" s="336"/>
    </row>
    <row r="10" spans="1:37" ht="15" customHeight="1" thickBot="1" x14ac:dyDescent="0.4">
      <c r="A10" s="292"/>
      <c r="B10" s="292"/>
      <c r="C10" s="302"/>
      <c r="D10" s="302"/>
      <c r="E10" s="303"/>
      <c r="F10" s="303"/>
      <c r="G10" s="326"/>
      <c r="H10" s="303"/>
      <c r="I10" s="303"/>
      <c r="J10" s="416"/>
      <c r="K10" s="290"/>
      <c r="L10" s="291"/>
      <c r="M10" s="332"/>
      <c r="N10" s="312"/>
      <c r="O10" s="313"/>
      <c r="P10" s="313"/>
      <c r="Q10" s="314"/>
      <c r="R10" s="510"/>
      <c r="S10" s="510"/>
      <c r="T10" s="510"/>
      <c r="U10" s="312"/>
      <c r="V10" s="313"/>
      <c r="W10" s="313"/>
      <c r="X10" s="314"/>
      <c r="Y10" s="339"/>
      <c r="Z10" s="340"/>
      <c r="AA10" s="340"/>
      <c r="AB10" s="341"/>
      <c r="AC10" s="312"/>
      <c r="AD10" s="313"/>
      <c r="AE10" s="313"/>
      <c r="AF10" s="314"/>
      <c r="AG10" s="339"/>
      <c r="AH10" s="340"/>
      <c r="AI10" s="312"/>
      <c r="AJ10" s="339"/>
    </row>
    <row r="11" spans="1:37" s="12" customFormat="1" ht="40.15" customHeight="1" thickBot="1" x14ac:dyDescent="0.4">
      <c r="A11" s="268" t="s">
        <v>37</v>
      </c>
      <c r="B11" s="268"/>
      <c r="C11" s="268"/>
      <c r="D11" s="268"/>
      <c r="E11" s="268"/>
      <c r="F11" s="269"/>
      <c r="G11" s="505" t="s">
        <v>38</v>
      </c>
      <c r="H11" s="506"/>
      <c r="I11" s="506"/>
      <c r="J11" s="506"/>
      <c r="K11" s="506"/>
      <c r="L11" s="506"/>
      <c r="M11" s="506"/>
      <c r="N11" s="506"/>
      <c r="O11" s="506"/>
      <c r="P11" s="506"/>
      <c r="Q11" s="507"/>
      <c r="R11" s="345" t="s">
        <v>39</v>
      </c>
      <c r="S11" s="346"/>
      <c r="T11" s="346"/>
      <c r="U11" s="346"/>
      <c r="V11" s="346"/>
      <c r="W11" s="346"/>
      <c r="X11" s="346"/>
      <c r="Y11" s="346"/>
      <c r="Z11" s="346"/>
      <c r="AA11" s="346"/>
      <c r="AB11" s="346"/>
      <c r="AC11" s="346"/>
      <c r="AD11" s="346"/>
      <c r="AE11" s="346"/>
      <c r="AF11" s="346"/>
      <c r="AG11" s="347"/>
      <c r="AH11" s="345" t="s">
        <v>40</v>
      </c>
      <c r="AI11" s="346"/>
      <c r="AJ11" s="346"/>
      <c r="AK11" s="346"/>
    </row>
    <row r="12" spans="1:37" ht="39" customHeight="1" x14ac:dyDescent="0.35">
      <c r="A12" s="273" t="s">
        <v>41</v>
      </c>
      <c r="B12" s="275" t="s">
        <v>42</v>
      </c>
      <c r="C12" s="275" t="s">
        <v>43</v>
      </c>
      <c r="D12" s="275" t="s">
        <v>44</v>
      </c>
      <c r="E12" s="275" t="s">
        <v>45</v>
      </c>
      <c r="F12" s="275" t="s">
        <v>9</v>
      </c>
      <c r="G12" s="275" t="s">
        <v>1038</v>
      </c>
      <c r="H12" s="275" t="s">
        <v>32</v>
      </c>
      <c r="I12" s="275" t="s">
        <v>1039</v>
      </c>
      <c r="J12" s="275" t="s">
        <v>1040</v>
      </c>
      <c r="K12" s="275" t="s">
        <v>1041</v>
      </c>
      <c r="L12" s="275" t="s">
        <v>1042</v>
      </c>
      <c r="M12" s="275" t="s">
        <v>49</v>
      </c>
      <c r="N12" s="275" t="s">
        <v>50</v>
      </c>
      <c r="O12" s="275" t="s">
        <v>1043</v>
      </c>
      <c r="P12" s="275" t="s">
        <v>53</v>
      </c>
      <c r="Q12" s="275" t="s">
        <v>54</v>
      </c>
      <c r="R12" s="356" t="s">
        <v>55</v>
      </c>
      <c r="S12" s="357" t="s">
        <v>56</v>
      </c>
      <c r="T12" s="358" t="s">
        <v>57</v>
      </c>
      <c r="U12" s="354" t="s">
        <v>58</v>
      </c>
      <c r="V12" s="352" t="s">
        <v>59</v>
      </c>
      <c r="W12" s="350" t="s">
        <v>60</v>
      </c>
      <c r="X12" s="304" t="s">
        <v>61</v>
      </c>
      <c r="Y12" s="359" t="s">
        <v>62</v>
      </c>
      <c r="Z12" s="304" t="s">
        <v>63</v>
      </c>
      <c r="AA12" s="350" t="s">
        <v>64</v>
      </c>
      <c r="AB12" s="352" t="s">
        <v>65</v>
      </c>
      <c r="AC12" s="354" t="s">
        <v>66</v>
      </c>
      <c r="AD12" s="352" t="s">
        <v>67</v>
      </c>
      <c r="AE12" s="350" t="s">
        <v>68</v>
      </c>
      <c r="AF12" s="304" t="s">
        <v>69</v>
      </c>
      <c r="AG12" s="348" t="s">
        <v>70</v>
      </c>
      <c r="AH12" s="344" t="s">
        <v>71</v>
      </c>
      <c r="AI12" s="344" t="s">
        <v>72</v>
      </c>
      <c r="AJ12" s="344" t="s">
        <v>73</v>
      </c>
      <c r="AK12" s="344" t="s">
        <v>74</v>
      </c>
    </row>
    <row r="13" spans="1:37" ht="60" customHeight="1" thickBot="1" x14ac:dyDescent="0.4">
      <c r="A13" s="274"/>
      <c r="B13" s="274"/>
      <c r="C13" s="274"/>
      <c r="D13" s="274"/>
      <c r="E13" s="274"/>
      <c r="F13" s="274"/>
      <c r="G13" s="274"/>
      <c r="H13" s="274"/>
      <c r="I13" s="274"/>
      <c r="J13" s="274"/>
      <c r="K13" s="274"/>
      <c r="L13" s="274"/>
      <c r="M13" s="274"/>
      <c r="N13" s="274"/>
      <c r="O13" s="274"/>
      <c r="P13" s="274"/>
      <c r="Q13" s="274"/>
      <c r="R13" s="356"/>
      <c r="S13" s="357"/>
      <c r="T13" s="358"/>
      <c r="U13" s="355"/>
      <c r="V13" s="353"/>
      <c r="W13" s="351"/>
      <c r="X13" s="305"/>
      <c r="Y13" s="360"/>
      <c r="Z13" s="305"/>
      <c r="AA13" s="351"/>
      <c r="AB13" s="353"/>
      <c r="AC13" s="355"/>
      <c r="AD13" s="353"/>
      <c r="AE13" s="351"/>
      <c r="AF13" s="305"/>
      <c r="AG13" s="349"/>
      <c r="AH13" s="344"/>
      <c r="AI13" s="344"/>
      <c r="AJ13" s="344"/>
      <c r="AK13" s="344"/>
    </row>
    <row r="14" spans="1:37" ht="40.15" customHeight="1" thickBot="1" x14ac:dyDescent="0.4">
      <c r="A14" s="259">
        <v>1</v>
      </c>
      <c r="B14" s="259" t="s">
        <v>219</v>
      </c>
      <c r="C14" s="259" t="s">
        <v>115</v>
      </c>
      <c r="D14" s="259" t="s">
        <v>116</v>
      </c>
      <c r="E14" s="259" t="s">
        <v>117</v>
      </c>
      <c r="F14" s="277" t="s">
        <v>79</v>
      </c>
      <c r="G14" s="259" t="s">
        <v>1044</v>
      </c>
      <c r="H14" s="511">
        <v>1</v>
      </c>
      <c r="I14" s="259" t="s">
        <v>1045</v>
      </c>
      <c r="J14" s="508" t="s">
        <v>1046</v>
      </c>
      <c r="K14" s="508" t="s">
        <v>1047</v>
      </c>
      <c r="L14" s="259" t="s">
        <v>955</v>
      </c>
      <c r="M14" s="259" t="s">
        <v>1048</v>
      </c>
      <c r="N14" s="261" t="s">
        <v>1049</v>
      </c>
      <c r="O14" s="261" t="s">
        <v>272</v>
      </c>
      <c r="P14" s="263">
        <v>44958</v>
      </c>
      <c r="Q14" s="263">
        <v>44985</v>
      </c>
      <c r="R14" s="64" t="s">
        <v>86</v>
      </c>
      <c r="S14" s="53">
        <f>+(S15*T14)</f>
        <v>0</v>
      </c>
      <c r="T14" s="71">
        <f t="shared" ref="T14:T45" si="0">SUM(U14:AG14)</f>
        <v>0</v>
      </c>
      <c r="U14" s="43"/>
      <c r="V14" s="43"/>
      <c r="W14" s="43"/>
      <c r="X14" s="43"/>
      <c r="Y14" s="43"/>
      <c r="Z14" s="43"/>
      <c r="AA14" s="43"/>
      <c r="AB14" s="43"/>
      <c r="AC14" s="44"/>
      <c r="AD14" s="44"/>
      <c r="AE14" s="44"/>
      <c r="AF14" s="44"/>
      <c r="AG14" s="44"/>
      <c r="AH14" s="362"/>
      <c r="AI14" s="366"/>
      <c r="AJ14" s="342"/>
      <c r="AK14" s="342"/>
    </row>
    <row r="15" spans="1:37" ht="64.5" customHeight="1" thickBot="1" x14ac:dyDescent="0.4">
      <c r="A15" s="260"/>
      <c r="B15" s="260"/>
      <c r="C15" s="260"/>
      <c r="D15" s="260"/>
      <c r="E15" s="260"/>
      <c r="F15" s="280"/>
      <c r="G15" s="260"/>
      <c r="H15" s="512"/>
      <c r="I15" s="260"/>
      <c r="J15" s="509"/>
      <c r="K15" s="509"/>
      <c r="L15" s="260"/>
      <c r="M15" s="260"/>
      <c r="N15" s="266"/>
      <c r="O15" s="266"/>
      <c r="P15" s="267"/>
      <c r="Q15" s="267"/>
      <c r="R15" s="64" t="s">
        <v>89</v>
      </c>
      <c r="S15" s="52">
        <f>100%/49</f>
        <v>2.0408163265306121E-2</v>
      </c>
      <c r="T15" s="71">
        <f t="shared" si="0"/>
        <v>1</v>
      </c>
      <c r="U15" s="42"/>
      <c r="V15" s="42"/>
      <c r="W15" s="42"/>
      <c r="X15" s="42"/>
      <c r="Y15" s="42"/>
      <c r="Z15" s="42"/>
      <c r="AA15" s="42"/>
      <c r="AB15" s="42"/>
      <c r="AC15" s="42"/>
      <c r="AD15" s="42"/>
      <c r="AE15" s="42"/>
      <c r="AF15" s="42"/>
      <c r="AG15" s="42">
        <v>1</v>
      </c>
      <c r="AH15" s="363"/>
      <c r="AI15" s="367"/>
      <c r="AJ15" s="343"/>
      <c r="AK15" s="343"/>
    </row>
    <row r="16" spans="1:37" ht="37.15" customHeight="1" thickBot="1" x14ac:dyDescent="0.4">
      <c r="A16" s="259">
        <v>2</v>
      </c>
      <c r="B16" s="259" t="s">
        <v>219</v>
      </c>
      <c r="C16" s="259" t="s">
        <v>115</v>
      </c>
      <c r="D16" s="259" t="s">
        <v>116</v>
      </c>
      <c r="E16" s="259" t="s">
        <v>117</v>
      </c>
      <c r="F16" s="277" t="s">
        <v>79</v>
      </c>
      <c r="G16" s="259" t="s">
        <v>1044</v>
      </c>
      <c r="H16" s="511">
        <v>1</v>
      </c>
      <c r="I16" s="259" t="s">
        <v>1050</v>
      </c>
      <c r="J16" s="508" t="s">
        <v>1051</v>
      </c>
      <c r="K16" s="508" t="s">
        <v>1052</v>
      </c>
      <c r="L16" s="259" t="s">
        <v>955</v>
      </c>
      <c r="M16" s="259" t="s">
        <v>1053</v>
      </c>
      <c r="N16" s="261" t="s">
        <v>84</v>
      </c>
      <c r="O16" s="261" t="s">
        <v>272</v>
      </c>
      <c r="P16" s="263">
        <v>44958</v>
      </c>
      <c r="Q16" s="263">
        <v>44985</v>
      </c>
      <c r="R16" s="64" t="s">
        <v>86</v>
      </c>
      <c r="S16" s="53">
        <f>+(S17*T16)</f>
        <v>0</v>
      </c>
      <c r="T16" s="71">
        <f t="shared" si="0"/>
        <v>0</v>
      </c>
      <c r="U16" s="43"/>
      <c r="V16" s="43"/>
      <c r="W16" s="43"/>
      <c r="X16" s="43"/>
      <c r="Y16" s="43"/>
      <c r="Z16" s="43"/>
      <c r="AA16" s="43"/>
      <c r="AB16" s="43"/>
      <c r="AC16" s="44"/>
      <c r="AD16" s="44"/>
      <c r="AE16" s="44"/>
      <c r="AF16" s="44"/>
      <c r="AG16" s="44"/>
      <c r="AH16" s="362"/>
      <c r="AI16" s="366"/>
      <c r="AJ16" s="342"/>
      <c r="AK16" s="342"/>
    </row>
    <row r="17" spans="1:37" ht="37.15" customHeight="1" thickBot="1" x14ac:dyDescent="0.4">
      <c r="A17" s="260"/>
      <c r="B17" s="260"/>
      <c r="C17" s="260"/>
      <c r="D17" s="260"/>
      <c r="E17" s="260"/>
      <c r="F17" s="278"/>
      <c r="G17" s="260"/>
      <c r="H17" s="512"/>
      <c r="I17" s="260"/>
      <c r="J17" s="509"/>
      <c r="K17" s="509"/>
      <c r="L17" s="260"/>
      <c r="M17" s="260"/>
      <c r="N17" s="266"/>
      <c r="O17" s="266"/>
      <c r="P17" s="267"/>
      <c r="Q17" s="267"/>
      <c r="R17" s="64" t="s">
        <v>89</v>
      </c>
      <c r="S17" s="52">
        <f>100%/49</f>
        <v>2.0408163265306121E-2</v>
      </c>
      <c r="T17" s="71">
        <f t="shared" si="0"/>
        <v>1</v>
      </c>
      <c r="U17" s="42"/>
      <c r="V17" s="42"/>
      <c r="W17" s="42"/>
      <c r="X17" s="42"/>
      <c r="Y17" s="42"/>
      <c r="Z17" s="42"/>
      <c r="AA17" s="42"/>
      <c r="AB17" s="42"/>
      <c r="AC17" s="42"/>
      <c r="AD17" s="42"/>
      <c r="AE17" s="42"/>
      <c r="AF17" s="42"/>
      <c r="AG17" s="42">
        <v>1</v>
      </c>
      <c r="AH17" s="363"/>
      <c r="AI17" s="367"/>
      <c r="AJ17" s="343"/>
      <c r="AK17" s="343"/>
    </row>
    <row r="18" spans="1:37" ht="37.15" customHeight="1" thickBot="1" x14ac:dyDescent="0.4">
      <c r="A18" s="259">
        <v>3</v>
      </c>
      <c r="B18" s="259" t="s">
        <v>219</v>
      </c>
      <c r="C18" s="259" t="s">
        <v>115</v>
      </c>
      <c r="D18" s="259" t="s">
        <v>116</v>
      </c>
      <c r="E18" s="259" t="s">
        <v>117</v>
      </c>
      <c r="F18" s="277" t="s">
        <v>79</v>
      </c>
      <c r="G18" s="259" t="s">
        <v>1044</v>
      </c>
      <c r="H18" s="511">
        <v>1</v>
      </c>
      <c r="I18" s="259" t="s">
        <v>1050</v>
      </c>
      <c r="J18" s="508" t="s">
        <v>1054</v>
      </c>
      <c r="K18" s="508" t="s">
        <v>1055</v>
      </c>
      <c r="L18" s="259" t="s">
        <v>955</v>
      </c>
      <c r="M18" s="259" t="s">
        <v>1056</v>
      </c>
      <c r="N18" s="259" t="s">
        <v>84</v>
      </c>
      <c r="O18" s="261" t="s">
        <v>126</v>
      </c>
      <c r="P18" s="263">
        <v>45078</v>
      </c>
      <c r="Q18" s="263">
        <v>45290</v>
      </c>
      <c r="R18" s="64" t="s">
        <v>86</v>
      </c>
      <c r="S18" s="53">
        <f>+(S19*T18)</f>
        <v>1.020408163265306E-2</v>
      </c>
      <c r="T18" s="71">
        <f t="shared" si="0"/>
        <v>0.5</v>
      </c>
      <c r="U18" s="43"/>
      <c r="V18" s="43"/>
      <c r="W18" s="43"/>
      <c r="X18" s="43"/>
      <c r="Y18" s="43"/>
      <c r="Z18" s="43"/>
      <c r="AA18" s="43">
        <v>0.5</v>
      </c>
      <c r="AB18" s="43"/>
      <c r="AC18" s="44"/>
      <c r="AD18" s="44"/>
      <c r="AE18" s="44"/>
      <c r="AF18" s="44"/>
      <c r="AG18" s="44"/>
      <c r="AH18" s="362"/>
      <c r="AI18" s="366" t="s">
        <v>1057</v>
      </c>
      <c r="AJ18" s="342"/>
      <c r="AK18" s="342"/>
    </row>
    <row r="19" spans="1:37" ht="37.15" customHeight="1" thickBot="1" x14ac:dyDescent="0.4">
      <c r="A19" s="260"/>
      <c r="B19" s="260"/>
      <c r="C19" s="260"/>
      <c r="D19" s="260"/>
      <c r="E19" s="260"/>
      <c r="F19" s="278"/>
      <c r="G19" s="260"/>
      <c r="H19" s="512"/>
      <c r="I19" s="260"/>
      <c r="J19" s="509"/>
      <c r="K19" s="509"/>
      <c r="L19" s="260"/>
      <c r="M19" s="260"/>
      <c r="N19" s="260"/>
      <c r="O19" s="266"/>
      <c r="P19" s="267"/>
      <c r="Q19" s="267"/>
      <c r="R19" s="64" t="s">
        <v>89</v>
      </c>
      <c r="S19" s="52">
        <f>100%/49</f>
        <v>2.0408163265306121E-2</v>
      </c>
      <c r="T19" s="71">
        <f t="shared" si="0"/>
        <v>1</v>
      </c>
      <c r="U19" s="42"/>
      <c r="V19" s="42"/>
      <c r="W19" s="42"/>
      <c r="X19" s="42"/>
      <c r="Y19" s="42"/>
      <c r="Z19" s="42"/>
      <c r="AA19" s="42">
        <v>0.5</v>
      </c>
      <c r="AB19" s="42"/>
      <c r="AC19" s="42"/>
      <c r="AD19" s="42"/>
      <c r="AE19" s="42"/>
      <c r="AF19" s="42"/>
      <c r="AG19" s="42">
        <v>0.5</v>
      </c>
      <c r="AH19" s="363"/>
      <c r="AI19" s="367"/>
      <c r="AJ19" s="343"/>
      <c r="AK19" s="343"/>
    </row>
    <row r="20" spans="1:37" ht="37.15" customHeight="1" thickBot="1" x14ac:dyDescent="0.4">
      <c r="A20" s="259">
        <v>4</v>
      </c>
      <c r="B20" s="259" t="s">
        <v>219</v>
      </c>
      <c r="C20" s="259" t="s">
        <v>115</v>
      </c>
      <c r="D20" s="259" t="s">
        <v>116</v>
      </c>
      <c r="E20" s="259" t="s">
        <v>117</v>
      </c>
      <c r="F20" s="277" t="s">
        <v>79</v>
      </c>
      <c r="G20" s="259" t="s">
        <v>1058</v>
      </c>
      <c r="H20" s="511">
        <v>1</v>
      </c>
      <c r="I20" s="259" t="s">
        <v>1050</v>
      </c>
      <c r="J20" s="508" t="s">
        <v>1059</v>
      </c>
      <c r="K20" s="508" t="s">
        <v>1060</v>
      </c>
      <c r="L20" s="259" t="s">
        <v>955</v>
      </c>
      <c r="M20" s="259" t="s">
        <v>1061</v>
      </c>
      <c r="N20" s="259" t="s">
        <v>84</v>
      </c>
      <c r="O20" s="261" t="s">
        <v>272</v>
      </c>
      <c r="P20" s="263">
        <v>45047</v>
      </c>
      <c r="Q20" s="263">
        <v>45076</v>
      </c>
      <c r="R20" s="64" t="s">
        <v>86</v>
      </c>
      <c r="S20" s="53">
        <f>+(S21*T20)</f>
        <v>0</v>
      </c>
      <c r="T20" s="71">
        <f t="shared" si="0"/>
        <v>0</v>
      </c>
      <c r="U20" s="43"/>
      <c r="V20" s="43"/>
      <c r="W20" s="43"/>
      <c r="X20" s="43"/>
      <c r="Y20" s="43"/>
      <c r="Z20" s="43"/>
      <c r="AA20" s="43"/>
      <c r="AB20" s="43"/>
      <c r="AC20" s="44"/>
      <c r="AD20" s="44"/>
      <c r="AE20" s="44"/>
      <c r="AF20" s="44"/>
      <c r="AG20" s="44"/>
      <c r="AH20" s="362"/>
      <c r="AI20" s="366"/>
      <c r="AJ20" s="342"/>
      <c r="AK20" s="342"/>
    </row>
    <row r="21" spans="1:37" ht="37.15" customHeight="1" thickBot="1" x14ac:dyDescent="0.4">
      <c r="A21" s="260"/>
      <c r="B21" s="260"/>
      <c r="C21" s="260"/>
      <c r="D21" s="260"/>
      <c r="E21" s="260"/>
      <c r="F21" s="278"/>
      <c r="G21" s="260"/>
      <c r="H21" s="512"/>
      <c r="I21" s="260"/>
      <c r="J21" s="509"/>
      <c r="K21" s="509"/>
      <c r="L21" s="260"/>
      <c r="M21" s="260"/>
      <c r="N21" s="260"/>
      <c r="O21" s="266"/>
      <c r="P21" s="267"/>
      <c r="Q21" s="267"/>
      <c r="R21" s="64" t="s">
        <v>89</v>
      </c>
      <c r="S21" s="52">
        <f>100%/49</f>
        <v>2.0408163265306121E-2</v>
      </c>
      <c r="T21" s="71">
        <f t="shared" si="0"/>
        <v>1</v>
      </c>
      <c r="U21" s="42"/>
      <c r="V21" s="42"/>
      <c r="W21" s="42"/>
      <c r="X21" s="42"/>
      <c r="Y21" s="42"/>
      <c r="Z21" s="42"/>
      <c r="AA21" s="42"/>
      <c r="AB21" s="42"/>
      <c r="AC21" s="42"/>
      <c r="AD21" s="42"/>
      <c r="AE21" s="42"/>
      <c r="AF21" s="42"/>
      <c r="AG21" s="42">
        <v>1</v>
      </c>
      <c r="AH21" s="363"/>
      <c r="AI21" s="367"/>
      <c r="AJ21" s="343"/>
      <c r="AK21" s="343"/>
    </row>
    <row r="22" spans="1:37" ht="37.15" customHeight="1" thickBot="1" x14ac:dyDescent="0.4">
      <c r="A22" s="259">
        <v>5</v>
      </c>
      <c r="B22" s="259" t="s">
        <v>219</v>
      </c>
      <c r="C22" s="259" t="s">
        <v>115</v>
      </c>
      <c r="D22" s="259" t="s">
        <v>116</v>
      </c>
      <c r="E22" s="259" t="s">
        <v>117</v>
      </c>
      <c r="F22" s="277" t="s">
        <v>79</v>
      </c>
      <c r="G22" s="259" t="s">
        <v>1058</v>
      </c>
      <c r="H22" s="511">
        <v>1</v>
      </c>
      <c r="I22" s="259" t="s">
        <v>1062</v>
      </c>
      <c r="J22" s="513" t="s">
        <v>1063</v>
      </c>
      <c r="K22" s="508" t="s">
        <v>1064</v>
      </c>
      <c r="L22" s="259" t="s">
        <v>955</v>
      </c>
      <c r="M22" s="259" t="s">
        <v>1065</v>
      </c>
      <c r="N22" s="261" t="s">
        <v>1049</v>
      </c>
      <c r="O22" s="261" t="s">
        <v>272</v>
      </c>
      <c r="P22" s="405">
        <v>45108</v>
      </c>
      <c r="Q22" s="405">
        <v>45137</v>
      </c>
      <c r="R22" s="64" t="s">
        <v>86</v>
      </c>
      <c r="S22" s="53">
        <f>+(S23*T22)</f>
        <v>0</v>
      </c>
      <c r="T22" s="71">
        <f t="shared" si="0"/>
        <v>0</v>
      </c>
      <c r="U22" s="45"/>
      <c r="V22" s="45"/>
      <c r="W22" s="45"/>
      <c r="X22" s="43"/>
      <c r="Y22" s="43"/>
      <c r="Z22" s="43"/>
      <c r="AA22" s="43"/>
      <c r="AB22" s="43"/>
      <c r="AC22" s="44"/>
      <c r="AD22" s="44"/>
      <c r="AE22" s="44"/>
      <c r="AF22" s="44"/>
      <c r="AG22" s="44"/>
      <c r="AH22" s="362"/>
      <c r="AI22" s="366"/>
      <c r="AJ22" s="342"/>
      <c r="AK22" s="342"/>
    </row>
    <row r="23" spans="1:37" ht="37.15" customHeight="1" thickBot="1" x14ac:dyDescent="0.4">
      <c r="A23" s="260"/>
      <c r="B23" s="260"/>
      <c r="C23" s="260"/>
      <c r="D23" s="260"/>
      <c r="E23" s="260"/>
      <c r="F23" s="278"/>
      <c r="G23" s="260"/>
      <c r="H23" s="512"/>
      <c r="I23" s="260"/>
      <c r="J23" s="514"/>
      <c r="K23" s="509"/>
      <c r="L23" s="260"/>
      <c r="M23" s="260"/>
      <c r="N23" s="266"/>
      <c r="O23" s="266"/>
      <c r="P23" s="409"/>
      <c r="Q23" s="409"/>
      <c r="R23" s="64" t="s">
        <v>89</v>
      </c>
      <c r="S23" s="52">
        <f>100%/49</f>
        <v>2.0408163265306121E-2</v>
      </c>
      <c r="T23" s="71">
        <f t="shared" si="0"/>
        <v>1</v>
      </c>
      <c r="U23" s="42"/>
      <c r="V23" s="42"/>
      <c r="W23" s="42"/>
      <c r="X23" s="42"/>
      <c r="Y23" s="42"/>
      <c r="Z23" s="42"/>
      <c r="AA23" s="42"/>
      <c r="AB23" s="42"/>
      <c r="AC23" s="42"/>
      <c r="AD23" s="42"/>
      <c r="AE23" s="42"/>
      <c r="AF23" s="42"/>
      <c r="AG23" s="42">
        <v>1</v>
      </c>
      <c r="AH23" s="363"/>
      <c r="AI23" s="367"/>
      <c r="AJ23" s="343"/>
      <c r="AK23" s="343"/>
    </row>
    <row r="24" spans="1:37" ht="37.15" customHeight="1" thickBot="1" x14ac:dyDescent="0.4">
      <c r="A24" s="259">
        <v>6</v>
      </c>
      <c r="B24" s="259" t="s">
        <v>219</v>
      </c>
      <c r="C24" s="259" t="s">
        <v>115</v>
      </c>
      <c r="D24" s="259" t="s">
        <v>116</v>
      </c>
      <c r="E24" s="259" t="s">
        <v>117</v>
      </c>
      <c r="F24" s="277" t="s">
        <v>79</v>
      </c>
      <c r="G24" s="259" t="s">
        <v>1058</v>
      </c>
      <c r="H24" s="511">
        <v>1</v>
      </c>
      <c r="I24" s="259" t="s">
        <v>1062</v>
      </c>
      <c r="J24" s="508" t="s">
        <v>1066</v>
      </c>
      <c r="K24" s="508" t="s">
        <v>1067</v>
      </c>
      <c r="L24" s="259" t="s">
        <v>955</v>
      </c>
      <c r="M24" s="259" t="s">
        <v>1065</v>
      </c>
      <c r="N24" s="261" t="s">
        <v>1049</v>
      </c>
      <c r="O24" s="261" t="s">
        <v>272</v>
      </c>
      <c r="P24" s="405">
        <v>45017</v>
      </c>
      <c r="Q24" s="405">
        <v>45046</v>
      </c>
      <c r="R24" s="64" t="s">
        <v>86</v>
      </c>
      <c r="S24" s="53">
        <f>+(S25*T24)</f>
        <v>0</v>
      </c>
      <c r="T24" s="71">
        <f t="shared" si="0"/>
        <v>0</v>
      </c>
      <c r="U24" s="63"/>
      <c r="V24" s="63"/>
      <c r="W24" s="63"/>
      <c r="X24" s="43"/>
      <c r="Y24" s="43"/>
      <c r="Z24" s="43"/>
      <c r="AA24" s="43"/>
      <c r="AB24" s="43"/>
      <c r="AC24" s="44"/>
      <c r="AD24" s="44"/>
      <c r="AE24" s="44"/>
      <c r="AF24" s="44"/>
      <c r="AG24" s="44"/>
      <c r="AH24" s="362"/>
      <c r="AI24" s="366"/>
      <c r="AJ24" s="342"/>
      <c r="AK24" s="342"/>
    </row>
    <row r="25" spans="1:37" ht="40.15" customHeight="1" thickBot="1" x14ac:dyDescent="0.4">
      <c r="A25" s="260"/>
      <c r="B25" s="260"/>
      <c r="C25" s="260"/>
      <c r="D25" s="260"/>
      <c r="E25" s="260"/>
      <c r="F25" s="278"/>
      <c r="G25" s="260"/>
      <c r="H25" s="512"/>
      <c r="I25" s="260"/>
      <c r="J25" s="509"/>
      <c r="K25" s="509"/>
      <c r="L25" s="260"/>
      <c r="M25" s="260"/>
      <c r="N25" s="266"/>
      <c r="O25" s="266"/>
      <c r="P25" s="409"/>
      <c r="Q25" s="409"/>
      <c r="R25" s="64" t="s">
        <v>89</v>
      </c>
      <c r="S25" s="52">
        <f>100%/49</f>
        <v>2.0408163265306121E-2</v>
      </c>
      <c r="T25" s="71">
        <f t="shared" si="0"/>
        <v>1</v>
      </c>
      <c r="U25" s="42"/>
      <c r="V25" s="42"/>
      <c r="W25" s="42"/>
      <c r="X25" s="42"/>
      <c r="Y25" s="42"/>
      <c r="Z25" s="42"/>
      <c r="AA25" s="42"/>
      <c r="AB25" s="42"/>
      <c r="AC25" s="42"/>
      <c r="AD25" s="42"/>
      <c r="AE25" s="42"/>
      <c r="AF25" s="42"/>
      <c r="AG25" s="42">
        <v>1</v>
      </c>
      <c r="AH25" s="363"/>
      <c r="AI25" s="367"/>
      <c r="AJ25" s="343"/>
      <c r="AK25" s="343"/>
    </row>
    <row r="26" spans="1:37" ht="37.15" customHeight="1" thickBot="1" x14ac:dyDescent="0.4">
      <c r="A26" s="259">
        <v>7</v>
      </c>
      <c r="B26" s="259" t="s">
        <v>219</v>
      </c>
      <c r="C26" s="259" t="s">
        <v>115</v>
      </c>
      <c r="D26" s="259" t="s">
        <v>116</v>
      </c>
      <c r="E26" s="259" t="s">
        <v>117</v>
      </c>
      <c r="F26" s="284" t="s">
        <v>79</v>
      </c>
      <c r="G26" s="259" t="s">
        <v>1058</v>
      </c>
      <c r="H26" s="511">
        <v>1</v>
      </c>
      <c r="I26" s="259" t="s">
        <v>1062</v>
      </c>
      <c r="J26" s="508" t="s">
        <v>1068</v>
      </c>
      <c r="K26" s="508" t="s">
        <v>1069</v>
      </c>
      <c r="L26" s="259" t="s">
        <v>955</v>
      </c>
      <c r="M26" s="259" t="s">
        <v>1070</v>
      </c>
      <c r="N26" s="259" t="s">
        <v>84</v>
      </c>
      <c r="O26" s="261" t="s">
        <v>272</v>
      </c>
      <c r="P26" s="405">
        <v>44958</v>
      </c>
      <c r="Q26" s="405">
        <v>44985</v>
      </c>
      <c r="R26" s="64" t="s">
        <v>86</v>
      </c>
      <c r="S26" s="53">
        <f>+(S27*T26)</f>
        <v>0</v>
      </c>
      <c r="T26" s="71">
        <f t="shared" si="0"/>
        <v>0</v>
      </c>
      <c r="U26" s="45"/>
      <c r="V26" s="45"/>
      <c r="W26" s="45"/>
      <c r="X26" s="45"/>
      <c r="Y26" s="45"/>
      <c r="Z26" s="45"/>
      <c r="AA26" s="45"/>
      <c r="AB26" s="45"/>
      <c r="AC26" s="45"/>
      <c r="AD26" s="45"/>
      <c r="AE26" s="45"/>
      <c r="AF26" s="45"/>
      <c r="AG26" s="45"/>
      <c r="AH26" s="362"/>
      <c r="AI26" s="366"/>
      <c r="AJ26" s="342"/>
      <c r="AK26" s="342"/>
    </row>
    <row r="27" spans="1:37" ht="37.15" customHeight="1" thickBot="1" x14ac:dyDescent="0.4">
      <c r="A27" s="260"/>
      <c r="B27" s="260"/>
      <c r="C27" s="260"/>
      <c r="D27" s="260"/>
      <c r="E27" s="260"/>
      <c r="F27" s="284"/>
      <c r="G27" s="260"/>
      <c r="H27" s="512"/>
      <c r="I27" s="260"/>
      <c r="J27" s="509"/>
      <c r="K27" s="509"/>
      <c r="L27" s="260"/>
      <c r="M27" s="260"/>
      <c r="N27" s="260"/>
      <c r="O27" s="266"/>
      <c r="P27" s="409"/>
      <c r="Q27" s="409"/>
      <c r="R27" s="64" t="s">
        <v>89</v>
      </c>
      <c r="S27" s="52">
        <f>100%/49</f>
        <v>2.0408163265306121E-2</v>
      </c>
      <c r="T27" s="71">
        <f t="shared" si="0"/>
        <v>1</v>
      </c>
      <c r="U27" s="42"/>
      <c r="V27" s="42"/>
      <c r="W27" s="42"/>
      <c r="X27" s="42"/>
      <c r="Y27" s="42"/>
      <c r="Z27" s="42"/>
      <c r="AA27" s="42"/>
      <c r="AB27" s="42"/>
      <c r="AC27" s="42"/>
      <c r="AD27" s="42"/>
      <c r="AE27" s="42"/>
      <c r="AF27" s="42"/>
      <c r="AG27" s="42">
        <v>1</v>
      </c>
      <c r="AH27" s="363"/>
      <c r="AI27" s="367"/>
      <c r="AJ27" s="343"/>
      <c r="AK27" s="343"/>
    </row>
    <row r="28" spans="1:37" ht="37.15" customHeight="1" thickBot="1" x14ac:dyDescent="0.4">
      <c r="A28" s="259">
        <v>8</v>
      </c>
      <c r="B28" s="259" t="s">
        <v>219</v>
      </c>
      <c r="C28" s="259" t="s">
        <v>115</v>
      </c>
      <c r="D28" s="259" t="s">
        <v>116</v>
      </c>
      <c r="E28" s="259" t="s">
        <v>117</v>
      </c>
      <c r="F28" s="284" t="s">
        <v>79</v>
      </c>
      <c r="G28" s="259" t="s">
        <v>1058</v>
      </c>
      <c r="H28" s="511">
        <v>1</v>
      </c>
      <c r="I28" s="259" t="s">
        <v>1062</v>
      </c>
      <c r="J28" s="508" t="s">
        <v>1071</v>
      </c>
      <c r="K28" s="508" t="s">
        <v>1072</v>
      </c>
      <c r="L28" s="259" t="s">
        <v>955</v>
      </c>
      <c r="M28" s="259" t="s">
        <v>1073</v>
      </c>
      <c r="N28" s="259" t="s">
        <v>1074</v>
      </c>
      <c r="O28" s="261" t="s">
        <v>272</v>
      </c>
      <c r="P28" s="405">
        <v>45017</v>
      </c>
      <c r="Q28" s="405">
        <v>45046</v>
      </c>
      <c r="R28" s="64" t="s">
        <v>86</v>
      </c>
      <c r="S28" s="53">
        <f>+(S29*T28)</f>
        <v>0</v>
      </c>
      <c r="T28" s="71">
        <f t="shared" si="0"/>
        <v>0</v>
      </c>
      <c r="U28" s="45"/>
      <c r="V28" s="45"/>
      <c r="W28" s="45"/>
      <c r="X28" s="45"/>
      <c r="Y28" s="45"/>
      <c r="Z28" s="45"/>
      <c r="AA28" s="45"/>
      <c r="AB28" s="45"/>
      <c r="AC28" s="45"/>
      <c r="AD28" s="45"/>
      <c r="AE28" s="45"/>
      <c r="AF28" s="45"/>
      <c r="AG28" s="45"/>
      <c r="AH28" s="362"/>
      <c r="AI28" s="366"/>
      <c r="AJ28" s="342"/>
      <c r="AK28" s="342"/>
    </row>
    <row r="29" spans="1:37" ht="37.15" customHeight="1" x14ac:dyDescent="0.35">
      <c r="A29" s="260"/>
      <c r="B29" s="260"/>
      <c r="C29" s="260"/>
      <c r="D29" s="260"/>
      <c r="E29" s="260"/>
      <c r="F29" s="284"/>
      <c r="G29" s="260"/>
      <c r="H29" s="512"/>
      <c r="I29" s="260"/>
      <c r="J29" s="509"/>
      <c r="K29" s="509"/>
      <c r="L29" s="260"/>
      <c r="M29" s="260"/>
      <c r="N29" s="260"/>
      <c r="O29" s="266"/>
      <c r="P29" s="409"/>
      <c r="Q29" s="409"/>
      <c r="R29" s="64" t="s">
        <v>89</v>
      </c>
      <c r="S29" s="52">
        <f>100%/49</f>
        <v>2.0408163265306121E-2</v>
      </c>
      <c r="T29" s="71">
        <f t="shared" si="0"/>
        <v>1</v>
      </c>
      <c r="U29" s="42"/>
      <c r="V29" s="42"/>
      <c r="W29" s="42"/>
      <c r="X29" s="42"/>
      <c r="Y29" s="42"/>
      <c r="Z29" s="42"/>
      <c r="AA29" s="42"/>
      <c r="AB29" s="42"/>
      <c r="AC29" s="42"/>
      <c r="AD29" s="42"/>
      <c r="AE29" s="42"/>
      <c r="AF29" s="42"/>
      <c r="AG29" s="42">
        <v>1</v>
      </c>
      <c r="AH29" s="363"/>
      <c r="AI29" s="367"/>
      <c r="AJ29" s="343"/>
      <c r="AK29" s="343"/>
    </row>
    <row r="30" spans="1:37" ht="37.15" customHeight="1" x14ac:dyDescent="0.35">
      <c r="A30" s="259">
        <v>9</v>
      </c>
      <c r="B30" s="259" t="s">
        <v>219</v>
      </c>
      <c r="C30" s="259" t="s">
        <v>115</v>
      </c>
      <c r="D30" s="259" t="s">
        <v>116</v>
      </c>
      <c r="E30" s="259" t="s">
        <v>117</v>
      </c>
      <c r="F30" s="284" t="s">
        <v>79</v>
      </c>
      <c r="G30" s="259" t="s">
        <v>1044</v>
      </c>
      <c r="H30" s="511">
        <v>1</v>
      </c>
      <c r="I30" s="259" t="s">
        <v>1062</v>
      </c>
      <c r="J30" s="508" t="s">
        <v>1075</v>
      </c>
      <c r="K30" s="508" t="s">
        <v>1076</v>
      </c>
      <c r="L30" s="259" t="s">
        <v>955</v>
      </c>
      <c r="M30" s="259" t="s">
        <v>1077</v>
      </c>
      <c r="N30" s="259" t="s">
        <v>84</v>
      </c>
      <c r="O30" s="261" t="s">
        <v>85</v>
      </c>
      <c r="P30" s="405">
        <v>44986</v>
      </c>
      <c r="Q30" s="405">
        <v>45290</v>
      </c>
      <c r="R30" s="64" t="s">
        <v>86</v>
      </c>
      <c r="S30" s="53">
        <f>+(S31*T30)</f>
        <v>1.020408163265306E-2</v>
      </c>
      <c r="T30" s="71">
        <f>SUM(U30:AG30)</f>
        <v>0.5</v>
      </c>
      <c r="U30" s="45"/>
      <c r="V30" s="45"/>
      <c r="W30" s="45"/>
      <c r="X30" s="45">
        <v>0.25</v>
      </c>
      <c r="Y30" s="45"/>
      <c r="Z30" s="45"/>
      <c r="AA30" s="45">
        <v>0.25</v>
      </c>
      <c r="AB30" s="45"/>
      <c r="AC30" s="45"/>
      <c r="AD30" s="45"/>
      <c r="AE30" s="45"/>
      <c r="AF30" s="45"/>
      <c r="AG30" s="45"/>
      <c r="AH30" s="257" t="s">
        <v>1078</v>
      </c>
      <c r="AI30" s="257" t="s">
        <v>1078</v>
      </c>
      <c r="AJ30" s="342"/>
      <c r="AK30" s="342"/>
    </row>
    <row r="31" spans="1:37" ht="37.15" customHeight="1" x14ac:dyDescent="0.35">
      <c r="A31" s="260"/>
      <c r="B31" s="260"/>
      <c r="C31" s="260"/>
      <c r="D31" s="260"/>
      <c r="E31" s="260"/>
      <c r="F31" s="284"/>
      <c r="G31" s="260"/>
      <c r="H31" s="512"/>
      <c r="I31" s="260"/>
      <c r="J31" s="509"/>
      <c r="K31" s="509"/>
      <c r="L31" s="260"/>
      <c r="M31" s="260"/>
      <c r="N31" s="260"/>
      <c r="O31" s="266"/>
      <c r="P31" s="409"/>
      <c r="Q31" s="409"/>
      <c r="R31" s="64" t="s">
        <v>89</v>
      </c>
      <c r="S31" s="52">
        <f>100%/49</f>
        <v>2.0408163265306121E-2</v>
      </c>
      <c r="T31" s="71">
        <f t="shared" si="0"/>
        <v>1</v>
      </c>
      <c r="U31" s="42"/>
      <c r="V31" s="42"/>
      <c r="W31" s="42"/>
      <c r="X31" s="42">
        <v>0.25</v>
      </c>
      <c r="Y31" s="42"/>
      <c r="Z31" s="42"/>
      <c r="AA31" s="42">
        <v>0.25</v>
      </c>
      <c r="AB31" s="42"/>
      <c r="AC31" s="42"/>
      <c r="AD31" s="42">
        <v>0.25</v>
      </c>
      <c r="AE31" s="42"/>
      <c r="AF31" s="42"/>
      <c r="AG31" s="42">
        <v>0.25</v>
      </c>
      <c r="AH31" s="363"/>
      <c r="AI31" s="363"/>
      <c r="AJ31" s="343"/>
      <c r="AK31" s="343"/>
    </row>
    <row r="32" spans="1:37" ht="37.15" customHeight="1" x14ac:dyDescent="0.35">
      <c r="A32" s="259">
        <v>10</v>
      </c>
      <c r="B32" s="259" t="s">
        <v>219</v>
      </c>
      <c r="C32" s="259" t="s">
        <v>115</v>
      </c>
      <c r="D32" s="259" t="s">
        <v>116</v>
      </c>
      <c r="E32" s="259" t="s">
        <v>117</v>
      </c>
      <c r="F32" s="284" t="s">
        <v>79</v>
      </c>
      <c r="G32" s="259" t="s">
        <v>1079</v>
      </c>
      <c r="H32" s="511">
        <v>1</v>
      </c>
      <c r="I32" s="259" t="s">
        <v>1080</v>
      </c>
      <c r="J32" s="508" t="s">
        <v>1081</v>
      </c>
      <c r="K32" s="508" t="s">
        <v>1082</v>
      </c>
      <c r="L32" s="259" t="s">
        <v>955</v>
      </c>
      <c r="M32" s="259" t="s">
        <v>1083</v>
      </c>
      <c r="N32" s="261" t="s">
        <v>1049</v>
      </c>
      <c r="O32" s="261" t="s">
        <v>272</v>
      </c>
      <c r="P32" s="405">
        <v>45108</v>
      </c>
      <c r="Q32" s="405">
        <v>45137</v>
      </c>
      <c r="R32" s="64" t="s">
        <v>86</v>
      </c>
      <c r="S32" s="53">
        <f>+(S33*T32)</f>
        <v>0</v>
      </c>
      <c r="T32" s="71">
        <f t="shared" si="0"/>
        <v>0</v>
      </c>
      <c r="U32" s="45"/>
      <c r="V32" s="45"/>
      <c r="W32" s="45"/>
      <c r="X32" s="45"/>
      <c r="Y32" s="45"/>
      <c r="Z32" s="45"/>
      <c r="AA32" s="45"/>
      <c r="AB32" s="45"/>
      <c r="AC32" s="45"/>
      <c r="AD32" s="45"/>
      <c r="AE32" s="45"/>
      <c r="AF32" s="45"/>
      <c r="AG32" s="45"/>
      <c r="AH32" s="362"/>
      <c r="AI32" s="366"/>
      <c r="AJ32" s="342"/>
      <c r="AK32" s="342"/>
    </row>
    <row r="33" spans="1:37" ht="37.15" customHeight="1" thickBot="1" x14ac:dyDescent="0.4">
      <c r="A33" s="260"/>
      <c r="B33" s="260"/>
      <c r="C33" s="260"/>
      <c r="D33" s="260"/>
      <c r="E33" s="260"/>
      <c r="F33" s="284"/>
      <c r="G33" s="260"/>
      <c r="H33" s="512"/>
      <c r="I33" s="260"/>
      <c r="J33" s="509"/>
      <c r="K33" s="509"/>
      <c r="L33" s="260"/>
      <c r="M33" s="260"/>
      <c r="N33" s="266"/>
      <c r="O33" s="266"/>
      <c r="P33" s="409"/>
      <c r="Q33" s="409"/>
      <c r="R33" s="64" t="s">
        <v>89</v>
      </c>
      <c r="S33" s="52">
        <f>100%/49</f>
        <v>2.0408163265306121E-2</v>
      </c>
      <c r="T33" s="71">
        <f t="shared" si="0"/>
        <v>1</v>
      </c>
      <c r="U33" s="42"/>
      <c r="V33" s="42"/>
      <c r="W33" s="42"/>
      <c r="X33" s="42"/>
      <c r="Y33" s="42"/>
      <c r="Z33" s="42"/>
      <c r="AA33" s="42"/>
      <c r="AB33" s="42"/>
      <c r="AC33" s="42"/>
      <c r="AD33" s="42"/>
      <c r="AE33" s="42"/>
      <c r="AF33" s="42"/>
      <c r="AG33" s="42">
        <v>1</v>
      </c>
      <c r="AH33" s="363"/>
      <c r="AI33" s="367"/>
      <c r="AJ33" s="343"/>
      <c r="AK33" s="343"/>
    </row>
    <row r="34" spans="1:37" ht="37.15" customHeight="1" thickBot="1" x14ac:dyDescent="0.4">
      <c r="A34" s="259">
        <v>11</v>
      </c>
      <c r="B34" s="259" t="s">
        <v>219</v>
      </c>
      <c r="C34" s="259" t="s">
        <v>115</v>
      </c>
      <c r="D34" s="259" t="s">
        <v>116</v>
      </c>
      <c r="E34" s="259" t="s">
        <v>117</v>
      </c>
      <c r="F34" s="284" t="s">
        <v>79</v>
      </c>
      <c r="G34" s="259" t="s">
        <v>1079</v>
      </c>
      <c r="H34" s="511">
        <v>1</v>
      </c>
      <c r="I34" s="259" t="s">
        <v>1084</v>
      </c>
      <c r="J34" s="508" t="s">
        <v>1085</v>
      </c>
      <c r="K34" s="508" t="s">
        <v>1086</v>
      </c>
      <c r="L34" s="259" t="s">
        <v>955</v>
      </c>
      <c r="M34" s="259" t="s">
        <v>1087</v>
      </c>
      <c r="N34" s="261" t="s">
        <v>1049</v>
      </c>
      <c r="O34" s="261" t="s">
        <v>272</v>
      </c>
      <c r="P34" s="405">
        <v>45108</v>
      </c>
      <c r="Q34" s="405">
        <v>45137</v>
      </c>
      <c r="R34" s="64" t="s">
        <v>86</v>
      </c>
      <c r="S34" s="53">
        <f>+(S35*T34)</f>
        <v>0</v>
      </c>
      <c r="T34" s="71">
        <f t="shared" si="0"/>
        <v>0</v>
      </c>
      <c r="U34" s="45"/>
      <c r="V34" s="45"/>
      <c r="W34" s="45"/>
      <c r="X34" s="45"/>
      <c r="Y34" s="45"/>
      <c r="Z34" s="45"/>
      <c r="AA34" s="45"/>
      <c r="AB34" s="45"/>
      <c r="AC34" s="45"/>
      <c r="AD34" s="45"/>
      <c r="AE34" s="45"/>
      <c r="AF34" s="45"/>
      <c r="AG34" s="45"/>
      <c r="AH34" s="362"/>
      <c r="AI34" s="366"/>
      <c r="AJ34" s="342"/>
      <c r="AK34" s="342"/>
    </row>
    <row r="35" spans="1:37" ht="37.15" customHeight="1" x14ac:dyDescent="0.35">
      <c r="A35" s="260"/>
      <c r="B35" s="260"/>
      <c r="C35" s="260"/>
      <c r="D35" s="260"/>
      <c r="E35" s="260"/>
      <c r="F35" s="284"/>
      <c r="G35" s="260"/>
      <c r="H35" s="512"/>
      <c r="I35" s="260"/>
      <c r="J35" s="509"/>
      <c r="K35" s="509"/>
      <c r="L35" s="260"/>
      <c r="M35" s="260"/>
      <c r="N35" s="266"/>
      <c r="O35" s="266"/>
      <c r="P35" s="409"/>
      <c r="Q35" s="409"/>
      <c r="R35" s="64" t="s">
        <v>89</v>
      </c>
      <c r="S35" s="52">
        <f>100%/49</f>
        <v>2.0408163265306121E-2</v>
      </c>
      <c r="T35" s="71">
        <f t="shared" si="0"/>
        <v>1</v>
      </c>
      <c r="U35" s="42"/>
      <c r="V35" s="42"/>
      <c r="W35" s="42"/>
      <c r="X35" s="42"/>
      <c r="Y35" s="42"/>
      <c r="Z35" s="42"/>
      <c r="AA35" s="42"/>
      <c r="AB35" s="42"/>
      <c r="AC35" s="42"/>
      <c r="AD35" s="42"/>
      <c r="AE35" s="42"/>
      <c r="AF35" s="42"/>
      <c r="AG35" s="42">
        <v>1</v>
      </c>
      <c r="AH35" s="363"/>
      <c r="AI35" s="367"/>
      <c r="AJ35" s="343"/>
      <c r="AK35" s="343"/>
    </row>
    <row r="36" spans="1:37" ht="37.15" customHeight="1" x14ac:dyDescent="0.35">
      <c r="A36" s="259">
        <v>12</v>
      </c>
      <c r="B36" s="259" t="s">
        <v>219</v>
      </c>
      <c r="C36" s="259" t="s">
        <v>115</v>
      </c>
      <c r="D36" s="259" t="s">
        <v>116</v>
      </c>
      <c r="E36" s="259" t="s">
        <v>117</v>
      </c>
      <c r="F36" s="284" t="s">
        <v>79</v>
      </c>
      <c r="G36" s="259" t="s">
        <v>1044</v>
      </c>
      <c r="H36" s="511">
        <v>1</v>
      </c>
      <c r="I36" s="259" t="s">
        <v>1045</v>
      </c>
      <c r="J36" s="508" t="s">
        <v>1088</v>
      </c>
      <c r="K36" s="508" t="s">
        <v>1089</v>
      </c>
      <c r="L36" s="259" t="s">
        <v>955</v>
      </c>
      <c r="M36" s="259" t="s">
        <v>1090</v>
      </c>
      <c r="N36" s="259" t="s">
        <v>84</v>
      </c>
      <c r="O36" s="261" t="s">
        <v>189</v>
      </c>
      <c r="P36" s="405">
        <v>44927</v>
      </c>
      <c r="Q36" s="405">
        <v>45290</v>
      </c>
      <c r="R36" s="64" t="s">
        <v>86</v>
      </c>
      <c r="S36" s="53">
        <f>+(S37*T36)</f>
        <v>1.0204081632653062E-2</v>
      </c>
      <c r="T36" s="71">
        <f t="shared" si="0"/>
        <v>0.50000000000000011</v>
      </c>
      <c r="U36" s="45"/>
      <c r="V36" s="42">
        <v>8.3333333333333343E-2</v>
      </c>
      <c r="W36" s="42">
        <v>8.3333333333333343E-2</v>
      </c>
      <c r="X36" s="42">
        <v>8.3333333333333343E-2</v>
      </c>
      <c r="Y36" s="42">
        <v>8.3333333333333343E-2</v>
      </c>
      <c r="Z36" s="42">
        <v>8.3333333333333343E-2</v>
      </c>
      <c r="AA36" s="42">
        <v>8.3333333333333343E-2</v>
      </c>
      <c r="AB36" s="45"/>
      <c r="AC36" s="45"/>
      <c r="AD36" s="45"/>
      <c r="AE36" s="45"/>
      <c r="AF36" s="45"/>
      <c r="AG36" s="45"/>
      <c r="AH36" s="257" t="s">
        <v>1091</v>
      </c>
      <c r="AI36" s="257" t="s">
        <v>1092</v>
      </c>
      <c r="AJ36" s="342"/>
      <c r="AK36" s="342"/>
    </row>
    <row r="37" spans="1:37" ht="37.15" customHeight="1" x14ac:dyDescent="0.35">
      <c r="A37" s="260"/>
      <c r="B37" s="260"/>
      <c r="C37" s="260"/>
      <c r="D37" s="260"/>
      <c r="E37" s="260"/>
      <c r="F37" s="284"/>
      <c r="G37" s="260"/>
      <c r="H37" s="512"/>
      <c r="I37" s="260"/>
      <c r="J37" s="509"/>
      <c r="K37" s="509"/>
      <c r="L37" s="260"/>
      <c r="M37" s="260"/>
      <c r="N37" s="260"/>
      <c r="O37" s="266"/>
      <c r="P37" s="409"/>
      <c r="Q37" s="409"/>
      <c r="R37" s="64" t="s">
        <v>89</v>
      </c>
      <c r="S37" s="52">
        <f>100%/49</f>
        <v>2.0408163265306121E-2</v>
      </c>
      <c r="T37" s="71">
        <f t="shared" si="0"/>
        <v>1.0000000000000002</v>
      </c>
      <c r="U37" s="42"/>
      <c r="V37" s="42">
        <v>8.3333333333333343E-2</v>
      </c>
      <c r="W37" s="42">
        <v>8.3333333333333343E-2</v>
      </c>
      <c r="X37" s="42">
        <v>8.3333333333333343E-2</v>
      </c>
      <c r="Y37" s="42">
        <v>8.3333333333333343E-2</v>
      </c>
      <c r="Z37" s="42">
        <v>8.3333333333333343E-2</v>
      </c>
      <c r="AA37" s="42">
        <v>8.3333333333333343E-2</v>
      </c>
      <c r="AB37" s="42">
        <v>8.3333333333333343E-2</v>
      </c>
      <c r="AC37" s="42">
        <v>8.3333333333333343E-2</v>
      </c>
      <c r="AD37" s="42">
        <v>8.3333333333333343E-2</v>
      </c>
      <c r="AE37" s="42">
        <v>8.3333333333333343E-2</v>
      </c>
      <c r="AF37" s="42">
        <v>8.3333333333333343E-2</v>
      </c>
      <c r="AG37" s="42">
        <v>8.3333333333333343E-2</v>
      </c>
      <c r="AH37" s="258"/>
      <c r="AI37" s="258"/>
      <c r="AJ37" s="343"/>
      <c r="AK37" s="343"/>
    </row>
    <row r="38" spans="1:37" ht="37.15" customHeight="1" x14ac:dyDescent="0.35">
      <c r="A38" s="259">
        <v>13</v>
      </c>
      <c r="B38" s="259" t="s">
        <v>219</v>
      </c>
      <c r="C38" s="259" t="s">
        <v>115</v>
      </c>
      <c r="D38" s="259" t="s">
        <v>116</v>
      </c>
      <c r="E38" s="259" t="s">
        <v>117</v>
      </c>
      <c r="F38" s="284" t="s">
        <v>79</v>
      </c>
      <c r="G38" s="259" t="s">
        <v>1044</v>
      </c>
      <c r="H38" s="511">
        <v>1</v>
      </c>
      <c r="I38" s="259" t="s">
        <v>1045</v>
      </c>
      <c r="J38" s="508" t="s">
        <v>1088</v>
      </c>
      <c r="K38" s="508" t="s">
        <v>1093</v>
      </c>
      <c r="L38" s="259" t="s">
        <v>955</v>
      </c>
      <c r="M38" s="259" t="s">
        <v>1094</v>
      </c>
      <c r="N38" s="261" t="s">
        <v>1049</v>
      </c>
      <c r="O38" s="259" t="s">
        <v>85</v>
      </c>
      <c r="P38" s="405">
        <v>44958</v>
      </c>
      <c r="Q38" s="405">
        <v>45290</v>
      </c>
      <c r="R38" s="64" t="s">
        <v>86</v>
      </c>
      <c r="S38" s="53">
        <f>+(S39*T38)</f>
        <v>1.020408163265306E-2</v>
      </c>
      <c r="T38" s="71">
        <f t="shared" si="0"/>
        <v>0.5</v>
      </c>
      <c r="U38" s="45"/>
      <c r="W38" s="45"/>
      <c r="X38" s="45">
        <v>0.25</v>
      </c>
      <c r="Y38" s="45"/>
      <c r="Z38" s="45"/>
      <c r="AA38" s="45">
        <v>0.25</v>
      </c>
      <c r="AB38" s="45"/>
      <c r="AC38" s="45"/>
      <c r="AD38" s="45"/>
      <c r="AE38" s="45"/>
      <c r="AF38" s="45"/>
      <c r="AG38" s="45"/>
      <c r="AH38" s="257" t="s">
        <v>1095</v>
      </c>
      <c r="AI38" s="257" t="s">
        <v>1096</v>
      </c>
      <c r="AJ38" s="342"/>
      <c r="AK38" s="342"/>
    </row>
    <row r="39" spans="1:37" ht="37.15" customHeight="1" x14ac:dyDescent="0.35">
      <c r="A39" s="260"/>
      <c r="B39" s="260"/>
      <c r="C39" s="260"/>
      <c r="D39" s="260"/>
      <c r="E39" s="260"/>
      <c r="F39" s="284"/>
      <c r="G39" s="260"/>
      <c r="H39" s="512"/>
      <c r="I39" s="260"/>
      <c r="J39" s="509"/>
      <c r="K39" s="509"/>
      <c r="L39" s="260"/>
      <c r="M39" s="260"/>
      <c r="N39" s="266"/>
      <c r="O39" s="260"/>
      <c r="P39" s="409"/>
      <c r="Q39" s="409"/>
      <c r="R39" s="64" t="s">
        <v>89</v>
      </c>
      <c r="S39" s="52">
        <f>100%/49</f>
        <v>2.0408163265306121E-2</v>
      </c>
      <c r="T39" s="71">
        <f t="shared" si="0"/>
        <v>1</v>
      </c>
      <c r="U39" s="42"/>
      <c r="V39" s="42"/>
      <c r="W39" s="42"/>
      <c r="X39" s="42">
        <v>0.25</v>
      </c>
      <c r="Y39" s="42"/>
      <c r="Z39" s="42"/>
      <c r="AA39" s="42">
        <v>0.25</v>
      </c>
      <c r="AB39" s="42"/>
      <c r="AC39" s="42"/>
      <c r="AD39" s="42">
        <v>0.25</v>
      </c>
      <c r="AE39" s="42"/>
      <c r="AF39" s="42"/>
      <c r="AG39" s="42">
        <v>0.25</v>
      </c>
      <c r="AH39" s="363"/>
      <c r="AI39" s="363"/>
      <c r="AJ39" s="343"/>
      <c r="AK39" s="343"/>
    </row>
    <row r="40" spans="1:37" ht="37.15" customHeight="1" x14ac:dyDescent="0.35">
      <c r="A40" s="259">
        <v>14</v>
      </c>
      <c r="B40" s="259" t="s">
        <v>219</v>
      </c>
      <c r="C40" s="259" t="s">
        <v>115</v>
      </c>
      <c r="D40" s="259" t="s">
        <v>116</v>
      </c>
      <c r="E40" s="259" t="s">
        <v>117</v>
      </c>
      <c r="F40" s="284" t="s">
        <v>79</v>
      </c>
      <c r="G40" s="259" t="s">
        <v>1058</v>
      </c>
      <c r="H40" s="511">
        <v>1</v>
      </c>
      <c r="I40" s="259" t="s">
        <v>1050</v>
      </c>
      <c r="J40" s="508" t="s">
        <v>1097</v>
      </c>
      <c r="K40" s="508" t="s">
        <v>1098</v>
      </c>
      <c r="L40" s="259" t="s">
        <v>955</v>
      </c>
      <c r="M40" s="259" t="s">
        <v>1099</v>
      </c>
      <c r="N40" s="259" t="s">
        <v>84</v>
      </c>
      <c r="O40" s="259" t="s">
        <v>272</v>
      </c>
      <c r="P40" s="405">
        <v>45047</v>
      </c>
      <c r="Q40" s="405">
        <v>45076</v>
      </c>
      <c r="R40" s="64" t="s">
        <v>86</v>
      </c>
      <c r="S40" s="53">
        <f>+(S41*T40)</f>
        <v>0</v>
      </c>
      <c r="T40" s="71">
        <f t="shared" si="0"/>
        <v>0</v>
      </c>
      <c r="U40" s="45"/>
      <c r="V40" s="45"/>
      <c r="W40" s="45"/>
      <c r="X40" s="45"/>
      <c r="Y40" s="45"/>
      <c r="Z40" s="45"/>
      <c r="AA40" s="45"/>
      <c r="AB40" s="45"/>
      <c r="AC40" s="45"/>
      <c r="AD40" s="45"/>
      <c r="AE40" s="45"/>
      <c r="AF40" s="45"/>
      <c r="AG40" s="45"/>
      <c r="AH40" s="362"/>
      <c r="AI40" s="366"/>
      <c r="AJ40" s="342"/>
      <c r="AK40" s="342"/>
    </row>
    <row r="41" spans="1:37" ht="37.15" customHeight="1" thickBot="1" x14ac:dyDescent="0.4">
      <c r="A41" s="260"/>
      <c r="B41" s="260"/>
      <c r="C41" s="260"/>
      <c r="D41" s="260"/>
      <c r="E41" s="260"/>
      <c r="F41" s="284"/>
      <c r="G41" s="260"/>
      <c r="H41" s="512"/>
      <c r="I41" s="260"/>
      <c r="J41" s="509"/>
      <c r="K41" s="509"/>
      <c r="L41" s="260"/>
      <c r="M41" s="260"/>
      <c r="N41" s="260"/>
      <c r="O41" s="260"/>
      <c r="P41" s="409"/>
      <c r="Q41" s="409"/>
      <c r="R41" s="64" t="s">
        <v>89</v>
      </c>
      <c r="S41" s="52">
        <f>100%/49</f>
        <v>2.0408163265306121E-2</v>
      </c>
      <c r="T41" s="71">
        <f t="shared" si="0"/>
        <v>1</v>
      </c>
      <c r="U41" s="42"/>
      <c r="V41" s="42"/>
      <c r="W41" s="42"/>
      <c r="X41" s="42"/>
      <c r="Y41" s="42"/>
      <c r="Z41" s="42"/>
      <c r="AA41" s="42"/>
      <c r="AB41" s="42"/>
      <c r="AC41" s="42"/>
      <c r="AD41" s="42"/>
      <c r="AE41" s="42"/>
      <c r="AF41" s="42"/>
      <c r="AG41" s="42">
        <v>1</v>
      </c>
      <c r="AH41" s="363"/>
      <c r="AI41" s="367"/>
      <c r="AJ41" s="343"/>
      <c r="AK41" s="343"/>
    </row>
    <row r="42" spans="1:37" ht="37.15" customHeight="1" thickBot="1" x14ac:dyDescent="0.4">
      <c r="A42" s="259">
        <v>15</v>
      </c>
      <c r="B42" s="259" t="s">
        <v>219</v>
      </c>
      <c r="C42" s="259" t="s">
        <v>115</v>
      </c>
      <c r="D42" s="259" t="s">
        <v>116</v>
      </c>
      <c r="E42" s="259" t="s">
        <v>117</v>
      </c>
      <c r="F42" s="284" t="s">
        <v>79</v>
      </c>
      <c r="G42" s="259" t="s">
        <v>1044</v>
      </c>
      <c r="H42" s="511">
        <v>1</v>
      </c>
      <c r="I42" s="259" t="s">
        <v>1050</v>
      </c>
      <c r="J42" s="508" t="s">
        <v>1100</v>
      </c>
      <c r="K42" s="508" t="s">
        <v>1101</v>
      </c>
      <c r="L42" s="259" t="s">
        <v>955</v>
      </c>
      <c r="M42" s="259" t="s">
        <v>1102</v>
      </c>
      <c r="N42" s="261" t="s">
        <v>1049</v>
      </c>
      <c r="O42" s="259" t="s">
        <v>272</v>
      </c>
      <c r="P42" s="405">
        <v>44958</v>
      </c>
      <c r="Q42" s="405">
        <v>44985</v>
      </c>
      <c r="R42" s="64" t="s">
        <v>86</v>
      </c>
      <c r="S42" s="53">
        <f>+(S43*T42)</f>
        <v>0</v>
      </c>
      <c r="T42" s="71">
        <f t="shared" si="0"/>
        <v>0</v>
      </c>
      <c r="U42" s="45"/>
      <c r="V42" s="45"/>
      <c r="W42" s="45"/>
      <c r="X42" s="45"/>
      <c r="Y42" s="45"/>
      <c r="Z42" s="45"/>
      <c r="AA42" s="45"/>
      <c r="AB42" s="45"/>
      <c r="AC42" s="45"/>
      <c r="AD42" s="45"/>
      <c r="AE42" s="45"/>
      <c r="AF42" s="45"/>
      <c r="AG42" s="45"/>
      <c r="AH42" s="362"/>
      <c r="AI42" s="366"/>
      <c r="AJ42" s="342"/>
      <c r="AK42" s="342"/>
    </row>
    <row r="43" spans="1:37" ht="37.15" customHeight="1" thickBot="1" x14ac:dyDescent="0.4">
      <c r="A43" s="260"/>
      <c r="B43" s="260"/>
      <c r="C43" s="260"/>
      <c r="D43" s="260"/>
      <c r="E43" s="260"/>
      <c r="F43" s="284"/>
      <c r="G43" s="260"/>
      <c r="H43" s="512"/>
      <c r="I43" s="260"/>
      <c r="J43" s="509"/>
      <c r="K43" s="509"/>
      <c r="L43" s="260"/>
      <c r="M43" s="260"/>
      <c r="N43" s="266"/>
      <c r="O43" s="260"/>
      <c r="P43" s="409"/>
      <c r="Q43" s="409"/>
      <c r="R43" s="64" t="s">
        <v>89</v>
      </c>
      <c r="S43" s="52">
        <f>100%/49</f>
        <v>2.0408163265306121E-2</v>
      </c>
      <c r="T43" s="71">
        <f t="shared" si="0"/>
        <v>1</v>
      </c>
      <c r="U43" s="42"/>
      <c r="V43" s="42"/>
      <c r="W43" s="42"/>
      <c r="X43" s="42"/>
      <c r="Y43" s="42"/>
      <c r="Z43" s="42"/>
      <c r="AA43" s="42"/>
      <c r="AB43" s="42"/>
      <c r="AC43" s="42"/>
      <c r="AD43" s="42"/>
      <c r="AE43" s="42"/>
      <c r="AF43" s="42"/>
      <c r="AG43" s="42">
        <v>1</v>
      </c>
      <c r="AH43" s="363"/>
      <c r="AI43" s="367"/>
      <c r="AJ43" s="343"/>
      <c r="AK43" s="343"/>
    </row>
    <row r="44" spans="1:37" ht="37.15" customHeight="1" thickBot="1" x14ac:dyDescent="0.4">
      <c r="A44" s="259">
        <v>16</v>
      </c>
      <c r="B44" s="259" t="s">
        <v>219</v>
      </c>
      <c r="C44" s="259" t="s">
        <v>115</v>
      </c>
      <c r="D44" s="259" t="s">
        <v>116</v>
      </c>
      <c r="E44" s="259" t="s">
        <v>117</v>
      </c>
      <c r="F44" s="284" t="s">
        <v>79</v>
      </c>
      <c r="G44" s="259" t="s">
        <v>1044</v>
      </c>
      <c r="H44" s="511">
        <v>1</v>
      </c>
      <c r="I44" s="259" t="s">
        <v>1050</v>
      </c>
      <c r="J44" s="508" t="s">
        <v>1054</v>
      </c>
      <c r="K44" s="508" t="s">
        <v>1103</v>
      </c>
      <c r="L44" s="259" t="s">
        <v>955</v>
      </c>
      <c r="M44" s="259" t="s">
        <v>1104</v>
      </c>
      <c r="N44" s="259" t="s">
        <v>84</v>
      </c>
      <c r="O44" s="259" t="s">
        <v>272</v>
      </c>
      <c r="P44" s="405">
        <v>45200</v>
      </c>
      <c r="Q44" s="405">
        <v>45229</v>
      </c>
      <c r="R44" s="64" t="s">
        <v>86</v>
      </c>
      <c r="S44" s="53">
        <f>+(S45*T44)</f>
        <v>0</v>
      </c>
      <c r="T44" s="71">
        <f t="shared" si="0"/>
        <v>0</v>
      </c>
      <c r="U44" s="45"/>
      <c r="V44" s="45"/>
      <c r="W44" s="45"/>
      <c r="X44" s="45"/>
      <c r="Y44" s="45"/>
      <c r="Z44" s="45"/>
      <c r="AA44" s="45"/>
      <c r="AB44" s="45"/>
      <c r="AC44" s="45"/>
      <c r="AD44" s="45"/>
      <c r="AE44" s="45"/>
      <c r="AF44" s="45"/>
      <c r="AG44" s="45"/>
      <c r="AH44" s="362"/>
      <c r="AI44" s="366"/>
      <c r="AJ44" s="342"/>
      <c r="AK44" s="342"/>
    </row>
    <row r="45" spans="1:37" ht="37.15" customHeight="1" thickBot="1" x14ac:dyDescent="0.4">
      <c r="A45" s="260"/>
      <c r="B45" s="260"/>
      <c r="C45" s="260"/>
      <c r="D45" s="260"/>
      <c r="E45" s="260"/>
      <c r="F45" s="284"/>
      <c r="G45" s="260"/>
      <c r="H45" s="512"/>
      <c r="I45" s="260"/>
      <c r="J45" s="509"/>
      <c r="K45" s="509"/>
      <c r="L45" s="260"/>
      <c r="M45" s="260"/>
      <c r="N45" s="260"/>
      <c r="O45" s="260"/>
      <c r="P45" s="409"/>
      <c r="Q45" s="409"/>
      <c r="R45" s="64" t="s">
        <v>89</v>
      </c>
      <c r="S45" s="52">
        <f>100%/49</f>
        <v>2.0408163265306121E-2</v>
      </c>
      <c r="T45" s="71">
        <f t="shared" si="0"/>
        <v>1</v>
      </c>
      <c r="U45" s="42"/>
      <c r="V45" s="42"/>
      <c r="W45" s="42"/>
      <c r="X45" s="42"/>
      <c r="Y45" s="42"/>
      <c r="Z45" s="42"/>
      <c r="AA45" s="42"/>
      <c r="AB45" s="42"/>
      <c r="AC45" s="42"/>
      <c r="AD45" s="42"/>
      <c r="AE45" s="42"/>
      <c r="AF45" s="42"/>
      <c r="AG45" s="42">
        <v>1</v>
      </c>
      <c r="AH45" s="363"/>
      <c r="AI45" s="367"/>
      <c r="AJ45" s="343"/>
      <c r="AK45" s="343"/>
    </row>
    <row r="46" spans="1:37" ht="37.15" customHeight="1" thickBot="1" x14ac:dyDescent="0.4">
      <c r="A46" s="259">
        <v>17</v>
      </c>
      <c r="B46" s="259" t="s">
        <v>219</v>
      </c>
      <c r="C46" s="259" t="s">
        <v>115</v>
      </c>
      <c r="D46" s="259" t="s">
        <v>116</v>
      </c>
      <c r="E46" s="259" t="s">
        <v>117</v>
      </c>
      <c r="F46" s="284" t="s">
        <v>79</v>
      </c>
      <c r="G46" s="259" t="s">
        <v>1058</v>
      </c>
      <c r="H46" s="511">
        <v>1</v>
      </c>
      <c r="I46" s="259" t="s">
        <v>1050</v>
      </c>
      <c r="J46" s="508" t="s">
        <v>1059</v>
      </c>
      <c r="K46" s="508" t="s">
        <v>1105</v>
      </c>
      <c r="L46" s="259" t="s">
        <v>955</v>
      </c>
      <c r="M46" s="259" t="s">
        <v>1099</v>
      </c>
      <c r="N46" s="259" t="s">
        <v>84</v>
      </c>
      <c r="O46" s="259" t="s">
        <v>272</v>
      </c>
      <c r="P46" s="405">
        <v>45078</v>
      </c>
      <c r="Q46" s="405">
        <v>45107</v>
      </c>
      <c r="R46" s="64" t="s">
        <v>86</v>
      </c>
      <c r="S46" s="53">
        <f>+(S47*T46)</f>
        <v>0</v>
      </c>
      <c r="T46" s="71">
        <f t="shared" ref="T46:T75" si="1">SUM(U46:AG46)</f>
        <v>0</v>
      </c>
      <c r="U46" s="45"/>
      <c r="V46" s="45"/>
      <c r="W46" s="45"/>
      <c r="X46" s="45"/>
      <c r="Y46" s="45"/>
      <c r="Z46" s="45"/>
      <c r="AA46" s="45"/>
      <c r="AB46" s="45"/>
      <c r="AC46" s="45"/>
      <c r="AD46" s="45"/>
      <c r="AE46" s="45"/>
      <c r="AF46" s="45"/>
      <c r="AG46" s="45"/>
      <c r="AH46" s="362"/>
      <c r="AI46" s="366"/>
      <c r="AJ46" s="342"/>
      <c r="AK46" s="342"/>
    </row>
    <row r="47" spans="1:37" ht="37.15" customHeight="1" thickBot="1" x14ac:dyDescent="0.4">
      <c r="A47" s="260"/>
      <c r="B47" s="260"/>
      <c r="C47" s="260"/>
      <c r="D47" s="260"/>
      <c r="E47" s="260"/>
      <c r="F47" s="284"/>
      <c r="G47" s="260"/>
      <c r="H47" s="512"/>
      <c r="I47" s="260"/>
      <c r="J47" s="509"/>
      <c r="K47" s="509"/>
      <c r="L47" s="260"/>
      <c r="M47" s="260"/>
      <c r="N47" s="260"/>
      <c r="O47" s="260"/>
      <c r="P47" s="409"/>
      <c r="Q47" s="409"/>
      <c r="R47" s="64" t="s">
        <v>89</v>
      </c>
      <c r="S47" s="52">
        <f>100%/49</f>
        <v>2.0408163265306121E-2</v>
      </c>
      <c r="T47" s="71">
        <f t="shared" si="1"/>
        <v>1</v>
      </c>
      <c r="U47" s="42"/>
      <c r="V47" s="42"/>
      <c r="W47" s="42"/>
      <c r="X47" s="42"/>
      <c r="Y47" s="42"/>
      <c r="Z47" s="42"/>
      <c r="AA47" s="42"/>
      <c r="AB47" s="42"/>
      <c r="AC47" s="42"/>
      <c r="AD47" s="42"/>
      <c r="AE47" s="42"/>
      <c r="AF47" s="42"/>
      <c r="AG47" s="42">
        <v>1</v>
      </c>
      <c r="AH47" s="363"/>
      <c r="AI47" s="367"/>
      <c r="AJ47" s="343"/>
      <c r="AK47" s="343"/>
    </row>
    <row r="48" spans="1:37" ht="37.15" customHeight="1" thickBot="1" x14ac:dyDescent="0.4">
      <c r="A48" s="259">
        <v>18</v>
      </c>
      <c r="B48" s="259" t="s">
        <v>219</v>
      </c>
      <c r="C48" s="259" t="s">
        <v>115</v>
      </c>
      <c r="D48" s="259" t="s">
        <v>116</v>
      </c>
      <c r="E48" s="259" t="s">
        <v>117</v>
      </c>
      <c r="F48" s="284" t="s">
        <v>79</v>
      </c>
      <c r="G48" s="259" t="s">
        <v>1058</v>
      </c>
      <c r="H48" s="511">
        <v>1</v>
      </c>
      <c r="I48" s="259" t="s">
        <v>1050</v>
      </c>
      <c r="J48" s="508" t="s">
        <v>1059</v>
      </c>
      <c r="K48" s="508" t="s">
        <v>1106</v>
      </c>
      <c r="L48" s="259" t="s">
        <v>955</v>
      </c>
      <c r="M48" s="259" t="s">
        <v>1094</v>
      </c>
      <c r="N48" s="261" t="s">
        <v>1049</v>
      </c>
      <c r="O48" s="259" t="s">
        <v>126</v>
      </c>
      <c r="P48" s="405">
        <v>45078</v>
      </c>
      <c r="Q48" s="405">
        <v>45107</v>
      </c>
      <c r="R48" s="64" t="s">
        <v>86</v>
      </c>
      <c r="S48" s="53">
        <f>+(S49*T48)</f>
        <v>1.020408163265306E-2</v>
      </c>
      <c r="T48" s="71">
        <f t="shared" si="1"/>
        <v>0.5</v>
      </c>
      <c r="U48" s="45"/>
      <c r="V48" s="45"/>
      <c r="W48" s="45"/>
      <c r="X48" s="45"/>
      <c r="Y48" s="45"/>
      <c r="Z48" s="45"/>
      <c r="AA48" s="45">
        <v>0.5</v>
      </c>
      <c r="AB48" s="45"/>
      <c r="AC48" s="45"/>
      <c r="AD48" s="45"/>
      <c r="AE48" s="45"/>
      <c r="AF48" s="45"/>
      <c r="AG48" s="45"/>
      <c r="AH48" s="362"/>
      <c r="AI48" s="366" t="s">
        <v>1107</v>
      </c>
      <c r="AJ48" s="342"/>
      <c r="AK48" s="342"/>
    </row>
    <row r="49" spans="1:37" ht="37.15" customHeight="1" thickBot="1" x14ac:dyDescent="0.4">
      <c r="A49" s="260"/>
      <c r="B49" s="260"/>
      <c r="C49" s="260"/>
      <c r="D49" s="260"/>
      <c r="E49" s="260"/>
      <c r="F49" s="284"/>
      <c r="G49" s="260"/>
      <c r="H49" s="512"/>
      <c r="I49" s="260"/>
      <c r="J49" s="509"/>
      <c r="K49" s="509"/>
      <c r="L49" s="260"/>
      <c r="M49" s="260"/>
      <c r="N49" s="266"/>
      <c r="O49" s="260"/>
      <c r="P49" s="409"/>
      <c r="Q49" s="409"/>
      <c r="R49" s="64" t="s">
        <v>89</v>
      </c>
      <c r="S49" s="52">
        <f>100%/49</f>
        <v>2.0408163265306121E-2</v>
      </c>
      <c r="T49" s="71">
        <f t="shared" si="1"/>
        <v>1</v>
      </c>
      <c r="U49" s="42"/>
      <c r="V49" s="42"/>
      <c r="W49" s="42"/>
      <c r="X49" s="42"/>
      <c r="Y49" s="42"/>
      <c r="Z49" s="42"/>
      <c r="AA49" s="42">
        <v>0.5</v>
      </c>
      <c r="AB49" s="42"/>
      <c r="AC49" s="42"/>
      <c r="AD49" s="42"/>
      <c r="AE49" s="42"/>
      <c r="AF49" s="42"/>
      <c r="AG49" s="42">
        <v>0.5</v>
      </c>
      <c r="AH49" s="363"/>
      <c r="AI49" s="367"/>
      <c r="AJ49" s="343"/>
      <c r="AK49" s="343"/>
    </row>
    <row r="50" spans="1:37" ht="37.15" customHeight="1" thickBot="1" x14ac:dyDescent="0.4">
      <c r="A50" s="259">
        <v>19</v>
      </c>
      <c r="B50" s="259" t="s">
        <v>219</v>
      </c>
      <c r="C50" s="259" t="s">
        <v>115</v>
      </c>
      <c r="D50" s="259" t="s">
        <v>116</v>
      </c>
      <c r="E50" s="259" t="s">
        <v>117</v>
      </c>
      <c r="F50" s="284" t="s">
        <v>79</v>
      </c>
      <c r="G50" s="259" t="s">
        <v>1058</v>
      </c>
      <c r="H50" s="511">
        <v>1</v>
      </c>
      <c r="I50" s="259" t="s">
        <v>1062</v>
      </c>
      <c r="J50" s="513" t="s">
        <v>1063</v>
      </c>
      <c r="K50" s="508" t="s">
        <v>1108</v>
      </c>
      <c r="L50" s="259" t="s">
        <v>955</v>
      </c>
      <c r="M50" s="259" t="s">
        <v>1109</v>
      </c>
      <c r="N50" s="259" t="s">
        <v>84</v>
      </c>
      <c r="O50" s="259" t="s">
        <v>272</v>
      </c>
      <c r="P50" s="405">
        <v>45139</v>
      </c>
      <c r="Q50" s="405">
        <v>45168</v>
      </c>
      <c r="R50" s="64" t="s">
        <v>86</v>
      </c>
      <c r="S50" s="53">
        <f>+(S51*T50)</f>
        <v>0</v>
      </c>
      <c r="T50" s="71">
        <f t="shared" si="1"/>
        <v>0</v>
      </c>
      <c r="U50" s="45"/>
      <c r="V50" s="45"/>
      <c r="W50" s="45"/>
      <c r="X50" s="45"/>
      <c r="Y50" s="45"/>
      <c r="Z50" s="45"/>
      <c r="AA50" s="45"/>
      <c r="AB50" s="45"/>
      <c r="AC50" s="45"/>
      <c r="AD50" s="45"/>
      <c r="AE50" s="45"/>
      <c r="AF50" s="45"/>
      <c r="AG50" s="45"/>
      <c r="AH50" s="362"/>
      <c r="AI50" s="366"/>
      <c r="AJ50" s="342"/>
      <c r="AK50" s="342"/>
    </row>
    <row r="51" spans="1:37" ht="37.15" customHeight="1" thickBot="1" x14ac:dyDescent="0.4">
      <c r="A51" s="260"/>
      <c r="B51" s="260"/>
      <c r="C51" s="260"/>
      <c r="D51" s="260"/>
      <c r="E51" s="260"/>
      <c r="F51" s="284"/>
      <c r="G51" s="260"/>
      <c r="H51" s="512"/>
      <c r="I51" s="260"/>
      <c r="J51" s="514"/>
      <c r="K51" s="509"/>
      <c r="L51" s="260"/>
      <c r="M51" s="260"/>
      <c r="N51" s="260"/>
      <c r="O51" s="260"/>
      <c r="P51" s="409"/>
      <c r="Q51" s="409"/>
      <c r="R51" s="64" t="s">
        <v>89</v>
      </c>
      <c r="S51" s="52">
        <f>100%/49</f>
        <v>2.0408163265306121E-2</v>
      </c>
      <c r="T51" s="71">
        <f t="shared" si="1"/>
        <v>1</v>
      </c>
      <c r="U51" s="42"/>
      <c r="V51" s="42"/>
      <c r="W51" s="42"/>
      <c r="X51" s="42"/>
      <c r="Y51" s="42"/>
      <c r="Z51" s="42"/>
      <c r="AA51" s="42"/>
      <c r="AB51" s="42"/>
      <c r="AC51" s="42"/>
      <c r="AD51" s="42"/>
      <c r="AE51" s="42"/>
      <c r="AF51" s="42"/>
      <c r="AG51" s="42">
        <v>1</v>
      </c>
      <c r="AH51" s="363"/>
      <c r="AI51" s="367"/>
      <c r="AJ51" s="343"/>
      <c r="AK51" s="343"/>
    </row>
    <row r="52" spans="1:37" ht="37.15" customHeight="1" thickBot="1" x14ac:dyDescent="0.4">
      <c r="A52" s="259">
        <v>20</v>
      </c>
      <c r="B52" s="259" t="s">
        <v>219</v>
      </c>
      <c r="C52" s="259" t="s">
        <v>115</v>
      </c>
      <c r="D52" s="259" t="s">
        <v>116</v>
      </c>
      <c r="E52" s="259" t="s">
        <v>117</v>
      </c>
      <c r="F52" s="284" t="s">
        <v>79</v>
      </c>
      <c r="G52" s="259" t="s">
        <v>1079</v>
      </c>
      <c r="H52" s="511">
        <v>1</v>
      </c>
      <c r="I52" s="259" t="s">
        <v>1062</v>
      </c>
      <c r="J52" s="513" t="s">
        <v>1063</v>
      </c>
      <c r="K52" s="508" t="s">
        <v>1110</v>
      </c>
      <c r="L52" s="259" t="s">
        <v>955</v>
      </c>
      <c r="M52" s="259" t="s">
        <v>1111</v>
      </c>
      <c r="N52" s="261" t="s">
        <v>1049</v>
      </c>
      <c r="O52" s="259" t="s">
        <v>272</v>
      </c>
      <c r="P52" s="405">
        <v>45231</v>
      </c>
      <c r="Q52" s="405">
        <v>45260</v>
      </c>
      <c r="R52" s="64" t="s">
        <v>86</v>
      </c>
      <c r="S52" s="53">
        <f>+(S53*T52)</f>
        <v>0</v>
      </c>
      <c r="T52" s="71">
        <f t="shared" si="1"/>
        <v>0</v>
      </c>
      <c r="U52" s="45"/>
      <c r="V52" s="45"/>
      <c r="W52" s="45"/>
      <c r="X52" s="45"/>
      <c r="Y52" s="45"/>
      <c r="Z52" s="45"/>
      <c r="AA52" s="45"/>
      <c r="AB52" s="45"/>
      <c r="AC52" s="45"/>
      <c r="AD52" s="45"/>
      <c r="AE52" s="45"/>
      <c r="AF52" s="45"/>
      <c r="AG52" s="45"/>
      <c r="AH52" s="362"/>
      <c r="AI52" s="366"/>
      <c r="AJ52" s="342"/>
      <c r="AK52" s="342"/>
    </row>
    <row r="53" spans="1:37" ht="37.15" customHeight="1" thickBot="1" x14ac:dyDescent="0.4">
      <c r="A53" s="260"/>
      <c r="B53" s="260"/>
      <c r="C53" s="260"/>
      <c r="D53" s="260"/>
      <c r="E53" s="260"/>
      <c r="F53" s="284"/>
      <c r="G53" s="260"/>
      <c r="H53" s="512"/>
      <c r="I53" s="260"/>
      <c r="J53" s="514"/>
      <c r="K53" s="509"/>
      <c r="L53" s="260"/>
      <c r="M53" s="260"/>
      <c r="N53" s="266"/>
      <c r="O53" s="260"/>
      <c r="P53" s="409"/>
      <c r="Q53" s="409"/>
      <c r="R53" s="64" t="s">
        <v>89</v>
      </c>
      <c r="S53" s="52">
        <f>100%/49</f>
        <v>2.0408163265306121E-2</v>
      </c>
      <c r="T53" s="71">
        <f t="shared" si="1"/>
        <v>1</v>
      </c>
      <c r="U53" s="42"/>
      <c r="V53" s="42"/>
      <c r="W53" s="42"/>
      <c r="X53" s="42"/>
      <c r="Y53" s="42"/>
      <c r="Z53" s="42"/>
      <c r="AA53" s="42"/>
      <c r="AB53" s="42"/>
      <c r="AC53" s="42"/>
      <c r="AD53" s="42"/>
      <c r="AE53" s="42"/>
      <c r="AF53" s="42"/>
      <c r="AG53" s="42">
        <v>1</v>
      </c>
      <c r="AH53" s="363"/>
      <c r="AI53" s="367"/>
      <c r="AJ53" s="343"/>
      <c r="AK53" s="343"/>
    </row>
    <row r="54" spans="1:37" ht="37.15" customHeight="1" thickBot="1" x14ac:dyDescent="0.4">
      <c r="A54" s="259">
        <v>21</v>
      </c>
      <c r="B54" s="259" t="s">
        <v>219</v>
      </c>
      <c r="C54" s="259" t="s">
        <v>115</v>
      </c>
      <c r="D54" s="259" t="s">
        <v>116</v>
      </c>
      <c r="E54" s="259" t="s">
        <v>117</v>
      </c>
      <c r="F54" s="284" t="s">
        <v>79</v>
      </c>
      <c r="G54" s="259" t="s">
        <v>1058</v>
      </c>
      <c r="H54" s="511">
        <v>1</v>
      </c>
      <c r="I54" s="259" t="s">
        <v>1062</v>
      </c>
      <c r="J54" s="513" t="s">
        <v>1063</v>
      </c>
      <c r="K54" s="508" t="s">
        <v>1112</v>
      </c>
      <c r="L54" s="259" t="s">
        <v>955</v>
      </c>
      <c r="M54" s="259" t="s">
        <v>1113</v>
      </c>
      <c r="N54" s="261" t="s">
        <v>1049</v>
      </c>
      <c r="O54" s="259" t="s">
        <v>126</v>
      </c>
      <c r="P54" s="405">
        <v>45047</v>
      </c>
      <c r="Q54" s="405">
        <v>45260</v>
      </c>
      <c r="R54" s="64" t="s">
        <v>86</v>
      </c>
      <c r="S54" s="53">
        <f>+(S55*T54)</f>
        <v>1.020408163265306E-2</v>
      </c>
      <c r="T54" s="71">
        <f t="shared" si="1"/>
        <v>0.5</v>
      </c>
      <c r="U54" s="45"/>
      <c r="V54" s="45"/>
      <c r="W54" s="45"/>
      <c r="X54" s="45"/>
      <c r="Y54" s="45"/>
      <c r="Z54" s="45"/>
      <c r="AA54" s="45">
        <v>0.5</v>
      </c>
      <c r="AB54" s="45"/>
      <c r="AC54" s="45"/>
      <c r="AD54" s="45"/>
      <c r="AE54" s="45"/>
      <c r="AF54" s="45"/>
      <c r="AG54" s="45"/>
      <c r="AH54" s="362"/>
      <c r="AI54" s="366" t="s">
        <v>1114</v>
      </c>
      <c r="AJ54" s="342"/>
      <c r="AK54" s="342"/>
    </row>
    <row r="55" spans="1:37" ht="37.15" customHeight="1" thickBot="1" x14ac:dyDescent="0.4">
      <c r="A55" s="260"/>
      <c r="B55" s="260"/>
      <c r="C55" s="260"/>
      <c r="D55" s="260"/>
      <c r="E55" s="260"/>
      <c r="F55" s="284"/>
      <c r="G55" s="260"/>
      <c r="H55" s="512"/>
      <c r="I55" s="260"/>
      <c r="J55" s="514"/>
      <c r="K55" s="509"/>
      <c r="L55" s="260"/>
      <c r="M55" s="260"/>
      <c r="N55" s="266"/>
      <c r="O55" s="260"/>
      <c r="P55" s="409"/>
      <c r="Q55" s="409"/>
      <c r="R55" s="64" t="s">
        <v>89</v>
      </c>
      <c r="S55" s="52">
        <f>100%/49</f>
        <v>2.0408163265306121E-2</v>
      </c>
      <c r="T55" s="71">
        <f t="shared" si="1"/>
        <v>1</v>
      </c>
      <c r="U55" s="42"/>
      <c r="V55" s="42"/>
      <c r="W55" s="42"/>
      <c r="X55" s="42"/>
      <c r="Y55" s="42"/>
      <c r="Z55" s="42"/>
      <c r="AA55" s="42">
        <v>0.5</v>
      </c>
      <c r="AB55" s="42"/>
      <c r="AC55" s="42"/>
      <c r="AD55" s="42"/>
      <c r="AE55" s="42"/>
      <c r="AF55" s="42"/>
      <c r="AG55" s="42">
        <v>0.5</v>
      </c>
      <c r="AH55" s="363"/>
      <c r="AI55" s="367"/>
      <c r="AJ55" s="343"/>
      <c r="AK55" s="343"/>
    </row>
    <row r="56" spans="1:37" ht="37.15" customHeight="1" thickBot="1" x14ac:dyDescent="0.4">
      <c r="A56" s="259">
        <v>22</v>
      </c>
      <c r="B56" s="259" t="s">
        <v>219</v>
      </c>
      <c r="C56" s="259" t="s">
        <v>115</v>
      </c>
      <c r="D56" s="259" t="s">
        <v>116</v>
      </c>
      <c r="E56" s="259" t="s">
        <v>117</v>
      </c>
      <c r="F56" s="284" t="s">
        <v>79</v>
      </c>
      <c r="G56" s="259" t="s">
        <v>1058</v>
      </c>
      <c r="H56" s="511">
        <v>1</v>
      </c>
      <c r="I56" s="259" t="s">
        <v>1062</v>
      </c>
      <c r="J56" s="513" t="s">
        <v>1063</v>
      </c>
      <c r="K56" s="508" t="s">
        <v>1115</v>
      </c>
      <c r="L56" s="259" t="s">
        <v>955</v>
      </c>
      <c r="M56" s="259" t="s">
        <v>1116</v>
      </c>
      <c r="N56" s="261" t="s">
        <v>1049</v>
      </c>
      <c r="O56" s="259" t="s">
        <v>272</v>
      </c>
      <c r="P56" s="405">
        <v>44958</v>
      </c>
      <c r="Q56" s="405">
        <v>44985</v>
      </c>
      <c r="R56" s="64" t="s">
        <v>86</v>
      </c>
      <c r="S56" s="53">
        <f>+(S57*T56)</f>
        <v>0</v>
      </c>
      <c r="T56" s="71">
        <f t="shared" si="1"/>
        <v>0</v>
      </c>
      <c r="U56" s="45"/>
      <c r="V56" s="45"/>
      <c r="W56" s="45"/>
      <c r="X56" s="45"/>
      <c r="Y56" s="45"/>
      <c r="Z56" s="45"/>
      <c r="AA56" s="45"/>
      <c r="AB56" s="45"/>
      <c r="AC56" s="45"/>
      <c r="AD56" s="45"/>
      <c r="AE56" s="45"/>
      <c r="AF56" s="45"/>
      <c r="AG56" s="45"/>
      <c r="AH56" s="362"/>
      <c r="AI56" s="366"/>
      <c r="AJ56" s="342"/>
      <c r="AK56" s="342"/>
    </row>
    <row r="57" spans="1:37" ht="37.15" customHeight="1" x14ac:dyDescent="0.35">
      <c r="A57" s="260"/>
      <c r="B57" s="260"/>
      <c r="C57" s="260"/>
      <c r="D57" s="260"/>
      <c r="E57" s="260"/>
      <c r="F57" s="284"/>
      <c r="G57" s="260"/>
      <c r="H57" s="512"/>
      <c r="I57" s="260"/>
      <c r="J57" s="514"/>
      <c r="K57" s="509"/>
      <c r="L57" s="260"/>
      <c r="M57" s="260"/>
      <c r="N57" s="266"/>
      <c r="O57" s="260"/>
      <c r="P57" s="409"/>
      <c r="Q57" s="409"/>
      <c r="R57" s="64" t="s">
        <v>89</v>
      </c>
      <c r="S57" s="52">
        <f>100%/49</f>
        <v>2.0408163265306121E-2</v>
      </c>
      <c r="T57" s="71">
        <f t="shared" si="1"/>
        <v>1</v>
      </c>
      <c r="U57" s="42"/>
      <c r="V57" s="42"/>
      <c r="W57" s="42"/>
      <c r="X57" s="42"/>
      <c r="Y57" s="42"/>
      <c r="Z57" s="42"/>
      <c r="AA57" s="42"/>
      <c r="AB57" s="42"/>
      <c r="AC57" s="42"/>
      <c r="AD57" s="42"/>
      <c r="AE57" s="42"/>
      <c r="AF57" s="42"/>
      <c r="AG57" s="42">
        <v>1</v>
      </c>
      <c r="AH57" s="363"/>
      <c r="AI57" s="367"/>
      <c r="AJ57" s="343"/>
      <c r="AK57" s="343"/>
    </row>
    <row r="58" spans="1:37" ht="37.15" customHeight="1" x14ac:dyDescent="0.35">
      <c r="A58" s="259">
        <v>23</v>
      </c>
      <c r="B58" s="259" t="s">
        <v>219</v>
      </c>
      <c r="C58" s="259" t="s">
        <v>115</v>
      </c>
      <c r="D58" s="259" t="s">
        <v>116</v>
      </c>
      <c r="E58" s="259" t="s">
        <v>117</v>
      </c>
      <c r="F58" s="284" t="s">
        <v>79</v>
      </c>
      <c r="G58" s="259" t="s">
        <v>1058</v>
      </c>
      <c r="H58" s="511">
        <v>1</v>
      </c>
      <c r="I58" s="259" t="s">
        <v>1062</v>
      </c>
      <c r="J58" s="513" t="s">
        <v>1063</v>
      </c>
      <c r="K58" s="508" t="s">
        <v>1117</v>
      </c>
      <c r="L58" s="259" t="s">
        <v>955</v>
      </c>
      <c r="M58" s="259" t="s">
        <v>1094</v>
      </c>
      <c r="N58" s="261" t="s">
        <v>1049</v>
      </c>
      <c r="O58" s="259" t="s">
        <v>189</v>
      </c>
      <c r="P58" s="405">
        <v>44958</v>
      </c>
      <c r="Q58" s="405">
        <v>45290</v>
      </c>
      <c r="R58" s="64" t="s">
        <v>86</v>
      </c>
      <c r="S58" s="53">
        <f>+(S59*T58)</f>
        <v>1.0204081632653062E-2</v>
      </c>
      <c r="T58" s="71">
        <f t="shared" si="1"/>
        <v>0.50000000000000011</v>
      </c>
      <c r="U58" s="45"/>
      <c r="V58" s="42">
        <v>8.3333333333333343E-2</v>
      </c>
      <c r="W58" s="42">
        <v>8.3333333333333343E-2</v>
      </c>
      <c r="X58" s="42">
        <v>8.3333333333333343E-2</v>
      </c>
      <c r="Y58" s="42">
        <v>8.3333333333333343E-2</v>
      </c>
      <c r="Z58" s="42">
        <v>8.3333333333333343E-2</v>
      </c>
      <c r="AA58" s="42">
        <v>8.3333333333333343E-2</v>
      </c>
      <c r="AB58" s="45"/>
      <c r="AC58" s="45"/>
      <c r="AD58" s="45"/>
      <c r="AE58" s="45"/>
      <c r="AF58" s="45"/>
      <c r="AG58" s="45"/>
      <c r="AH58" s="257" t="s">
        <v>1118</v>
      </c>
      <c r="AI58" s="257" t="s">
        <v>1119</v>
      </c>
      <c r="AJ58" s="342"/>
      <c r="AK58" s="342"/>
    </row>
    <row r="59" spans="1:37" ht="37.15" customHeight="1" x14ac:dyDescent="0.35">
      <c r="A59" s="260"/>
      <c r="B59" s="260"/>
      <c r="C59" s="260"/>
      <c r="D59" s="260"/>
      <c r="E59" s="260"/>
      <c r="F59" s="284"/>
      <c r="G59" s="260"/>
      <c r="H59" s="512"/>
      <c r="I59" s="260"/>
      <c r="J59" s="514"/>
      <c r="K59" s="509"/>
      <c r="L59" s="260"/>
      <c r="M59" s="260"/>
      <c r="N59" s="266"/>
      <c r="O59" s="260"/>
      <c r="P59" s="409"/>
      <c r="Q59" s="409"/>
      <c r="R59" s="64" t="s">
        <v>89</v>
      </c>
      <c r="S59" s="52">
        <f>100%/49</f>
        <v>2.0408163265306121E-2</v>
      </c>
      <c r="T59" s="71">
        <f t="shared" si="1"/>
        <v>1.0000000000000002</v>
      </c>
      <c r="U59" s="42"/>
      <c r="V59" s="42">
        <v>8.3333333333333301E-2</v>
      </c>
      <c r="W59" s="42">
        <v>8.3333333333333343E-2</v>
      </c>
      <c r="X59" s="42">
        <v>8.3333333333333343E-2</v>
      </c>
      <c r="Y59" s="42">
        <v>8.3333333333333343E-2</v>
      </c>
      <c r="Z59" s="42">
        <v>8.3333333333333343E-2</v>
      </c>
      <c r="AA59" s="42">
        <v>8.3333333333333343E-2</v>
      </c>
      <c r="AB59" s="42">
        <v>8.3333333333333343E-2</v>
      </c>
      <c r="AC59" s="42">
        <v>8.3333333333333343E-2</v>
      </c>
      <c r="AD59" s="42">
        <v>8.3333333333333343E-2</v>
      </c>
      <c r="AE59" s="42">
        <v>8.3333333333333343E-2</v>
      </c>
      <c r="AF59" s="42">
        <v>8.3333333333333343E-2</v>
      </c>
      <c r="AG59" s="42">
        <v>8.3333333333333343E-2</v>
      </c>
      <c r="AH59" s="258"/>
      <c r="AI59" s="258"/>
      <c r="AJ59" s="343"/>
      <c r="AK59" s="343"/>
    </row>
    <row r="60" spans="1:37" ht="37.15" customHeight="1" x14ac:dyDescent="0.35">
      <c r="A60" s="259">
        <v>24</v>
      </c>
      <c r="B60" s="259" t="s">
        <v>219</v>
      </c>
      <c r="C60" s="259" t="s">
        <v>115</v>
      </c>
      <c r="D60" s="259" t="s">
        <v>116</v>
      </c>
      <c r="E60" s="259" t="s">
        <v>117</v>
      </c>
      <c r="F60" s="284" t="s">
        <v>79</v>
      </c>
      <c r="G60" s="259" t="s">
        <v>1120</v>
      </c>
      <c r="H60" s="511">
        <v>1</v>
      </c>
      <c r="I60" s="259" t="s">
        <v>1062</v>
      </c>
      <c r="J60" s="508" t="s">
        <v>1066</v>
      </c>
      <c r="K60" s="508" t="s">
        <v>1121</v>
      </c>
      <c r="L60" s="259" t="s">
        <v>955</v>
      </c>
      <c r="M60" s="259" t="s">
        <v>1094</v>
      </c>
      <c r="N60" s="261" t="s">
        <v>1049</v>
      </c>
      <c r="O60" s="259" t="s">
        <v>85</v>
      </c>
      <c r="P60" s="405">
        <v>44986</v>
      </c>
      <c r="Q60" s="405">
        <v>45290</v>
      </c>
      <c r="R60" s="64" t="s">
        <v>86</v>
      </c>
      <c r="S60" s="53">
        <f>+(S61*T60)</f>
        <v>1.020408163265306E-2</v>
      </c>
      <c r="T60" s="71">
        <f t="shared" si="1"/>
        <v>0.5</v>
      </c>
      <c r="U60" s="45"/>
      <c r="V60" s="45"/>
      <c r="X60" s="45">
        <v>0.25</v>
      </c>
      <c r="Y60" s="45"/>
      <c r="Z60" s="45"/>
      <c r="AA60" s="45">
        <v>0.25</v>
      </c>
      <c r="AB60" s="45"/>
      <c r="AC60" s="45"/>
      <c r="AD60" s="45"/>
      <c r="AE60" s="45"/>
      <c r="AF60" s="45"/>
      <c r="AG60" s="45"/>
      <c r="AH60" s="257" t="s">
        <v>1122</v>
      </c>
      <c r="AI60" s="257" t="s">
        <v>1123</v>
      </c>
      <c r="AJ60" s="342"/>
      <c r="AK60" s="342"/>
    </row>
    <row r="61" spans="1:37" ht="37.15" customHeight="1" x14ac:dyDescent="0.35">
      <c r="A61" s="260"/>
      <c r="B61" s="260"/>
      <c r="C61" s="260"/>
      <c r="D61" s="260"/>
      <c r="E61" s="260"/>
      <c r="F61" s="284"/>
      <c r="G61" s="260"/>
      <c r="H61" s="512"/>
      <c r="I61" s="260"/>
      <c r="J61" s="509"/>
      <c r="K61" s="509"/>
      <c r="L61" s="260"/>
      <c r="M61" s="260"/>
      <c r="N61" s="266"/>
      <c r="O61" s="260"/>
      <c r="P61" s="409"/>
      <c r="Q61" s="409"/>
      <c r="R61" s="64" t="s">
        <v>89</v>
      </c>
      <c r="S61" s="52">
        <f>100%/49</f>
        <v>2.0408163265306121E-2</v>
      </c>
      <c r="T61" s="71">
        <f t="shared" si="1"/>
        <v>1</v>
      </c>
      <c r="U61" s="42"/>
      <c r="V61" s="42"/>
      <c r="W61" s="42"/>
      <c r="X61" s="42">
        <v>0.25</v>
      </c>
      <c r="Y61" s="42"/>
      <c r="Z61" s="42"/>
      <c r="AA61" s="42">
        <v>0.25</v>
      </c>
      <c r="AB61" s="42"/>
      <c r="AC61" s="42"/>
      <c r="AD61" s="42">
        <v>0.25</v>
      </c>
      <c r="AE61" s="42"/>
      <c r="AF61" s="42"/>
      <c r="AG61" s="42">
        <v>0.25</v>
      </c>
      <c r="AH61" s="363"/>
      <c r="AI61" s="363"/>
      <c r="AJ61" s="343"/>
      <c r="AK61" s="343"/>
    </row>
    <row r="62" spans="1:37" ht="37.15" customHeight="1" x14ac:dyDescent="0.35">
      <c r="A62" s="259">
        <v>25</v>
      </c>
      <c r="B62" s="259" t="s">
        <v>219</v>
      </c>
      <c r="C62" s="259" t="s">
        <v>115</v>
      </c>
      <c r="D62" s="259" t="s">
        <v>116</v>
      </c>
      <c r="E62" s="259" t="s">
        <v>117</v>
      </c>
      <c r="F62" s="284" t="s">
        <v>79</v>
      </c>
      <c r="G62" s="259" t="s">
        <v>1120</v>
      </c>
      <c r="H62" s="511">
        <v>1</v>
      </c>
      <c r="I62" s="259" t="s">
        <v>1062</v>
      </c>
      <c r="J62" s="508" t="s">
        <v>1068</v>
      </c>
      <c r="K62" s="508" t="s">
        <v>1124</v>
      </c>
      <c r="L62" s="259" t="s">
        <v>955</v>
      </c>
      <c r="M62" s="259" t="s">
        <v>1094</v>
      </c>
      <c r="N62" s="261" t="s">
        <v>1049</v>
      </c>
      <c r="O62" s="259" t="s">
        <v>85</v>
      </c>
      <c r="P62" s="405">
        <v>44958</v>
      </c>
      <c r="Q62" s="405">
        <v>45290</v>
      </c>
      <c r="R62" s="64" t="s">
        <v>86</v>
      </c>
      <c r="S62" s="53">
        <f>+(S63*T62)</f>
        <v>5.1020408163265302E-3</v>
      </c>
      <c r="T62" s="71">
        <f t="shared" si="1"/>
        <v>0.25</v>
      </c>
      <c r="U62" s="45"/>
      <c r="V62" s="45"/>
      <c r="X62" s="45">
        <v>0.25</v>
      </c>
      <c r="Y62" s="45"/>
      <c r="Z62" s="45"/>
      <c r="AA62" s="45"/>
      <c r="AB62" s="45"/>
      <c r="AC62" s="45"/>
      <c r="AD62" s="45"/>
      <c r="AE62" s="45"/>
      <c r="AF62" s="45"/>
      <c r="AG62" s="45"/>
      <c r="AH62" s="257" t="s">
        <v>1125</v>
      </c>
      <c r="AI62" s="366"/>
      <c r="AJ62" s="342"/>
      <c r="AK62" s="342"/>
    </row>
    <row r="63" spans="1:37" ht="37.15" customHeight="1" x14ac:dyDescent="0.35">
      <c r="A63" s="260"/>
      <c r="B63" s="260"/>
      <c r="C63" s="260"/>
      <c r="D63" s="260"/>
      <c r="E63" s="260"/>
      <c r="F63" s="284"/>
      <c r="G63" s="260"/>
      <c r="H63" s="512"/>
      <c r="I63" s="260"/>
      <c r="J63" s="509"/>
      <c r="K63" s="509"/>
      <c r="L63" s="260"/>
      <c r="M63" s="260"/>
      <c r="N63" s="266"/>
      <c r="O63" s="260"/>
      <c r="P63" s="409"/>
      <c r="Q63" s="409"/>
      <c r="R63" s="64" t="s">
        <v>89</v>
      </c>
      <c r="S63" s="52">
        <f>100%/49</f>
        <v>2.0408163265306121E-2</v>
      </c>
      <c r="T63" s="71">
        <f t="shared" si="1"/>
        <v>1</v>
      </c>
      <c r="U63" s="42"/>
      <c r="V63" s="42"/>
      <c r="W63" s="42"/>
      <c r="X63" s="42">
        <v>0.25</v>
      </c>
      <c r="Y63" s="42"/>
      <c r="Z63" s="42"/>
      <c r="AA63" s="42">
        <v>0.25</v>
      </c>
      <c r="AB63" s="42"/>
      <c r="AC63" s="42"/>
      <c r="AD63" s="42">
        <v>0.25</v>
      </c>
      <c r="AE63" s="42"/>
      <c r="AF63" s="42"/>
      <c r="AG63" s="42">
        <v>0.25</v>
      </c>
      <c r="AH63" s="258"/>
      <c r="AI63" s="367"/>
      <c r="AJ63" s="343"/>
      <c r="AK63" s="343"/>
    </row>
    <row r="64" spans="1:37" ht="37.15" customHeight="1" x14ac:dyDescent="0.35">
      <c r="A64" s="259">
        <v>26</v>
      </c>
      <c r="B64" s="259" t="s">
        <v>219</v>
      </c>
      <c r="C64" s="259" t="s">
        <v>115</v>
      </c>
      <c r="D64" s="259" t="s">
        <v>116</v>
      </c>
      <c r="E64" s="259" t="s">
        <v>117</v>
      </c>
      <c r="F64" s="284" t="s">
        <v>79</v>
      </c>
      <c r="G64" s="259" t="s">
        <v>1120</v>
      </c>
      <c r="H64" s="511">
        <v>1</v>
      </c>
      <c r="I64" s="259" t="s">
        <v>1062</v>
      </c>
      <c r="J64" s="508" t="s">
        <v>1068</v>
      </c>
      <c r="K64" s="508" t="s">
        <v>1126</v>
      </c>
      <c r="L64" s="259" t="s">
        <v>955</v>
      </c>
      <c r="M64" s="259" t="s">
        <v>1127</v>
      </c>
      <c r="N64" s="261" t="s">
        <v>1049</v>
      </c>
      <c r="O64" s="259" t="s">
        <v>272</v>
      </c>
      <c r="P64" s="405">
        <v>45170</v>
      </c>
      <c r="Q64" s="405">
        <v>45199</v>
      </c>
      <c r="R64" s="64" t="s">
        <v>86</v>
      </c>
      <c r="S64" s="53">
        <f>+(S65*T64)</f>
        <v>0</v>
      </c>
      <c r="T64" s="71">
        <f t="shared" si="1"/>
        <v>0</v>
      </c>
      <c r="U64" s="45"/>
      <c r="V64" s="45"/>
      <c r="W64" s="45"/>
      <c r="X64" s="45"/>
      <c r="Y64" s="45"/>
      <c r="Z64" s="45"/>
      <c r="AA64" s="45"/>
      <c r="AB64" s="45"/>
      <c r="AC64" s="45"/>
      <c r="AD64" s="45"/>
      <c r="AE64" s="45"/>
      <c r="AF64" s="45"/>
      <c r="AG64" s="45"/>
      <c r="AH64" s="362"/>
      <c r="AI64" s="366"/>
      <c r="AJ64" s="342"/>
      <c r="AK64" s="342"/>
    </row>
    <row r="65" spans="1:37" ht="37.15" customHeight="1" x14ac:dyDescent="0.35">
      <c r="A65" s="260"/>
      <c r="B65" s="260"/>
      <c r="C65" s="260"/>
      <c r="D65" s="260"/>
      <c r="E65" s="260"/>
      <c r="F65" s="284"/>
      <c r="G65" s="260"/>
      <c r="H65" s="512"/>
      <c r="I65" s="260"/>
      <c r="J65" s="509"/>
      <c r="K65" s="509"/>
      <c r="L65" s="260"/>
      <c r="M65" s="260"/>
      <c r="N65" s="266"/>
      <c r="O65" s="260"/>
      <c r="P65" s="409"/>
      <c r="Q65" s="409"/>
      <c r="R65" s="64" t="s">
        <v>89</v>
      </c>
      <c r="S65" s="52">
        <f>100%/49</f>
        <v>2.0408163265306121E-2</v>
      </c>
      <c r="T65" s="71">
        <f t="shared" si="1"/>
        <v>1</v>
      </c>
      <c r="U65" s="42"/>
      <c r="V65" s="42"/>
      <c r="W65" s="42"/>
      <c r="X65" s="42"/>
      <c r="Y65" s="42"/>
      <c r="Z65" s="42"/>
      <c r="AA65" s="42"/>
      <c r="AB65" s="42"/>
      <c r="AC65" s="42"/>
      <c r="AD65" s="42"/>
      <c r="AE65" s="42"/>
      <c r="AF65" s="42"/>
      <c r="AG65" s="42">
        <v>1</v>
      </c>
      <c r="AH65" s="363"/>
      <c r="AI65" s="367"/>
      <c r="AJ65" s="343"/>
      <c r="AK65" s="343"/>
    </row>
    <row r="66" spans="1:37" ht="37.15" customHeight="1" x14ac:dyDescent="0.35">
      <c r="A66" s="259">
        <v>27</v>
      </c>
      <c r="B66" s="259" t="s">
        <v>219</v>
      </c>
      <c r="C66" s="259" t="s">
        <v>115</v>
      </c>
      <c r="D66" s="259" t="s">
        <v>116</v>
      </c>
      <c r="E66" s="259" t="s">
        <v>117</v>
      </c>
      <c r="F66" s="284" t="s">
        <v>79</v>
      </c>
      <c r="G66" s="259" t="s">
        <v>1058</v>
      </c>
      <c r="H66" s="511">
        <v>1</v>
      </c>
      <c r="I66" s="259" t="s">
        <v>1062</v>
      </c>
      <c r="J66" s="508" t="s">
        <v>1128</v>
      </c>
      <c r="K66" s="508" t="s">
        <v>1129</v>
      </c>
      <c r="L66" s="259" t="s">
        <v>955</v>
      </c>
      <c r="M66" s="259" t="s">
        <v>1130</v>
      </c>
      <c r="N66" s="259" t="s">
        <v>1074</v>
      </c>
      <c r="O66" s="259" t="s">
        <v>126</v>
      </c>
      <c r="P66" s="405">
        <v>45047</v>
      </c>
      <c r="Q66" s="405">
        <v>45137</v>
      </c>
      <c r="R66" s="64" t="s">
        <v>86</v>
      </c>
      <c r="S66" s="53">
        <f>+(S67*T66)</f>
        <v>1.020408163265306E-2</v>
      </c>
      <c r="T66" s="71">
        <f t="shared" si="1"/>
        <v>0.5</v>
      </c>
      <c r="U66" s="45"/>
      <c r="V66" s="45"/>
      <c r="W66" s="45"/>
      <c r="X66" s="45"/>
      <c r="Y66" s="45"/>
      <c r="Z66" s="45"/>
      <c r="AA66" s="45">
        <v>0.5</v>
      </c>
      <c r="AB66" s="45"/>
      <c r="AC66" s="45"/>
      <c r="AD66" s="45"/>
      <c r="AE66" s="45"/>
      <c r="AF66" s="45"/>
      <c r="AG66" s="45"/>
      <c r="AH66" s="362"/>
      <c r="AI66" s="366" t="s">
        <v>1131</v>
      </c>
      <c r="AJ66" s="342"/>
      <c r="AK66" s="342"/>
    </row>
    <row r="67" spans="1:37" ht="37.15" customHeight="1" x14ac:dyDescent="0.35">
      <c r="A67" s="260"/>
      <c r="B67" s="260"/>
      <c r="C67" s="260"/>
      <c r="D67" s="260"/>
      <c r="E67" s="260"/>
      <c r="F67" s="284"/>
      <c r="G67" s="260"/>
      <c r="H67" s="512"/>
      <c r="I67" s="260"/>
      <c r="J67" s="509"/>
      <c r="K67" s="509"/>
      <c r="L67" s="260"/>
      <c r="M67" s="260"/>
      <c r="N67" s="260"/>
      <c r="O67" s="260"/>
      <c r="P67" s="409"/>
      <c r="Q67" s="409"/>
      <c r="R67" s="64" t="s">
        <v>89</v>
      </c>
      <c r="S67" s="52">
        <f>100%/49</f>
        <v>2.0408163265306121E-2</v>
      </c>
      <c r="T67" s="71">
        <f t="shared" si="1"/>
        <v>1</v>
      </c>
      <c r="U67" s="42"/>
      <c r="V67" s="42"/>
      <c r="W67" s="42"/>
      <c r="X67" s="42"/>
      <c r="Y67" s="42"/>
      <c r="Z67" s="42"/>
      <c r="AA67" s="42">
        <v>0.5</v>
      </c>
      <c r="AB67" s="42"/>
      <c r="AC67" s="42"/>
      <c r="AD67" s="42"/>
      <c r="AE67" s="42"/>
      <c r="AF67" s="42"/>
      <c r="AG67" s="42">
        <v>0.5</v>
      </c>
      <c r="AH67" s="363"/>
      <c r="AI67" s="367"/>
      <c r="AJ67" s="343"/>
      <c r="AK67" s="343"/>
    </row>
    <row r="68" spans="1:37" ht="37.15" customHeight="1" x14ac:dyDescent="0.35">
      <c r="A68" s="259">
        <v>28</v>
      </c>
      <c r="B68" s="259" t="s">
        <v>219</v>
      </c>
      <c r="C68" s="259" t="s">
        <v>115</v>
      </c>
      <c r="D68" s="259" t="s">
        <v>116</v>
      </c>
      <c r="E68" s="259" t="s">
        <v>117</v>
      </c>
      <c r="F68" s="284" t="s">
        <v>79</v>
      </c>
      <c r="G68" s="259" t="s">
        <v>1120</v>
      </c>
      <c r="H68" s="511">
        <v>1</v>
      </c>
      <c r="I68" s="259" t="s">
        <v>1062</v>
      </c>
      <c r="J68" s="508" t="s">
        <v>1128</v>
      </c>
      <c r="K68" s="508" t="s">
        <v>1132</v>
      </c>
      <c r="L68" s="259" t="s">
        <v>955</v>
      </c>
      <c r="M68" s="259" t="s">
        <v>1133</v>
      </c>
      <c r="N68" s="259" t="s">
        <v>1074</v>
      </c>
      <c r="O68" s="259" t="s">
        <v>85</v>
      </c>
      <c r="P68" s="405">
        <v>44986</v>
      </c>
      <c r="Q68" s="405">
        <v>45290</v>
      </c>
      <c r="R68" s="64" t="s">
        <v>86</v>
      </c>
      <c r="S68" s="53">
        <f>+(S69*T68)</f>
        <v>1.020408163265306E-2</v>
      </c>
      <c r="T68" s="71">
        <f t="shared" si="1"/>
        <v>0.5</v>
      </c>
      <c r="U68" s="45"/>
      <c r="V68" s="45"/>
      <c r="W68" s="45"/>
      <c r="X68" s="45">
        <v>0.25</v>
      </c>
      <c r="Y68" s="45"/>
      <c r="Z68" s="45"/>
      <c r="AA68" s="45">
        <v>0.25</v>
      </c>
      <c r="AB68" s="45"/>
      <c r="AC68" s="45"/>
      <c r="AD68" s="45"/>
      <c r="AE68" s="45"/>
      <c r="AF68" s="45"/>
      <c r="AG68" s="45"/>
      <c r="AH68" s="257" t="s">
        <v>1134</v>
      </c>
      <c r="AI68" s="257" t="s">
        <v>1134</v>
      </c>
      <c r="AJ68" s="342"/>
      <c r="AK68" s="342"/>
    </row>
    <row r="69" spans="1:37" ht="37.15" customHeight="1" x14ac:dyDescent="0.35">
      <c r="A69" s="260"/>
      <c r="B69" s="260"/>
      <c r="C69" s="260"/>
      <c r="D69" s="260"/>
      <c r="E69" s="260"/>
      <c r="F69" s="284"/>
      <c r="G69" s="260"/>
      <c r="H69" s="512"/>
      <c r="I69" s="260"/>
      <c r="J69" s="509"/>
      <c r="K69" s="509"/>
      <c r="L69" s="260"/>
      <c r="M69" s="260"/>
      <c r="N69" s="260"/>
      <c r="O69" s="260"/>
      <c r="P69" s="409"/>
      <c r="Q69" s="409"/>
      <c r="R69" s="64" t="s">
        <v>89</v>
      </c>
      <c r="S69" s="52">
        <f>100%/49</f>
        <v>2.0408163265306121E-2</v>
      </c>
      <c r="T69" s="71">
        <f t="shared" si="1"/>
        <v>1</v>
      </c>
      <c r="U69" s="42"/>
      <c r="V69" s="42"/>
      <c r="W69" s="42"/>
      <c r="X69" s="42">
        <v>0.25</v>
      </c>
      <c r="Y69" s="42"/>
      <c r="Z69" s="42"/>
      <c r="AA69" s="42">
        <v>0.25</v>
      </c>
      <c r="AB69" s="42"/>
      <c r="AC69" s="42"/>
      <c r="AD69" s="42">
        <v>0.25</v>
      </c>
      <c r="AE69" s="42"/>
      <c r="AF69" s="42"/>
      <c r="AG69" s="42">
        <v>0.25</v>
      </c>
      <c r="AH69" s="363"/>
      <c r="AI69" s="363"/>
      <c r="AJ69" s="343"/>
      <c r="AK69" s="343"/>
    </row>
    <row r="70" spans="1:37" ht="37.15" customHeight="1" x14ac:dyDescent="0.35">
      <c r="A70" s="259">
        <v>29</v>
      </c>
      <c r="B70" s="259" t="s">
        <v>219</v>
      </c>
      <c r="C70" s="259" t="s">
        <v>115</v>
      </c>
      <c r="D70" s="259" t="s">
        <v>116</v>
      </c>
      <c r="E70" s="259" t="s">
        <v>117</v>
      </c>
      <c r="F70" s="284" t="s">
        <v>79</v>
      </c>
      <c r="G70" s="259" t="s">
        <v>1120</v>
      </c>
      <c r="H70" s="511">
        <v>1</v>
      </c>
      <c r="I70" s="259" t="s">
        <v>1062</v>
      </c>
      <c r="J70" s="508" t="s">
        <v>1135</v>
      </c>
      <c r="K70" s="508" t="s">
        <v>1136</v>
      </c>
      <c r="L70" s="259" t="s">
        <v>955</v>
      </c>
      <c r="M70" s="259" t="s">
        <v>1077</v>
      </c>
      <c r="N70" s="259" t="s">
        <v>84</v>
      </c>
      <c r="O70" s="259" t="s">
        <v>189</v>
      </c>
      <c r="P70" s="405">
        <v>44927</v>
      </c>
      <c r="Q70" s="405">
        <v>45290</v>
      </c>
      <c r="R70" s="64" t="s">
        <v>86</v>
      </c>
      <c r="S70" s="53">
        <f>+(S71*T70)</f>
        <v>1.0204081632653062E-2</v>
      </c>
      <c r="T70" s="71">
        <f t="shared" si="1"/>
        <v>0.50000000000000011</v>
      </c>
      <c r="U70" s="45"/>
      <c r="V70" s="42">
        <v>8.3333333333333343E-2</v>
      </c>
      <c r="W70" s="42">
        <v>8.3333333333333343E-2</v>
      </c>
      <c r="X70" s="42">
        <v>8.3333333333333343E-2</v>
      </c>
      <c r="Y70" s="42">
        <v>8.3333333333333343E-2</v>
      </c>
      <c r="Z70" s="42">
        <v>8.3333333333333343E-2</v>
      </c>
      <c r="AA70" s="42">
        <v>8.3333333333333343E-2</v>
      </c>
      <c r="AB70" s="45"/>
      <c r="AC70" s="45"/>
      <c r="AD70" s="45"/>
      <c r="AE70" s="45"/>
      <c r="AF70" s="45"/>
      <c r="AG70" s="45"/>
      <c r="AH70" s="257" t="s">
        <v>1137</v>
      </c>
      <c r="AI70" s="257" t="s">
        <v>1137</v>
      </c>
      <c r="AJ70" s="342"/>
      <c r="AK70" s="342"/>
    </row>
    <row r="71" spans="1:37" ht="37.15" customHeight="1" x14ac:dyDescent="0.35">
      <c r="A71" s="260"/>
      <c r="B71" s="260"/>
      <c r="C71" s="260"/>
      <c r="D71" s="260"/>
      <c r="E71" s="260"/>
      <c r="F71" s="284"/>
      <c r="G71" s="260"/>
      <c r="H71" s="512"/>
      <c r="I71" s="260"/>
      <c r="J71" s="509"/>
      <c r="K71" s="509"/>
      <c r="L71" s="260"/>
      <c r="M71" s="260"/>
      <c r="N71" s="260"/>
      <c r="O71" s="260"/>
      <c r="P71" s="409"/>
      <c r="Q71" s="409"/>
      <c r="R71" s="64" t="s">
        <v>89</v>
      </c>
      <c r="S71" s="52">
        <f>100%/49</f>
        <v>2.0408163265306121E-2</v>
      </c>
      <c r="T71" s="71">
        <f t="shared" si="1"/>
        <v>1.0000000000000002</v>
      </c>
      <c r="U71" s="42"/>
      <c r="V71" s="42">
        <v>8.3333333333333343E-2</v>
      </c>
      <c r="W71" s="42">
        <v>8.3333333333333343E-2</v>
      </c>
      <c r="X71" s="42">
        <v>8.3333333333333343E-2</v>
      </c>
      <c r="Y71" s="42">
        <v>8.3333333333333343E-2</v>
      </c>
      <c r="Z71" s="42">
        <v>8.3333333333333343E-2</v>
      </c>
      <c r="AA71" s="42">
        <v>8.3333333333333343E-2</v>
      </c>
      <c r="AB71" s="42">
        <v>8.3333333333333343E-2</v>
      </c>
      <c r="AC71" s="42">
        <v>8.3333333333333343E-2</v>
      </c>
      <c r="AD71" s="42">
        <v>8.3333333333333343E-2</v>
      </c>
      <c r="AE71" s="42">
        <v>8.3333333333333343E-2</v>
      </c>
      <c r="AF71" s="42">
        <v>8.3333333333333343E-2</v>
      </c>
      <c r="AG71" s="42">
        <v>8.3333333333333343E-2</v>
      </c>
      <c r="AH71" s="258"/>
      <c r="AI71" s="258"/>
      <c r="AJ71" s="343"/>
      <c r="AK71" s="343"/>
    </row>
    <row r="72" spans="1:37" ht="37.15" customHeight="1" x14ac:dyDescent="0.35">
      <c r="A72" s="259">
        <v>30</v>
      </c>
      <c r="B72" s="259" t="s">
        <v>219</v>
      </c>
      <c r="C72" s="259" t="s">
        <v>115</v>
      </c>
      <c r="D72" s="259" t="s">
        <v>116</v>
      </c>
      <c r="E72" s="259" t="s">
        <v>117</v>
      </c>
      <c r="F72" s="284" t="s">
        <v>79</v>
      </c>
      <c r="G72" s="259" t="s">
        <v>1058</v>
      </c>
      <c r="H72" s="511">
        <v>1</v>
      </c>
      <c r="I72" s="259" t="s">
        <v>1062</v>
      </c>
      <c r="J72" s="508" t="s">
        <v>1135</v>
      </c>
      <c r="K72" s="508" t="s">
        <v>1138</v>
      </c>
      <c r="L72" s="259" t="s">
        <v>955</v>
      </c>
      <c r="M72" s="259" t="s">
        <v>1090</v>
      </c>
      <c r="N72" s="261" t="s">
        <v>1049</v>
      </c>
      <c r="O72" s="259" t="s">
        <v>85</v>
      </c>
      <c r="P72" s="405">
        <v>44986</v>
      </c>
      <c r="Q72" s="405">
        <v>45290</v>
      </c>
      <c r="R72" s="64" t="s">
        <v>86</v>
      </c>
      <c r="S72" s="53">
        <f>+(S73*T72)</f>
        <v>1.020408163265306E-2</v>
      </c>
      <c r="T72" s="71">
        <f t="shared" si="1"/>
        <v>0.5</v>
      </c>
      <c r="U72" s="45"/>
      <c r="V72" s="45"/>
      <c r="W72" s="45"/>
      <c r="X72" s="45">
        <v>0.25</v>
      </c>
      <c r="Y72" s="45"/>
      <c r="Z72" s="45"/>
      <c r="AA72" s="45">
        <v>0.25</v>
      </c>
      <c r="AB72" s="45"/>
      <c r="AC72" s="45"/>
      <c r="AD72" s="45"/>
      <c r="AE72" s="45"/>
      <c r="AF72" s="45"/>
      <c r="AG72" s="45"/>
      <c r="AH72" s="257" t="s">
        <v>1139</v>
      </c>
      <c r="AI72" s="257" t="s">
        <v>1140</v>
      </c>
      <c r="AJ72" s="342"/>
      <c r="AK72" s="342"/>
    </row>
    <row r="73" spans="1:37" ht="37.15" customHeight="1" x14ac:dyDescent="0.35">
      <c r="A73" s="260"/>
      <c r="B73" s="260"/>
      <c r="C73" s="260"/>
      <c r="D73" s="260"/>
      <c r="E73" s="260"/>
      <c r="F73" s="284"/>
      <c r="G73" s="260"/>
      <c r="H73" s="512"/>
      <c r="I73" s="260"/>
      <c r="J73" s="509"/>
      <c r="K73" s="509"/>
      <c r="L73" s="260"/>
      <c r="M73" s="260"/>
      <c r="N73" s="266"/>
      <c r="O73" s="260"/>
      <c r="P73" s="409"/>
      <c r="Q73" s="409"/>
      <c r="R73" s="64" t="s">
        <v>89</v>
      </c>
      <c r="S73" s="52">
        <f>100%/49</f>
        <v>2.0408163265306121E-2</v>
      </c>
      <c r="T73" s="71">
        <f t="shared" si="1"/>
        <v>1</v>
      </c>
      <c r="U73" s="42"/>
      <c r="V73" s="42"/>
      <c r="W73" s="42"/>
      <c r="X73" s="42">
        <v>0.25</v>
      </c>
      <c r="Y73" s="42"/>
      <c r="Z73" s="42"/>
      <c r="AA73" s="42">
        <v>0.25</v>
      </c>
      <c r="AB73" s="42"/>
      <c r="AC73" s="42"/>
      <c r="AD73" s="42">
        <v>0.25</v>
      </c>
      <c r="AE73" s="42"/>
      <c r="AF73" s="42"/>
      <c r="AG73" s="42">
        <v>0.25</v>
      </c>
      <c r="AH73" s="363"/>
      <c r="AI73" s="363"/>
      <c r="AJ73" s="343"/>
      <c r="AK73" s="343"/>
    </row>
    <row r="74" spans="1:37" ht="37.15" customHeight="1" x14ac:dyDescent="0.35">
      <c r="A74" s="259">
        <v>31</v>
      </c>
      <c r="B74" s="259" t="s">
        <v>219</v>
      </c>
      <c r="C74" s="259" t="s">
        <v>115</v>
      </c>
      <c r="D74" s="259" t="s">
        <v>116</v>
      </c>
      <c r="E74" s="259" t="s">
        <v>117</v>
      </c>
      <c r="F74" s="284" t="s">
        <v>79</v>
      </c>
      <c r="G74" s="259" t="s">
        <v>1120</v>
      </c>
      <c r="H74" s="511">
        <v>1</v>
      </c>
      <c r="I74" s="259" t="s">
        <v>1062</v>
      </c>
      <c r="J74" s="508" t="s">
        <v>1141</v>
      </c>
      <c r="K74" s="508" t="s">
        <v>1142</v>
      </c>
      <c r="L74" s="259" t="s">
        <v>955</v>
      </c>
      <c r="M74" s="259" t="s">
        <v>1143</v>
      </c>
      <c r="N74" s="259" t="s">
        <v>84</v>
      </c>
      <c r="O74" s="259" t="s">
        <v>189</v>
      </c>
      <c r="P74" s="405">
        <v>44927</v>
      </c>
      <c r="Q74" s="405">
        <v>45290</v>
      </c>
      <c r="R74" s="64" t="s">
        <v>86</v>
      </c>
      <c r="S74" s="53">
        <f>+(S75*T74)</f>
        <v>1.0204081632653062E-2</v>
      </c>
      <c r="T74" s="71">
        <f t="shared" si="1"/>
        <v>0.50000000000000011</v>
      </c>
      <c r="U74" s="45"/>
      <c r="V74" s="42">
        <v>8.3333333333333343E-2</v>
      </c>
      <c r="W74" s="42">
        <v>8.3333333333333343E-2</v>
      </c>
      <c r="X74" s="42">
        <v>8.3333333333333343E-2</v>
      </c>
      <c r="Y74" s="42">
        <v>8.3333333333333343E-2</v>
      </c>
      <c r="Z74" s="42">
        <v>8.3333333333333343E-2</v>
      </c>
      <c r="AA74" s="42">
        <v>8.3333333333333343E-2</v>
      </c>
      <c r="AB74" s="45"/>
      <c r="AC74" s="45"/>
      <c r="AD74" s="45"/>
      <c r="AE74" s="45"/>
      <c r="AF74" s="45"/>
      <c r="AG74" s="45"/>
      <c r="AH74" s="257" t="s">
        <v>1144</v>
      </c>
      <c r="AI74" s="366" t="s">
        <v>1145</v>
      </c>
      <c r="AJ74" s="342"/>
      <c r="AK74" s="342"/>
    </row>
    <row r="75" spans="1:37" ht="37.15" customHeight="1" x14ac:dyDescent="0.35">
      <c r="A75" s="260"/>
      <c r="B75" s="260"/>
      <c r="C75" s="260"/>
      <c r="D75" s="260"/>
      <c r="E75" s="260"/>
      <c r="F75" s="284"/>
      <c r="G75" s="260"/>
      <c r="H75" s="512"/>
      <c r="I75" s="260"/>
      <c r="J75" s="509"/>
      <c r="K75" s="509"/>
      <c r="L75" s="260"/>
      <c r="M75" s="260"/>
      <c r="N75" s="260"/>
      <c r="O75" s="260"/>
      <c r="P75" s="409"/>
      <c r="Q75" s="409"/>
      <c r="R75" s="64" t="s">
        <v>89</v>
      </c>
      <c r="S75" s="52">
        <f>100%/49</f>
        <v>2.0408163265306121E-2</v>
      </c>
      <c r="T75" s="71">
        <f t="shared" si="1"/>
        <v>1.0000000000000002</v>
      </c>
      <c r="U75" s="42"/>
      <c r="V75" s="42">
        <v>8.3333333333333343E-2</v>
      </c>
      <c r="W75" s="42">
        <v>8.3333333333333343E-2</v>
      </c>
      <c r="X75" s="42">
        <v>8.3333333333333343E-2</v>
      </c>
      <c r="Y75" s="42">
        <v>8.3333333333333343E-2</v>
      </c>
      <c r="Z75" s="42">
        <v>8.3333333333333343E-2</v>
      </c>
      <c r="AA75" s="42">
        <v>8.3333333333333343E-2</v>
      </c>
      <c r="AB75" s="42">
        <v>8.3333333333333343E-2</v>
      </c>
      <c r="AC75" s="42">
        <v>8.3333333333333343E-2</v>
      </c>
      <c r="AD75" s="42">
        <v>8.3333333333333343E-2</v>
      </c>
      <c r="AE75" s="42">
        <v>8.3333333333333343E-2</v>
      </c>
      <c r="AF75" s="42">
        <v>8.3333333333333343E-2</v>
      </c>
      <c r="AG75" s="42">
        <v>8.3333333333333343E-2</v>
      </c>
      <c r="AH75" s="258"/>
      <c r="AI75" s="367"/>
      <c r="AJ75" s="343"/>
      <c r="AK75" s="343"/>
    </row>
    <row r="76" spans="1:37" ht="37.15" customHeight="1" x14ac:dyDescent="0.35">
      <c r="A76" s="259">
        <v>32</v>
      </c>
      <c r="B76" s="259" t="s">
        <v>219</v>
      </c>
      <c r="C76" s="259" t="s">
        <v>115</v>
      </c>
      <c r="D76" s="259" t="s">
        <v>116</v>
      </c>
      <c r="E76" s="259" t="s">
        <v>117</v>
      </c>
      <c r="F76" s="284" t="s">
        <v>79</v>
      </c>
      <c r="G76" s="259" t="s">
        <v>1120</v>
      </c>
      <c r="H76" s="511">
        <v>1</v>
      </c>
      <c r="I76" s="259" t="s">
        <v>1080</v>
      </c>
      <c r="J76" s="508" t="s">
        <v>1146</v>
      </c>
      <c r="K76" s="508" t="s">
        <v>1147</v>
      </c>
      <c r="L76" s="259" t="s">
        <v>955</v>
      </c>
      <c r="M76" s="259" t="s">
        <v>1099</v>
      </c>
      <c r="N76" s="261" t="s">
        <v>1049</v>
      </c>
      <c r="O76" s="259" t="s">
        <v>272</v>
      </c>
      <c r="P76" s="405">
        <v>45017</v>
      </c>
      <c r="Q76" s="405">
        <v>45046</v>
      </c>
      <c r="R76" s="64" t="s">
        <v>86</v>
      </c>
      <c r="S76" s="53">
        <f>+(S77*T76)</f>
        <v>0</v>
      </c>
      <c r="T76" s="71">
        <f t="shared" ref="T76:T107" si="2">SUM(U76:AG76)</f>
        <v>0</v>
      </c>
      <c r="U76" s="45"/>
      <c r="V76" s="45"/>
      <c r="W76" s="45"/>
      <c r="X76" s="45"/>
      <c r="Y76" s="45"/>
      <c r="Z76" s="45"/>
      <c r="AA76" s="45"/>
      <c r="AB76" s="45"/>
      <c r="AC76" s="45"/>
      <c r="AD76" s="45"/>
      <c r="AE76" s="45"/>
      <c r="AF76" s="45"/>
      <c r="AG76" s="45"/>
      <c r="AH76" s="362"/>
      <c r="AI76" s="366"/>
      <c r="AJ76" s="342"/>
      <c r="AK76" s="342"/>
    </row>
    <row r="77" spans="1:37" ht="37.15" customHeight="1" x14ac:dyDescent="0.35">
      <c r="A77" s="260"/>
      <c r="B77" s="260"/>
      <c r="C77" s="260"/>
      <c r="D77" s="260"/>
      <c r="E77" s="260"/>
      <c r="F77" s="284"/>
      <c r="G77" s="260"/>
      <c r="H77" s="512"/>
      <c r="I77" s="260"/>
      <c r="J77" s="509"/>
      <c r="K77" s="509"/>
      <c r="L77" s="260"/>
      <c r="M77" s="260"/>
      <c r="N77" s="266"/>
      <c r="O77" s="260"/>
      <c r="P77" s="409"/>
      <c r="Q77" s="409"/>
      <c r="R77" s="64" t="s">
        <v>89</v>
      </c>
      <c r="S77" s="52">
        <f>100%/49</f>
        <v>2.0408163265306121E-2</v>
      </c>
      <c r="T77" s="71">
        <f t="shared" si="2"/>
        <v>1</v>
      </c>
      <c r="U77" s="42"/>
      <c r="V77" s="42"/>
      <c r="W77" s="42"/>
      <c r="X77" s="42"/>
      <c r="Y77" s="42"/>
      <c r="Z77" s="42"/>
      <c r="AA77" s="42"/>
      <c r="AB77" s="42"/>
      <c r="AC77" s="42"/>
      <c r="AD77" s="42"/>
      <c r="AE77" s="42"/>
      <c r="AF77" s="42"/>
      <c r="AG77" s="42">
        <v>1</v>
      </c>
      <c r="AH77" s="363"/>
      <c r="AI77" s="367"/>
      <c r="AJ77" s="343"/>
      <c r="AK77" s="343"/>
    </row>
    <row r="78" spans="1:37" ht="37.15" customHeight="1" x14ac:dyDescent="0.35">
      <c r="A78" s="259">
        <v>33</v>
      </c>
      <c r="B78" s="259" t="s">
        <v>219</v>
      </c>
      <c r="C78" s="259" t="s">
        <v>115</v>
      </c>
      <c r="D78" s="259" t="s">
        <v>116</v>
      </c>
      <c r="E78" s="259" t="s">
        <v>117</v>
      </c>
      <c r="F78" s="284" t="s">
        <v>79</v>
      </c>
      <c r="G78" s="259" t="s">
        <v>1058</v>
      </c>
      <c r="H78" s="511">
        <v>1</v>
      </c>
      <c r="I78" s="259" t="s">
        <v>1084</v>
      </c>
      <c r="J78" s="508" t="s">
        <v>1085</v>
      </c>
      <c r="K78" s="508" t="s">
        <v>1148</v>
      </c>
      <c r="L78" s="259" t="s">
        <v>955</v>
      </c>
      <c r="M78" s="259" t="s">
        <v>1149</v>
      </c>
      <c r="N78" s="261" t="s">
        <v>1049</v>
      </c>
      <c r="O78" s="259" t="s">
        <v>272</v>
      </c>
      <c r="P78" s="405">
        <v>45200</v>
      </c>
      <c r="Q78" s="405">
        <v>45229</v>
      </c>
      <c r="R78" s="64" t="s">
        <v>86</v>
      </c>
      <c r="S78" s="53">
        <f>+(S79*T78)</f>
        <v>0</v>
      </c>
      <c r="T78" s="71">
        <f t="shared" si="2"/>
        <v>0</v>
      </c>
      <c r="U78" s="45"/>
      <c r="V78" s="45"/>
      <c r="W78" s="45"/>
      <c r="X78" s="45"/>
      <c r="Y78" s="45"/>
      <c r="Z78" s="45"/>
      <c r="AA78" s="45"/>
      <c r="AB78" s="45"/>
      <c r="AC78" s="45"/>
      <c r="AD78" s="45"/>
      <c r="AE78" s="45"/>
      <c r="AF78" s="45"/>
      <c r="AG78" s="45"/>
      <c r="AH78" s="362"/>
      <c r="AI78" s="366"/>
      <c r="AJ78" s="342"/>
      <c r="AK78" s="342"/>
    </row>
    <row r="79" spans="1:37" ht="37.15" customHeight="1" x14ac:dyDescent="0.35">
      <c r="A79" s="260"/>
      <c r="B79" s="260"/>
      <c r="C79" s="260"/>
      <c r="D79" s="260"/>
      <c r="E79" s="260"/>
      <c r="F79" s="284"/>
      <c r="G79" s="260"/>
      <c r="H79" s="512"/>
      <c r="I79" s="260"/>
      <c r="J79" s="509"/>
      <c r="K79" s="509"/>
      <c r="L79" s="260"/>
      <c r="M79" s="260"/>
      <c r="N79" s="266"/>
      <c r="O79" s="260"/>
      <c r="P79" s="409"/>
      <c r="Q79" s="409"/>
      <c r="R79" s="64" t="s">
        <v>89</v>
      </c>
      <c r="S79" s="52">
        <f>100%/49</f>
        <v>2.0408163265306121E-2</v>
      </c>
      <c r="T79" s="71">
        <f t="shared" si="2"/>
        <v>1</v>
      </c>
      <c r="U79" s="42"/>
      <c r="V79" s="42"/>
      <c r="W79" s="42"/>
      <c r="X79" s="42"/>
      <c r="Y79" s="42"/>
      <c r="Z79" s="42"/>
      <c r="AA79" s="42"/>
      <c r="AB79" s="42"/>
      <c r="AC79" s="42"/>
      <c r="AD79" s="42"/>
      <c r="AE79" s="42"/>
      <c r="AF79" s="42"/>
      <c r="AG79" s="42">
        <v>1</v>
      </c>
      <c r="AH79" s="363"/>
      <c r="AI79" s="367"/>
      <c r="AJ79" s="343"/>
      <c r="AK79" s="343"/>
    </row>
    <row r="80" spans="1:37" ht="37.15" customHeight="1" x14ac:dyDescent="0.35">
      <c r="A80" s="259">
        <v>34</v>
      </c>
      <c r="B80" s="259" t="s">
        <v>219</v>
      </c>
      <c r="C80" s="259" t="s">
        <v>115</v>
      </c>
      <c r="D80" s="259" t="s">
        <v>116</v>
      </c>
      <c r="E80" s="259" t="s">
        <v>117</v>
      </c>
      <c r="F80" s="284" t="s">
        <v>79</v>
      </c>
      <c r="G80" s="259" t="s">
        <v>1044</v>
      </c>
      <c r="H80" s="511">
        <v>1</v>
      </c>
      <c r="I80" s="259" t="s">
        <v>1150</v>
      </c>
      <c r="J80" s="508" t="s">
        <v>1075</v>
      </c>
      <c r="K80" s="508" t="s">
        <v>1151</v>
      </c>
      <c r="L80" s="259" t="s">
        <v>955</v>
      </c>
      <c r="M80" s="259" t="s">
        <v>1077</v>
      </c>
      <c r="N80" s="259" t="s">
        <v>84</v>
      </c>
      <c r="O80" s="259" t="s">
        <v>189</v>
      </c>
      <c r="P80" s="405">
        <v>44958</v>
      </c>
      <c r="Q80" s="405">
        <v>45321</v>
      </c>
      <c r="R80" s="64" t="s">
        <v>86</v>
      </c>
      <c r="S80" s="53">
        <f>+(S81*T80)</f>
        <v>1.0204081632653062E-2</v>
      </c>
      <c r="T80" s="71">
        <f t="shared" si="2"/>
        <v>0.50000000000000011</v>
      </c>
      <c r="U80" s="45"/>
      <c r="V80" s="42">
        <v>8.3333333333333343E-2</v>
      </c>
      <c r="W80" s="42">
        <v>8.3333333333333343E-2</v>
      </c>
      <c r="X80" s="42">
        <v>8.3333333333333343E-2</v>
      </c>
      <c r="Y80" s="42">
        <v>8.3333333333333343E-2</v>
      </c>
      <c r="Z80" s="42">
        <v>8.3333333333333343E-2</v>
      </c>
      <c r="AA80" s="42">
        <v>8.3333333333333343E-2</v>
      </c>
      <c r="AB80" s="45"/>
      <c r="AC80" s="45"/>
      <c r="AD80" s="45"/>
      <c r="AE80" s="45"/>
      <c r="AF80" s="45"/>
      <c r="AG80" s="45"/>
      <c r="AH80" s="257" t="s">
        <v>1152</v>
      </c>
      <c r="AI80" s="257" t="s">
        <v>1152</v>
      </c>
      <c r="AJ80" s="342"/>
      <c r="AK80" s="342"/>
    </row>
    <row r="81" spans="1:37" ht="37.15" customHeight="1" x14ac:dyDescent="0.35">
      <c r="A81" s="260"/>
      <c r="B81" s="260"/>
      <c r="C81" s="260"/>
      <c r="D81" s="260"/>
      <c r="E81" s="260"/>
      <c r="F81" s="284"/>
      <c r="G81" s="260"/>
      <c r="H81" s="512"/>
      <c r="I81" s="260"/>
      <c r="J81" s="509"/>
      <c r="K81" s="509"/>
      <c r="L81" s="260"/>
      <c r="M81" s="260"/>
      <c r="N81" s="260"/>
      <c r="O81" s="260"/>
      <c r="P81" s="409"/>
      <c r="Q81" s="409"/>
      <c r="R81" s="64" t="s">
        <v>89</v>
      </c>
      <c r="S81" s="52">
        <f>100%/49</f>
        <v>2.0408163265306121E-2</v>
      </c>
      <c r="T81" s="71">
        <f t="shared" si="2"/>
        <v>1.0000000000000002</v>
      </c>
      <c r="U81" s="42"/>
      <c r="V81" s="42">
        <v>8.3333333333333343E-2</v>
      </c>
      <c r="W81" s="42">
        <v>8.3333333333333343E-2</v>
      </c>
      <c r="X81" s="42">
        <v>8.3333333333333343E-2</v>
      </c>
      <c r="Y81" s="42">
        <v>8.3333333333333343E-2</v>
      </c>
      <c r="Z81" s="42">
        <v>8.3333333333333343E-2</v>
      </c>
      <c r="AA81" s="42">
        <v>8.3333333333333343E-2</v>
      </c>
      <c r="AB81" s="42">
        <v>8.3333333333333343E-2</v>
      </c>
      <c r="AC81" s="42">
        <v>8.3333333333333343E-2</v>
      </c>
      <c r="AD81" s="42">
        <v>8.3333333333333343E-2</v>
      </c>
      <c r="AE81" s="42">
        <v>8.3333333333333343E-2</v>
      </c>
      <c r="AF81" s="42">
        <v>8.3333333333333343E-2</v>
      </c>
      <c r="AG81" s="42">
        <v>8.3333333333333343E-2</v>
      </c>
      <c r="AH81" s="258"/>
      <c r="AI81" s="258"/>
      <c r="AJ81" s="343"/>
      <c r="AK81" s="343"/>
    </row>
    <row r="82" spans="1:37" ht="37.15" customHeight="1" x14ac:dyDescent="0.35">
      <c r="A82" s="259">
        <v>35</v>
      </c>
      <c r="B82" s="259" t="s">
        <v>219</v>
      </c>
      <c r="C82" s="259" t="s">
        <v>115</v>
      </c>
      <c r="D82" s="259" t="s">
        <v>116</v>
      </c>
      <c r="E82" s="259" t="s">
        <v>117</v>
      </c>
      <c r="F82" s="284" t="s">
        <v>79</v>
      </c>
      <c r="G82" s="259" t="s">
        <v>1044</v>
      </c>
      <c r="H82" s="511">
        <v>1</v>
      </c>
      <c r="I82" s="259" t="s">
        <v>1150</v>
      </c>
      <c r="J82" s="508" t="s">
        <v>1153</v>
      </c>
      <c r="K82" s="508" t="s">
        <v>1154</v>
      </c>
      <c r="L82" s="259" t="s">
        <v>955</v>
      </c>
      <c r="M82" s="259" t="s">
        <v>1155</v>
      </c>
      <c r="N82" s="259" t="s">
        <v>1074</v>
      </c>
      <c r="O82" s="259" t="s">
        <v>272</v>
      </c>
      <c r="P82" s="405">
        <v>45200</v>
      </c>
      <c r="Q82" s="405">
        <v>45229</v>
      </c>
      <c r="R82" s="64" t="s">
        <v>86</v>
      </c>
      <c r="S82" s="53">
        <f>+(S83*T82)</f>
        <v>0</v>
      </c>
      <c r="T82" s="71">
        <f t="shared" si="2"/>
        <v>0</v>
      </c>
      <c r="U82" s="45"/>
      <c r="V82" s="45"/>
      <c r="W82" s="45"/>
      <c r="X82" s="45"/>
      <c r="Y82" s="45"/>
      <c r="Z82" s="45"/>
      <c r="AA82" s="45"/>
      <c r="AB82" s="45"/>
      <c r="AC82" s="45"/>
      <c r="AD82" s="45"/>
      <c r="AE82" s="45"/>
      <c r="AF82" s="45"/>
      <c r="AG82" s="45"/>
      <c r="AH82" s="362"/>
      <c r="AI82" s="366"/>
      <c r="AJ82" s="342"/>
      <c r="AK82" s="342"/>
    </row>
    <row r="83" spans="1:37" ht="37.15" customHeight="1" x14ac:dyDescent="0.35">
      <c r="A83" s="260"/>
      <c r="B83" s="260"/>
      <c r="C83" s="260"/>
      <c r="D83" s="260"/>
      <c r="E83" s="260"/>
      <c r="F83" s="284"/>
      <c r="G83" s="260"/>
      <c r="H83" s="512"/>
      <c r="I83" s="260"/>
      <c r="J83" s="509"/>
      <c r="K83" s="509"/>
      <c r="L83" s="260"/>
      <c r="M83" s="260"/>
      <c r="N83" s="260"/>
      <c r="O83" s="260"/>
      <c r="P83" s="409"/>
      <c r="Q83" s="409"/>
      <c r="R83" s="64" t="s">
        <v>89</v>
      </c>
      <c r="S83" s="52">
        <f>100%/49</f>
        <v>2.0408163265306121E-2</v>
      </c>
      <c r="T83" s="71">
        <f t="shared" si="2"/>
        <v>1</v>
      </c>
      <c r="U83" s="42"/>
      <c r="V83" s="42"/>
      <c r="W83" s="42"/>
      <c r="X83" s="42"/>
      <c r="Y83" s="42"/>
      <c r="Z83" s="42"/>
      <c r="AA83" s="42"/>
      <c r="AB83" s="42"/>
      <c r="AC83" s="42"/>
      <c r="AD83" s="42"/>
      <c r="AE83" s="42"/>
      <c r="AF83" s="42"/>
      <c r="AG83" s="42">
        <v>1</v>
      </c>
      <c r="AH83" s="363"/>
      <c r="AI83" s="367"/>
      <c r="AJ83" s="343"/>
      <c r="AK83" s="343"/>
    </row>
    <row r="84" spans="1:37" ht="37.15" customHeight="1" x14ac:dyDescent="0.35">
      <c r="A84" s="259">
        <v>36</v>
      </c>
      <c r="B84" s="259" t="s">
        <v>219</v>
      </c>
      <c r="C84" s="259" t="s">
        <v>115</v>
      </c>
      <c r="D84" s="259" t="s">
        <v>116</v>
      </c>
      <c r="E84" s="259" t="s">
        <v>117</v>
      </c>
      <c r="F84" s="284" t="s">
        <v>79</v>
      </c>
      <c r="G84" s="259" t="s">
        <v>1058</v>
      </c>
      <c r="H84" s="511">
        <v>1</v>
      </c>
      <c r="I84" s="259" t="s">
        <v>1045</v>
      </c>
      <c r="J84" s="515" t="s">
        <v>1156</v>
      </c>
      <c r="K84" s="515" t="s">
        <v>1157</v>
      </c>
      <c r="L84" s="259" t="s">
        <v>955</v>
      </c>
      <c r="M84" s="259" t="s">
        <v>1158</v>
      </c>
      <c r="N84" s="259" t="s">
        <v>84</v>
      </c>
      <c r="O84" s="259" t="s">
        <v>126</v>
      </c>
      <c r="P84" s="405">
        <v>45078</v>
      </c>
      <c r="Q84" s="405">
        <v>45290</v>
      </c>
      <c r="R84" s="64" t="s">
        <v>86</v>
      </c>
      <c r="S84" s="53">
        <f>+(S85*T84)</f>
        <v>1.020408163265306E-2</v>
      </c>
      <c r="T84" s="71">
        <f t="shared" si="2"/>
        <v>0.5</v>
      </c>
      <c r="U84" s="45"/>
      <c r="V84" s="45"/>
      <c r="W84" s="45"/>
      <c r="X84" s="45"/>
      <c r="Y84" s="45"/>
      <c r="Z84" s="45"/>
      <c r="AA84" s="45">
        <v>0.5</v>
      </c>
      <c r="AB84" s="45"/>
      <c r="AC84" s="45"/>
      <c r="AD84" s="45"/>
      <c r="AE84" s="45"/>
      <c r="AF84" s="45"/>
      <c r="AG84" s="45"/>
      <c r="AH84" s="362"/>
      <c r="AI84" s="366" t="s">
        <v>1159</v>
      </c>
      <c r="AJ84" s="342"/>
      <c r="AK84" s="342"/>
    </row>
    <row r="85" spans="1:37" ht="37.15" customHeight="1" x14ac:dyDescent="0.35">
      <c r="A85" s="260"/>
      <c r="B85" s="260"/>
      <c r="C85" s="260"/>
      <c r="D85" s="260"/>
      <c r="E85" s="260"/>
      <c r="F85" s="284"/>
      <c r="G85" s="260"/>
      <c r="H85" s="512"/>
      <c r="I85" s="260"/>
      <c r="J85" s="516"/>
      <c r="K85" s="516"/>
      <c r="L85" s="260"/>
      <c r="M85" s="260"/>
      <c r="N85" s="260"/>
      <c r="O85" s="260"/>
      <c r="P85" s="409"/>
      <c r="Q85" s="409"/>
      <c r="R85" s="64" t="s">
        <v>89</v>
      </c>
      <c r="S85" s="52">
        <f>100%/49</f>
        <v>2.0408163265306121E-2</v>
      </c>
      <c r="T85" s="71">
        <f t="shared" si="2"/>
        <v>1</v>
      </c>
      <c r="U85" s="42"/>
      <c r="V85" s="42"/>
      <c r="W85" s="42"/>
      <c r="X85" s="42"/>
      <c r="Y85" s="42"/>
      <c r="Z85" s="42"/>
      <c r="AA85" s="42">
        <v>0.5</v>
      </c>
      <c r="AB85" s="42"/>
      <c r="AC85" s="42"/>
      <c r="AD85" s="42"/>
      <c r="AE85" s="42"/>
      <c r="AF85" s="42"/>
      <c r="AG85" s="42">
        <v>0.5</v>
      </c>
      <c r="AH85" s="363"/>
      <c r="AI85" s="367"/>
      <c r="AJ85" s="343"/>
      <c r="AK85" s="343"/>
    </row>
    <row r="86" spans="1:37" ht="37.15" customHeight="1" x14ac:dyDescent="0.35">
      <c r="A86" s="259">
        <v>37</v>
      </c>
      <c r="B86" s="259" t="s">
        <v>219</v>
      </c>
      <c r="C86" s="259" t="s">
        <v>115</v>
      </c>
      <c r="D86" s="259" t="s">
        <v>116</v>
      </c>
      <c r="E86" s="259" t="s">
        <v>117</v>
      </c>
      <c r="F86" s="284" t="s">
        <v>79</v>
      </c>
      <c r="G86" s="259" t="s">
        <v>1044</v>
      </c>
      <c r="H86" s="511">
        <v>1</v>
      </c>
      <c r="I86" s="259" t="s">
        <v>1045</v>
      </c>
      <c r="J86" s="515" t="s">
        <v>1160</v>
      </c>
      <c r="K86" s="515" t="s">
        <v>1161</v>
      </c>
      <c r="L86" s="259" t="s">
        <v>955</v>
      </c>
      <c r="M86" s="259" t="s">
        <v>1162</v>
      </c>
      <c r="N86" s="259" t="s">
        <v>84</v>
      </c>
      <c r="O86" s="259" t="s">
        <v>126</v>
      </c>
      <c r="P86" s="405">
        <v>45078</v>
      </c>
      <c r="Q86" s="405">
        <v>45290</v>
      </c>
      <c r="R86" s="64" t="s">
        <v>86</v>
      </c>
      <c r="S86" s="53">
        <f>+(S87*T86)</f>
        <v>1.020408163265306E-2</v>
      </c>
      <c r="T86" s="71">
        <f t="shared" si="2"/>
        <v>0.5</v>
      </c>
      <c r="U86" s="45"/>
      <c r="V86" s="45"/>
      <c r="W86" s="45"/>
      <c r="X86" s="45"/>
      <c r="Y86" s="45"/>
      <c r="Z86" s="45"/>
      <c r="AA86" s="45">
        <v>0.5</v>
      </c>
      <c r="AB86" s="45"/>
      <c r="AC86" s="45"/>
      <c r="AD86" s="45"/>
      <c r="AE86" s="45"/>
      <c r="AF86" s="45"/>
      <c r="AG86" s="45"/>
      <c r="AH86" s="362"/>
      <c r="AI86" s="366" t="s">
        <v>1163</v>
      </c>
      <c r="AJ86" s="342"/>
      <c r="AK86" s="342"/>
    </row>
    <row r="87" spans="1:37" ht="37.15" customHeight="1" x14ac:dyDescent="0.35">
      <c r="A87" s="260"/>
      <c r="B87" s="260"/>
      <c r="C87" s="260"/>
      <c r="D87" s="260"/>
      <c r="E87" s="260"/>
      <c r="F87" s="284"/>
      <c r="G87" s="260"/>
      <c r="H87" s="512"/>
      <c r="I87" s="260"/>
      <c r="J87" s="516"/>
      <c r="K87" s="516"/>
      <c r="L87" s="260"/>
      <c r="M87" s="260"/>
      <c r="N87" s="260"/>
      <c r="O87" s="260"/>
      <c r="P87" s="409"/>
      <c r="Q87" s="409"/>
      <c r="R87" s="64" t="s">
        <v>89</v>
      </c>
      <c r="S87" s="52">
        <f>100%/49</f>
        <v>2.0408163265306121E-2</v>
      </c>
      <c r="T87" s="71">
        <f t="shared" si="2"/>
        <v>1</v>
      </c>
      <c r="U87" s="42"/>
      <c r="V87" s="42"/>
      <c r="W87" s="42"/>
      <c r="X87" s="42"/>
      <c r="Y87" s="42"/>
      <c r="Z87" s="42"/>
      <c r="AA87" s="42">
        <v>0.5</v>
      </c>
      <c r="AB87" s="42"/>
      <c r="AC87" s="42"/>
      <c r="AD87" s="42"/>
      <c r="AE87" s="42"/>
      <c r="AF87" s="42"/>
      <c r="AG87" s="42">
        <v>0.5</v>
      </c>
      <c r="AH87" s="363"/>
      <c r="AI87" s="367"/>
      <c r="AJ87" s="343"/>
      <c r="AK87" s="343"/>
    </row>
    <row r="88" spans="1:37" ht="37.15" customHeight="1" x14ac:dyDescent="0.35">
      <c r="A88" s="259">
        <v>38</v>
      </c>
      <c r="B88" s="259" t="s">
        <v>219</v>
      </c>
      <c r="C88" s="259" t="s">
        <v>115</v>
      </c>
      <c r="D88" s="259" t="s">
        <v>116</v>
      </c>
      <c r="E88" s="259" t="s">
        <v>117</v>
      </c>
      <c r="F88" s="284" t="s">
        <v>79</v>
      </c>
      <c r="G88" s="259" t="s">
        <v>1058</v>
      </c>
      <c r="H88" s="511">
        <v>1</v>
      </c>
      <c r="I88" s="259" t="s">
        <v>1045</v>
      </c>
      <c r="J88" s="515" t="s">
        <v>1164</v>
      </c>
      <c r="K88" s="515" t="s">
        <v>1165</v>
      </c>
      <c r="L88" s="259" t="s">
        <v>955</v>
      </c>
      <c r="M88" s="259" t="s">
        <v>1166</v>
      </c>
      <c r="N88" s="259" t="s">
        <v>84</v>
      </c>
      <c r="O88" s="259" t="s">
        <v>126</v>
      </c>
      <c r="P88" s="405">
        <v>45078</v>
      </c>
      <c r="Q88" s="405">
        <v>45290</v>
      </c>
      <c r="R88" s="64" t="s">
        <v>86</v>
      </c>
      <c r="S88" s="53">
        <f>+(S89*T88)</f>
        <v>1.020408163265306E-2</v>
      </c>
      <c r="T88" s="71">
        <f t="shared" si="2"/>
        <v>0.5</v>
      </c>
      <c r="U88" s="45"/>
      <c r="V88" s="45"/>
      <c r="W88" s="45"/>
      <c r="X88" s="45"/>
      <c r="Y88" s="45"/>
      <c r="Z88" s="45"/>
      <c r="AA88" s="45">
        <v>0.5</v>
      </c>
      <c r="AB88" s="45"/>
      <c r="AC88" s="45"/>
      <c r="AD88" s="45"/>
      <c r="AE88" s="45"/>
      <c r="AF88" s="45"/>
      <c r="AG88" s="45"/>
      <c r="AH88" s="257"/>
      <c r="AI88" s="257" t="s">
        <v>1167</v>
      </c>
      <c r="AJ88" s="342"/>
      <c r="AK88" s="342"/>
    </row>
    <row r="89" spans="1:37" ht="37.15" customHeight="1" x14ac:dyDescent="0.35">
      <c r="A89" s="260"/>
      <c r="B89" s="260"/>
      <c r="C89" s="260"/>
      <c r="D89" s="260"/>
      <c r="E89" s="260"/>
      <c r="F89" s="284"/>
      <c r="G89" s="260"/>
      <c r="H89" s="512"/>
      <c r="I89" s="260"/>
      <c r="J89" s="516"/>
      <c r="K89" s="516"/>
      <c r="L89" s="260"/>
      <c r="M89" s="260"/>
      <c r="N89" s="260"/>
      <c r="O89" s="260"/>
      <c r="P89" s="409"/>
      <c r="Q89" s="409"/>
      <c r="R89" s="64" t="s">
        <v>89</v>
      </c>
      <c r="S89" s="52">
        <f>100%/49</f>
        <v>2.0408163265306121E-2</v>
      </c>
      <c r="T89" s="71">
        <f t="shared" si="2"/>
        <v>0.5</v>
      </c>
      <c r="U89" s="42"/>
      <c r="V89" s="42"/>
      <c r="W89" s="42"/>
      <c r="X89" s="42"/>
      <c r="Y89" s="42"/>
      <c r="Z89" s="42"/>
      <c r="AA89" s="42">
        <v>0.5</v>
      </c>
      <c r="AB89" s="42"/>
      <c r="AC89" s="42"/>
      <c r="AD89" s="42"/>
      <c r="AE89" s="42"/>
      <c r="AF89" s="42"/>
      <c r="AG89" s="42"/>
      <c r="AH89" s="363"/>
      <c r="AI89" s="363"/>
      <c r="AJ89" s="343"/>
      <c r="AK89" s="343"/>
    </row>
    <row r="90" spans="1:37" ht="37.15" customHeight="1" x14ac:dyDescent="0.35">
      <c r="A90" s="259">
        <v>39</v>
      </c>
      <c r="B90" s="259" t="s">
        <v>219</v>
      </c>
      <c r="C90" s="259" t="s">
        <v>115</v>
      </c>
      <c r="D90" s="259" t="s">
        <v>116</v>
      </c>
      <c r="E90" s="259" t="s">
        <v>117</v>
      </c>
      <c r="F90" s="284" t="s">
        <v>79</v>
      </c>
      <c r="G90" s="259" t="s">
        <v>1120</v>
      </c>
      <c r="H90" s="511">
        <v>1</v>
      </c>
      <c r="I90" s="259" t="s">
        <v>1045</v>
      </c>
      <c r="J90" s="515" t="s">
        <v>1168</v>
      </c>
      <c r="K90" s="515" t="s">
        <v>1169</v>
      </c>
      <c r="L90" s="259" t="s">
        <v>955</v>
      </c>
      <c r="M90" s="259" t="s">
        <v>1094</v>
      </c>
      <c r="N90" s="259" t="s">
        <v>84</v>
      </c>
      <c r="O90" s="259" t="s">
        <v>85</v>
      </c>
      <c r="P90" s="405">
        <v>44958</v>
      </c>
      <c r="Q90" s="405">
        <v>45290</v>
      </c>
      <c r="R90" s="64" t="s">
        <v>86</v>
      </c>
      <c r="S90" s="53">
        <f>+(S91*T90)</f>
        <v>1.020408163265306E-2</v>
      </c>
      <c r="T90" s="71">
        <f t="shared" si="2"/>
        <v>0.5</v>
      </c>
      <c r="U90" s="45"/>
      <c r="V90" s="45"/>
      <c r="W90" s="45"/>
      <c r="X90" s="45">
        <v>0.25</v>
      </c>
      <c r="Y90" s="45"/>
      <c r="Z90" s="45"/>
      <c r="AA90" s="45">
        <v>0.25</v>
      </c>
      <c r="AB90" s="45"/>
      <c r="AC90" s="45"/>
      <c r="AD90" s="45"/>
      <c r="AE90" s="45"/>
      <c r="AF90" s="45"/>
      <c r="AG90" s="45"/>
      <c r="AH90" s="257" t="s">
        <v>1170</v>
      </c>
      <c r="AI90" s="257" t="s">
        <v>1170</v>
      </c>
      <c r="AJ90" s="342"/>
      <c r="AK90" s="342"/>
    </row>
    <row r="91" spans="1:37" ht="37.15" customHeight="1" x14ac:dyDescent="0.35">
      <c r="A91" s="260"/>
      <c r="B91" s="260"/>
      <c r="C91" s="260"/>
      <c r="D91" s="260"/>
      <c r="E91" s="260"/>
      <c r="F91" s="284"/>
      <c r="G91" s="260"/>
      <c r="H91" s="512"/>
      <c r="I91" s="260"/>
      <c r="J91" s="516"/>
      <c r="K91" s="516"/>
      <c r="L91" s="260"/>
      <c r="M91" s="260"/>
      <c r="N91" s="260"/>
      <c r="O91" s="260"/>
      <c r="P91" s="409"/>
      <c r="Q91" s="409"/>
      <c r="R91" s="64" t="s">
        <v>89</v>
      </c>
      <c r="S91" s="52">
        <f>100%/49</f>
        <v>2.0408163265306121E-2</v>
      </c>
      <c r="T91" s="71">
        <f t="shared" si="2"/>
        <v>1</v>
      </c>
      <c r="U91" s="42"/>
      <c r="V91" s="42"/>
      <c r="W91" s="42"/>
      <c r="X91" s="42">
        <v>0.25</v>
      </c>
      <c r="Y91" s="42"/>
      <c r="Z91" s="42"/>
      <c r="AA91" s="42">
        <v>0.25</v>
      </c>
      <c r="AB91" s="42"/>
      <c r="AC91" s="42"/>
      <c r="AD91" s="42">
        <v>0.25</v>
      </c>
      <c r="AE91" s="42"/>
      <c r="AF91" s="42"/>
      <c r="AG91" s="42">
        <v>0.25</v>
      </c>
      <c r="AH91" s="363"/>
      <c r="AI91" s="363"/>
      <c r="AJ91" s="343"/>
      <c r="AK91" s="343"/>
    </row>
    <row r="92" spans="1:37" ht="37.15" customHeight="1" x14ac:dyDescent="0.35">
      <c r="A92" s="259">
        <v>40</v>
      </c>
      <c r="B92" s="259" t="s">
        <v>219</v>
      </c>
      <c r="C92" s="259" t="s">
        <v>115</v>
      </c>
      <c r="D92" s="259" t="s">
        <v>116</v>
      </c>
      <c r="E92" s="259" t="s">
        <v>117</v>
      </c>
      <c r="F92" s="284" t="s">
        <v>79</v>
      </c>
      <c r="G92" s="259" t="s">
        <v>1058</v>
      </c>
      <c r="H92" s="511">
        <v>1</v>
      </c>
      <c r="I92" s="259" t="s">
        <v>1050</v>
      </c>
      <c r="J92" s="515" t="s">
        <v>1171</v>
      </c>
      <c r="K92" s="515" t="s">
        <v>1172</v>
      </c>
      <c r="L92" s="259" t="s">
        <v>955</v>
      </c>
      <c r="M92" s="259" t="s">
        <v>1173</v>
      </c>
      <c r="N92" s="259" t="s">
        <v>84</v>
      </c>
      <c r="O92" s="259" t="s">
        <v>272</v>
      </c>
      <c r="P92" s="405">
        <v>45170</v>
      </c>
      <c r="Q92" s="405">
        <v>45199</v>
      </c>
      <c r="R92" s="64" t="s">
        <v>86</v>
      </c>
      <c r="S92" s="53">
        <f>+(S93*T92)</f>
        <v>0</v>
      </c>
      <c r="T92" s="71">
        <f t="shared" si="2"/>
        <v>0</v>
      </c>
      <c r="U92" s="45"/>
      <c r="V92" s="45"/>
      <c r="W92" s="45"/>
      <c r="X92" s="45"/>
      <c r="Y92" s="45"/>
      <c r="Z92" s="45"/>
      <c r="AA92" s="45"/>
      <c r="AB92" s="45"/>
      <c r="AC92" s="45"/>
      <c r="AD92" s="45"/>
      <c r="AE92" s="45"/>
      <c r="AF92" s="45"/>
      <c r="AG92" s="45"/>
      <c r="AH92" s="362"/>
      <c r="AI92" s="366"/>
      <c r="AJ92" s="342"/>
      <c r="AK92" s="342"/>
    </row>
    <row r="93" spans="1:37" ht="37.15" customHeight="1" x14ac:dyDescent="0.35">
      <c r="A93" s="260"/>
      <c r="B93" s="260"/>
      <c r="C93" s="260"/>
      <c r="D93" s="260"/>
      <c r="E93" s="260"/>
      <c r="F93" s="284"/>
      <c r="G93" s="260"/>
      <c r="H93" s="512"/>
      <c r="I93" s="260"/>
      <c r="J93" s="516"/>
      <c r="K93" s="516"/>
      <c r="L93" s="260"/>
      <c r="M93" s="260"/>
      <c r="N93" s="260"/>
      <c r="O93" s="260"/>
      <c r="P93" s="409"/>
      <c r="Q93" s="409"/>
      <c r="R93" s="64" t="s">
        <v>89</v>
      </c>
      <c r="S93" s="52">
        <f>100%/49</f>
        <v>2.0408163265306121E-2</v>
      </c>
      <c r="T93" s="71">
        <f t="shared" si="2"/>
        <v>1</v>
      </c>
      <c r="U93" s="42"/>
      <c r="V93" s="42"/>
      <c r="W93" s="42"/>
      <c r="X93" s="42"/>
      <c r="Y93" s="42"/>
      <c r="Z93" s="42"/>
      <c r="AA93" s="42"/>
      <c r="AB93" s="42"/>
      <c r="AC93" s="42"/>
      <c r="AD93" s="42"/>
      <c r="AE93" s="42"/>
      <c r="AF93" s="42"/>
      <c r="AG93" s="42">
        <v>1</v>
      </c>
      <c r="AH93" s="363"/>
      <c r="AI93" s="367"/>
      <c r="AJ93" s="343"/>
      <c r="AK93" s="343"/>
    </row>
    <row r="94" spans="1:37" ht="37.15" customHeight="1" x14ac:dyDescent="0.35">
      <c r="A94" s="259">
        <v>41</v>
      </c>
      <c r="B94" s="259" t="s">
        <v>219</v>
      </c>
      <c r="C94" s="259" t="s">
        <v>115</v>
      </c>
      <c r="D94" s="259" t="s">
        <v>116</v>
      </c>
      <c r="E94" s="259" t="s">
        <v>117</v>
      </c>
      <c r="F94" s="284" t="s">
        <v>79</v>
      </c>
      <c r="G94" s="259" t="s">
        <v>1058</v>
      </c>
      <c r="H94" s="511">
        <v>1</v>
      </c>
      <c r="I94" s="259" t="s">
        <v>1050</v>
      </c>
      <c r="J94" s="515" t="s">
        <v>1059</v>
      </c>
      <c r="K94" s="515" t="s">
        <v>1174</v>
      </c>
      <c r="L94" s="259" t="s">
        <v>955</v>
      </c>
      <c r="M94" s="259" t="s">
        <v>1175</v>
      </c>
      <c r="N94" s="259" t="s">
        <v>84</v>
      </c>
      <c r="O94" s="259" t="s">
        <v>126</v>
      </c>
      <c r="P94" s="405">
        <v>45017</v>
      </c>
      <c r="Q94" s="405">
        <v>45229</v>
      </c>
      <c r="R94" s="64" t="s">
        <v>86</v>
      </c>
      <c r="S94" s="53">
        <f>+(S95*T94)</f>
        <v>1.020408163265306E-2</v>
      </c>
      <c r="T94" s="71">
        <f t="shared" si="2"/>
        <v>0.5</v>
      </c>
      <c r="U94" s="45"/>
      <c r="V94" s="45"/>
      <c r="W94" s="45"/>
      <c r="X94" s="45"/>
      <c r="Y94" s="45"/>
      <c r="Z94" s="45"/>
      <c r="AA94" s="45">
        <v>0.5</v>
      </c>
      <c r="AB94" s="45"/>
      <c r="AC94" s="45"/>
      <c r="AD94" s="45"/>
      <c r="AE94" s="45"/>
      <c r="AF94" s="45"/>
      <c r="AG94" s="45"/>
      <c r="AH94" s="362"/>
      <c r="AI94" s="366" t="s">
        <v>1176</v>
      </c>
      <c r="AJ94" s="342"/>
      <c r="AK94" s="342"/>
    </row>
    <row r="95" spans="1:37" ht="37.15" customHeight="1" x14ac:dyDescent="0.35">
      <c r="A95" s="260"/>
      <c r="B95" s="260"/>
      <c r="C95" s="260"/>
      <c r="D95" s="260"/>
      <c r="E95" s="260"/>
      <c r="F95" s="284"/>
      <c r="G95" s="260"/>
      <c r="H95" s="512"/>
      <c r="I95" s="260"/>
      <c r="J95" s="516"/>
      <c r="K95" s="516"/>
      <c r="L95" s="260"/>
      <c r="M95" s="260"/>
      <c r="N95" s="260"/>
      <c r="O95" s="260"/>
      <c r="P95" s="409"/>
      <c r="Q95" s="409"/>
      <c r="R95" s="64" t="s">
        <v>89</v>
      </c>
      <c r="S95" s="52">
        <f>100%/49</f>
        <v>2.0408163265306121E-2</v>
      </c>
      <c r="T95" s="71">
        <f t="shared" si="2"/>
        <v>1</v>
      </c>
      <c r="U95" s="42"/>
      <c r="V95" s="42"/>
      <c r="W95" s="42"/>
      <c r="X95" s="42"/>
      <c r="Y95" s="42"/>
      <c r="Z95" s="42"/>
      <c r="AA95" s="42">
        <v>0.5</v>
      </c>
      <c r="AB95" s="42"/>
      <c r="AC95" s="42"/>
      <c r="AD95" s="42"/>
      <c r="AE95" s="42"/>
      <c r="AF95" s="42"/>
      <c r="AG95" s="42">
        <v>0.5</v>
      </c>
      <c r="AH95" s="363"/>
      <c r="AI95" s="367"/>
      <c r="AJ95" s="343"/>
      <c r="AK95" s="343"/>
    </row>
    <row r="96" spans="1:37" ht="37.15" customHeight="1" x14ac:dyDescent="0.35">
      <c r="A96" s="259">
        <v>42</v>
      </c>
      <c r="B96" s="259" t="s">
        <v>219</v>
      </c>
      <c r="C96" s="259" t="s">
        <v>115</v>
      </c>
      <c r="D96" s="259" t="s">
        <v>116</v>
      </c>
      <c r="E96" s="259" t="s">
        <v>117</v>
      </c>
      <c r="F96" s="284" t="s">
        <v>79</v>
      </c>
      <c r="G96" s="259" t="s">
        <v>1079</v>
      </c>
      <c r="H96" s="511">
        <v>1</v>
      </c>
      <c r="I96" s="259" t="s">
        <v>1050</v>
      </c>
      <c r="J96" s="508" t="s">
        <v>1177</v>
      </c>
      <c r="K96" s="515" t="s">
        <v>1178</v>
      </c>
      <c r="L96" s="259" t="s">
        <v>955</v>
      </c>
      <c r="M96" s="259" t="s">
        <v>1179</v>
      </c>
      <c r="N96" s="259" t="s">
        <v>84</v>
      </c>
      <c r="O96" s="259" t="s">
        <v>126</v>
      </c>
      <c r="P96" s="405">
        <v>45017</v>
      </c>
      <c r="Q96" s="405">
        <v>45229</v>
      </c>
      <c r="R96" s="64" t="s">
        <v>86</v>
      </c>
      <c r="S96" s="53">
        <f>+(S97*T96)</f>
        <v>1.020408163265306E-2</v>
      </c>
      <c r="T96" s="71">
        <f t="shared" si="2"/>
        <v>0.5</v>
      </c>
      <c r="U96" s="45"/>
      <c r="V96" s="45"/>
      <c r="W96" s="45"/>
      <c r="X96" s="45"/>
      <c r="Y96" s="45"/>
      <c r="Z96" s="45"/>
      <c r="AA96" s="45">
        <v>0.5</v>
      </c>
      <c r="AB96" s="45"/>
      <c r="AC96" s="45"/>
      <c r="AD96" s="45"/>
      <c r="AE96" s="45"/>
      <c r="AF96" s="45"/>
      <c r="AG96" s="45"/>
      <c r="AH96" s="362"/>
      <c r="AI96" s="366" t="s">
        <v>1180</v>
      </c>
      <c r="AJ96" s="342"/>
      <c r="AK96" s="342"/>
    </row>
    <row r="97" spans="1:37" ht="37.15" customHeight="1" x14ac:dyDescent="0.35">
      <c r="A97" s="260"/>
      <c r="B97" s="260"/>
      <c r="C97" s="260"/>
      <c r="D97" s="260"/>
      <c r="E97" s="260"/>
      <c r="F97" s="284"/>
      <c r="G97" s="260"/>
      <c r="H97" s="512"/>
      <c r="I97" s="260"/>
      <c r="J97" s="509"/>
      <c r="K97" s="516"/>
      <c r="L97" s="260"/>
      <c r="M97" s="260"/>
      <c r="N97" s="260"/>
      <c r="O97" s="260"/>
      <c r="P97" s="409"/>
      <c r="Q97" s="409"/>
      <c r="R97" s="64" t="s">
        <v>89</v>
      </c>
      <c r="S97" s="52">
        <f>100%/49</f>
        <v>2.0408163265306121E-2</v>
      </c>
      <c r="T97" s="71">
        <f t="shared" si="2"/>
        <v>1</v>
      </c>
      <c r="U97" s="42"/>
      <c r="V97" s="42"/>
      <c r="W97" s="42"/>
      <c r="X97" s="42"/>
      <c r="Y97" s="42"/>
      <c r="Z97" s="42"/>
      <c r="AA97" s="42">
        <v>0.5</v>
      </c>
      <c r="AB97" s="42"/>
      <c r="AC97" s="42"/>
      <c r="AD97" s="42"/>
      <c r="AE97" s="42"/>
      <c r="AF97" s="42"/>
      <c r="AG97" s="42">
        <v>0.5</v>
      </c>
      <c r="AH97" s="363"/>
      <c r="AI97" s="367"/>
      <c r="AJ97" s="343"/>
      <c r="AK97" s="343"/>
    </row>
    <row r="98" spans="1:37" ht="37.15" customHeight="1" x14ac:dyDescent="0.35">
      <c r="A98" s="259">
        <v>43</v>
      </c>
      <c r="B98" s="259" t="s">
        <v>219</v>
      </c>
      <c r="C98" s="259" t="s">
        <v>115</v>
      </c>
      <c r="D98" s="259" t="s">
        <v>116</v>
      </c>
      <c r="E98" s="259" t="s">
        <v>117</v>
      </c>
      <c r="F98" s="284" t="s">
        <v>79</v>
      </c>
      <c r="G98" s="259" t="s">
        <v>1058</v>
      </c>
      <c r="H98" s="511">
        <v>1</v>
      </c>
      <c r="I98" s="259" t="s">
        <v>1062</v>
      </c>
      <c r="J98" s="515" t="s">
        <v>1128</v>
      </c>
      <c r="K98" s="508" t="s">
        <v>1181</v>
      </c>
      <c r="L98" s="259" t="s">
        <v>955</v>
      </c>
      <c r="M98" s="259" t="s">
        <v>1182</v>
      </c>
      <c r="N98" s="259" t="s">
        <v>1074</v>
      </c>
      <c r="O98" s="259" t="s">
        <v>189</v>
      </c>
      <c r="P98" s="405">
        <v>44958</v>
      </c>
      <c r="Q98" s="405">
        <v>45290</v>
      </c>
      <c r="R98" s="64" t="s">
        <v>86</v>
      </c>
      <c r="S98" s="53">
        <f>+(S99*T98)</f>
        <v>1.0204081632653062E-2</v>
      </c>
      <c r="T98" s="71">
        <f t="shared" si="2"/>
        <v>0.50000000000000011</v>
      </c>
      <c r="U98" s="45"/>
      <c r="V98" s="42">
        <v>8.3333333333333343E-2</v>
      </c>
      <c r="W98" s="42">
        <v>8.3333333333333343E-2</v>
      </c>
      <c r="X98" s="42">
        <v>8.3333333333333343E-2</v>
      </c>
      <c r="Y98" s="42">
        <v>8.3333333333333343E-2</v>
      </c>
      <c r="Z98" s="42">
        <v>8.3333333333333343E-2</v>
      </c>
      <c r="AA98" s="42">
        <v>8.3333333333333343E-2</v>
      </c>
      <c r="AB98" s="45"/>
      <c r="AC98" s="45"/>
      <c r="AD98" s="45"/>
      <c r="AE98" s="45"/>
      <c r="AF98" s="45"/>
      <c r="AG98" s="45"/>
      <c r="AH98" s="257" t="s">
        <v>1183</v>
      </c>
      <c r="AI98" s="257" t="s">
        <v>1184</v>
      </c>
      <c r="AJ98" s="342"/>
      <c r="AK98" s="342"/>
    </row>
    <row r="99" spans="1:37" ht="37.15" customHeight="1" x14ac:dyDescent="0.35">
      <c r="A99" s="260"/>
      <c r="B99" s="260"/>
      <c r="C99" s="260"/>
      <c r="D99" s="260"/>
      <c r="E99" s="260"/>
      <c r="F99" s="284"/>
      <c r="G99" s="260"/>
      <c r="H99" s="512"/>
      <c r="I99" s="260"/>
      <c r="J99" s="516"/>
      <c r="K99" s="509"/>
      <c r="L99" s="260"/>
      <c r="M99" s="260"/>
      <c r="N99" s="260"/>
      <c r="O99" s="260"/>
      <c r="P99" s="409"/>
      <c r="Q99" s="409"/>
      <c r="R99" s="64" t="s">
        <v>89</v>
      </c>
      <c r="S99" s="52">
        <f>100%/49</f>
        <v>2.0408163265306121E-2</v>
      </c>
      <c r="T99" s="71">
        <f t="shared" si="2"/>
        <v>1.0000000000000002</v>
      </c>
      <c r="U99" s="42"/>
      <c r="V99" s="42">
        <v>8.3333333333333343E-2</v>
      </c>
      <c r="W99" s="42">
        <v>8.3333333333333343E-2</v>
      </c>
      <c r="X99" s="42">
        <v>8.3333333333333343E-2</v>
      </c>
      <c r="Y99" s="42">
        <v>8.3333333333333343E-2</v>
      </c>
      <c r="Z99" s="42">
        <v>8.3333333333333343E-2</v>
      </c>
      <c r="AA99" s="42">
        <v>8.3333333333333343E-2</v>
      </c>
      <c r="AB99" s="42">
        <v>8.3333333333333343E-2</v>
      </c>
      <c r="AC99" s="42">
        <v>8.3333333333333343E-2</v>
      </c>
      <c r="AD99" s="42">
        <v>8.3333333333333343E-2</v>
      </c>
      <c r="AE99" s="42">
        <v>8.3333333333333343E-2</v>
      </c>
      <c r="AF99" s="42">
        <v>8.3333333333333343E-2</v>
      </c>
      <c r="AG99" s="42">
        <v>8.3333333333333343E-2</v>
      </c>
      <c r="AH99" s="258"/>
      <c r="AI99" s="258"/>
      <c r="AJ99" s="343"/>
      <c r="AK99" s="343"/>
    </row>
    <row r="100" spans="1:37" ht="37.15" customHeight="1" x14ac:dyDescent="0.35">
      <c r="A100" s="259">
        <v>44</v>
      </c>
      <c r="B100" s="259" t="s">
        <v>219</v>
      </c>
      <c r="C100" s="259" t="s">
        <v>115</v>
      </c>
      <c r="D100" s="259" t="s">
        <v>116</v>
      </c>
      <c r="E100" s="259" t="s">
        <v>117</v>
      </c>
      <c r="F100" s="284" t="s">
        <v>79</v>
      </c>
      <c r="G100" s="259" t="s">
        <v>1120</v>
      </c>
      <c r="H100" s="511">
        <v>1</v>
      </c>
      <c r="I100" s="259" t="s">
        <v>1062</v>
      </c>
      <c r="J100" s="515" t="s">
        <v>1185</v>
      </c>
      <c r="K100" s="515" t="s">
        <v>1186</v>
      </c>
      <c r="L100" s="259" t="s">
        <v>955</v>
      </c>
      <c r="M100" s="259" t="s">
        <v>1187</v>
      </c>
      <c r="N100" s="259" t="s">
        <v>84</v>
      </c>
      <c r="O100" s="259" t="s">
        <v>126</v>
      </c>
      <c r="P100" s="405">
        <v>45078</v>
      </c>
      <c r="Q100" s="405">
        <v>45290</v>
      </c>
      <c r="R100" s="64" t="s">
        <v>86</v>
      </c>
      <c r="S100" s="53">
        <f>+(S101*T100)</f>
        <v>1.020408163265306E-2</v>
      </c>
      <c r="T100" s="71">
        <f t="shared" si="2"/>
        <v>0.5</v>
      </c>
      <c r="U100" s="45"/>
      <c r="V100" s="45"/>
      <c r="W100" s="45"/>
      <c r="X100" s="45"/>
      <c r="Y100" s="45"/>
      <c r="Z100" s="45"/>
      <c r="AA100" s="45">
        <v>0.5</v>
      </c>
      <c r="AB100" s="45"/>
      <c r="AC100" s="45"/>
      <c r="AD100" s="45"/>
      <c r="AE100" s="45"/>
      <c r="AF100" s="45"/>
      <c r="AG100" s="45"/>
      <c r="AH100" s="362"/>
      <c r="AI100" s="366" t="s">
        <v>1188</v>
      </c>
      <c r="AJ100" s="342"/>
      <c r="AK100" s="342"/>
    </row>
    <row r="101" spans="1:37" ht="37.15" customHeight="1" x14ac:dyDescent="0.35">
      <c r="A101" s="260"/>
      <c r="B101" s="260"/>
      <c r="C101" s="260"/>
      <c r="D101" s="260"/>
      <c r="E101" s="260"/>
      <c r="F101" s="284"/>
      <c r="G101" s="260"/>
      <c r="H101" s="512"/>
      <c r="I101" s="260"/>
      <c r="J101" s="516"/>
      <c r="K101" s="516"/>
      <c r="L101" s="260"/>
      <c r="M101" s="260"/>
      <c r="N101" s="260"/>
      <c r="O101" s="260"/>
      <c r="P101" s="409"/>
      <c r="Q101" s="409"/>
      <c r="R101" s="64" t="s">
        <v>89</v>
      </c>
      <c r="S101" s="52">
        <f>100%/49</f>
        <v>2.0408163265306121E-2</v>
      </c>
      <c r="T101" s="71">
        <f t="shared" si="2"/>
        <v>1</v>
      </c>
      <c r="U101" s="42"/>
      <c r="V101" s="42"/>
      <c r="W101" s="42"/>
      <c r="X101" s="42"/>
      <c r="Y101" s="42"/>
      <c r="Z101" s="42"/>
      <c r="AA101" s="42">
        <v>0.5</v>
      </c>
      <c r="AB101" s="42"/>
      <c r="AC101" s="42"/>
      <c r="AD101" s="42"/>
      <c r="AE101" s="42"/>
      <c r="AF101" s="42"/>
      <c r="AG101" s="42">
        <v>0.5</v>
      </c>
      <c r="AH101" s="363"/>
      <c r="AI101" s="367"/>
      <c r="AJ101" s="343"/>
      <c r="AK101" s="343"/>
    </row>
    <row r="102" spans="1:37" ht="37.15" customHeight="1" x14ac:dyDescent="0.35">
      <c r="A102" s="259">
        <v>45</v>
      </c>
      <c r="B102" s="259" t="s">
        <v>219</v>
      </c>
      <c r="C102" s="259" t="s">
        <v>115</v>
      </c>
      <c r="D102" s="259" t="s">
        <v>116</v>
      </c>
      <c r="E102" s="259" t="s">
        <v>117</v>
      </c>
      <c r="F102" s="284" t="s">
        <v>79</v>
      </c>
      <c r="G102" s="259" t="s">
        <v>1079</v>
      </c>
      <c r="H102" s="511">
        <v>1</v>
      </c>
      <c r="I102" s="259" t="s">
        <v>1080</v>
      </c>
      <c r="J102" s="515" t="s">
        <v>1081</v>
      </c>
      <c r="K102" s="515" t="s">
        <v>1189</v>
      </c>
      <c r="L102" s="259" t="s">
        <v>955</v>
      </c>
      <c r="M102" s="259" t="s">
        <v>1187</v>
      </c>
      <c r="N102" s="261" t="s">
        <v>1049</v>
      </c>
      <c r="O102" s="259" t="s">
        <v>272</v>
      </c>
      <c r="P102" s="405">
        <v>45139</v>
      </c>
      <c r="Q102" s="405">
        <v>45168</v>
      </c>
      <c r="R102" s="64" t="s">
        <v>86</v>
      </c>
      <c r="S102" s="53">
        <f>+(S103*T102)</f>
        <v>0</v>
      </c>
      <c r="T102" s="71">
        <f t="shared" si="2"/>
        <v>0</v>
      </c>
      <c r="U102" s="45"/>
      <c r="V102" s="45"/>
      <c r="W102" s="45"/>
      <c r="X102" s="45"/>
      <c r="Y102" s="45"/>
      <c r="Z102" s="45"/>
      <c r="AA102" s="45"/>
      <c r="AB102" s="45"/>
      <c r="AC102" s="45"/>
      <c r="AD102" s="45"/>
      <c r="AE102" s="45"/>
      <c r="AF102" s="45"/>
      <c r="AG102" s="45"/>
      <c r="AH102" s="362"/>
      <c r="AI102" s="366"/>
      <c r="AJ102" s="342"/>
      <c r="AK102" s="342"/>
    </row>
    <row r="103" spans="1:37" ht="37.15" customHeight="1" x14ac:dyDescent="0.35">
      <c r="A103" s="260"/>
      <c r="B103" s="260"/>
      <c r="C103" s="260"/>
      <c r="D103" s="260"/>
      <c r="E103" s="260"/>
      <c r="F103" s="284"/>
      <c r="G103" s="260"/>
      <c r="H103" s="512"/>
      <c r="I103" s="260"/>
      <c r="J103" s="516"/>
      <c r="K103" s="516"/>
      <c r="L103" s="260"/>
      <c r="M103" s="260"/>
      <c r="N103" s="266"/>
      <c r="O103" s="260"/>
      <c r="P103" s="409"/>
      <c r="Q103" s="409"/>
      <c r="R103" s="64" t="s">
        <v>89</v>
      </c>
      <c r="S103" s="52">
        <f>100%/49</f>
        <v>2.0408163265306121E-2</v>
      </c>
      <c r="T103" s="71">
        <f t="shared" si="2"/>
        <v>1</v>
      </c>
      <c r="U103" s="42"/>
      <c r="V103" s="42"/>
      <c r="W103" s="42"/>
      <c r="X103" s="42"/>
      <c r="Y103" s="42"/>
      <c r="Z103" s="42"/>
      <c r="AA103" s="42"/>
      <c r="AB103" s="42"/>
      <c r="AC103" s="42"/>
      <c r="AD103" s="42"/>
      <c r="AE103" s="42"/>
      <c r="AF103" s="42"/>
      <c r="AG103" s="42">
        <v>1</v>
      </c>
      <c r="AH103" s="363"/>
      <c r="AI103" s="367"/>
      <c r="AJ103" s="343"/>
      <c r="AK103" s="343"/>
    </row>
    <row r="104" spans="1:37" ht="37.15" customHeight="1" x14ac:dyDescent="0.35">
      <c r="A104" s="259">
        <v>46</v>
      </c>
      <c r="B104" s="259" t="s">
        <v>219</v>
      </c>
      <c r="C104" s="259" t="s">
        <v>115</v>
      </c>
      <c r="D104" s="259" t="s">
        <v>116</v>
      </c>
      <c r="E104" s="259" t="s">
        <v>117</v>
      </c>
      <c r="F104" s="284" t="s">
        <v>79</v>
      </c>
      <c r="G104" s="259" t="s">
        <v>1058</v>
      </c>
      <c r="H104" s="511">
        <v>1</v>
      </c>
      <c r="I104" s="259" t="s">
        <v>1080</v>
      </c>
      <c r="J104" s="515" t="s">
        <v>1190</v>
      </c>
      <c r="K104" s="515" t="s">
        <v>1191</v>
      </c>
      <c r="L104" s="259" t="s">
        <v>955</v>
      </c>
      <c r="M104" s="259" t="s">
        <v>1192</v>
      </c>
      <c r="N104" s="259" t="s">
        <v>84</v>
      </c>
      <c r="O104" s="259" t="s">
        <v>85</v>
      </c>
      <c r="P104" s="405">
        <v>44958</v>
      </c>
      <c r="Q104" s="405">
        <v>45260</v>
      </c>
      <c r="R104" s="64" t="s">
        <v>86</v>
      </c>
      <c r="S104" s="53">
        <f>+(S105*T104)</f>
        <v>1.020408163265306E-2</v>
      </c>
      <c r="T104" s="71">
        <f t="shared" si="2"/>
        <v>0.5</v>
      </c>
      <c r="U104" s="45"/>
      <c r="V104" s="45"/>
      <c r="W104" s="45"/>
      <c r="X104" s="45">
        <v>0.25</v>
      </c>
      <c r="Y104" s="45"/>
      <c r="Z104" s="45"/>
      <c r="AA104" s="45">
        <v>0.25</v>
      </c>
      <c r="AB104" s="45"/>
      <c r="AC104" s="45"/>
      <c r="AD104" s="45"/>
      <c r="AE104" s="45"/>
      <c r="AF104" s="45"/>
      <c r="AG104" s="45"/>
      <c r="AH104" s="257" t="s">
        <v>1193</v>
      </c>
      <c r="AI104" s="366" t="s">
        <v>1194</v>
      </c>
      <c r="AJ104" s="342"/>
      <c r="AK104" s="342"/>
    </row>
    <row r="105" spans="1:37" ht="37.15" customHeight="1" x14ac:dyDescent="0.35">
      <c r="A105" s="260"/>
      <c r="B105" s="260"/>
      <c r="C105" s="260"/>
      <c r="D105" s="260"/>
      <c r="E105" s="260"/>
      <c r="F105" s="284"/>
      <c r="G105" s="260"/>
      <c r="H105" s="512"/>
      <c r="I105" s="260"/>
      <c r="J105" s="516"/>
      <c r="K105" s="516"/>
      <c r="L105" s="260"/>
      <c r="M105" s="260"/>
      <c r="N105" s="260"/>
      <c r="O105" s="260"/>
      <c r="P105" s="409"/>
      <c r="Q105" s="409"/>
      <c r="R105" s="64" t="s">
        <v>89</v>
      </c>
      <c r="S105" s="52">
        <f>100%/49</f>
        <v>2.0408163265306121E-2</v>
      </c>
      <c r="T105" s="71">
        <f t="shared" si="2"/>
        <v>1</v>
      </c>
      <c r="U105" s="42"/>
      <c r="V105" s="42"/>
      <c r="W105" s="42"/>
      <c r="X105" s="42">
        <v>0.25</v>
      </c>
      <c r="Y105" s="42"/>
      <c r="Z105" s="42"/>
      <c r="AA105" s="42">
        <v>0.25</v>
      </c>
      <c r="AB105" s="42"/>
      <c r="AC105" s="42"/>
      <c r="AD105" s="42">
        <v>0.25</v>
      </c>
      <c r="AE105" s="42"/>
      <c r="AF105" s="42"/>
      <c r="AG105" s="42">
        <v>0.25</v>
      </c>
      <c r="AH105" s="363"/>
      <c r="AI105" s="367"/>
      <c r="AJ105" s="343"/>
      <c r="AK105" s="343"/>
    </row>
    <row r="106" spans="1:37" ht="37.15" customHeight="1" x14ac:dyDescent="0.35">
      <c r="A106" s="259">
        <v>47</v>
      </c>
      <c r="B106" s="259" t="s">
        <v>219</v>
      </c>
      <c r="C106" s="259" t="s">
        <v>115</v>
      </c>
      <c r="D106" s="259" t="s">
        <v>116</v>
      </c>
      <c r="E106" s="259" t="s">
        <v>117</v>
      </c>
      <c r="F106" s="284" t="s">
        <v>79</v>
      </c>
      <c r="G106" s="259" t="s">
        <v>1058</v>
      </c>
      <c r="H106" s="511">
        <v>1</v>
      </c>
      <c r="I106" s="259" t="s">
        <v>1150</v>
      </c>
      <c r="J106" s="515" t="s">
        <v>1075</v>
      </c>
      <c r="K106" s="515" t="s">
        <v>1195</v>
      </c>
      <c r="L106" s="259" t="s">
        <v>955</v>
      </c>
      <c r="M106" s="259" t="s">
        <v>1196</v>
      </c>
      <c r="N106" s="259" t="s">
        <v>84</v>
      </c>
      <c r="O106" s="259" t="s">
        <v>85</v>
      </c>
      <c r="P106" s="405">
        <v>44986</v>
      </c>
      <c r="Q106" s="405">
        <v>45290</v>
      </c>
      <c r="R106" s="64" t="s">
        <v>86</v>
      </c>
      <c r="S106" s="53">
        <f>+(S107*T106)</f>
        <v>1.020408163265306E-2</v>
      </c>
      <c r="T106" s="71">
        <f t="shared" si="2"/>
        <v>0.5</v>
      </c>
      <c r="U106" s="45"/>
      <c r="V106" s="45"/>
      <c r="W106" s="45"/>
      <c r="X106" s="45">
        <v>0.25</v>
      </c>
      <c r="Y106" s="45"/>
      <c r="Z106" s="45"/>
      <c r="AA106" s="45">
        <v>0.25</v>
      </c>
      <c r="AB106" s="45"/>
      <c r="AC106" s="45"/>
      <c r="AD106" s="45"/>
      <c r="AE106" s="45"/>
      <c r="AF106" s="45"/>
      <c r="AG106" s="45"/>
      <c r="AH106" s="257" t="s">
        <v>1197</v>
      </c>
      <c r="AI106" s="257" t="s">
        <v>1198</v>
      </c>
      <c r="AJ106" s="342"/>
      <c r="AK106" s="342"/>
    </row>
    <row r="107" spans="1:37" ht="37.15" customHeight="1" x14ac:dyDescent="0.35">
      <c r="A107" s="260"/>
      <c r="B107" s="260"/>
      <c r="C107" s="260"/>
      <c r="D107" s="260"/>
      <c r="E107" s="260"/>
      <c r="F107" s="284"/>
      <c r="G107" s="260"/>
      <c r="H107" s="512"/>
      <c r="I107" s="260"/>
      <c r="J107" s="516"/>
      <c r="K107" s="516"/>
      <c r="L107" s="260"/>
      <c r="M107" s="260"/>
      <c r="N107" s="260"/>
      <c r="O107" s="260"/>
      <c r="P107" s="409"/>
      <c r="Q107" s="409"/>
      <c r="R107" s="64" t="s">
        <v>89</v>
      </c>
      <c r="S107" s="52">
        <f>100%/49</f>
        <v>2.0408163265306121E-2</v>
      </c>
      <c r="T107" s="71">
        <f t="shared" si="2"/>
        <v>1</v>
      </c>
      <c r="U107" s="42"/>
      <c r="V107" s="42"/>
      <c r="W107" s="42"/>
      <c r="X107" s="42">
        <v>0.25</v>
      </c>
      <c r="Y107" s="42"/>
      <c r="Z107" s="42"/>
      <c r="AA107" s="42">
        <v>0.25</v>
      </c>
      <c r="AB107" s="42"/>
      <c r="AC107" s="42"/>
      <c r="AD107" s="42">
        <v>0.25</v>
      </c>
      <c r="AE107" s="42"/>
      <c r="AF107" s="42"/>
      <c r="AG107" s="42">
        <v>0.25</v>
      </c>
      <c r="AH107" s="363"/>
      <c r="AI107" s="363"/>
      <c r="AJ107" s="343"/>
      <c r="AK107" s="343"/>
    </row>
    <row r="108" spans="1:37" ht="37.15" customHeight="1" x14ac:dyDescent="0.35">
      <c r="A108" s="259">
        <v>48</v>
      </c>
      <c r="B108" s="259" t="s">
        <v>219</v>
      </c>
      <c r="C108" s="259" t="s">
        <v>115</v>
      </c>
      <c r="D108" s="259" t="s">
        <v>116</v>
      </c>
      <c r="E108" s="259" t="s">
        <v>117</v>
      </c>
      <c r="F108" s="284" t="s">
        <v>79</v>
      </c>
      <c r="G108" s="259" t="s">
        <v>1058</v>
      </c>
      <c r="H108" s="511">
        <v>1</v>
      </c>
      <c r="I108" s="259" t="s">
        <v>1150</v>
      </c>
      <c r="J108" s="515" t="s">
        <v>1199</v>
      </c>
      <c r="K108" s="515" t="s">
        <v>1200</v>
      </c>
      <c r="L108" s="259" t="s">
        <v>955</v>
      </c>
      <c r="M108" s="259" t="s">
        <v>1155</v>
      </c>
      <c r="N108" s="259" t="s">
        <v>84</v>
      </c>
      <c r="O108" s="259" t="s">
        <v>272</v>
      </c>
      <c r="P108" s="405">
        <v>45139</v>
      </c>
      <c r="Q108" s="405">
        <v>45168</v>
      </c>
      <c r="R108" s="64" t="s">
        <v>86</v>
      </c>
      <c r="S108" s="53">
        <f>+(S109*T108)</f>
        <v>0</v>
      </c>
      <c r="T108" s="71">
        <f t="shared" ref="T108:T111" si="3">SUM(U108:AG108)</f>
        <v>0</v>
      </c>
      <c r="U108" s="45"/>
      <c r="V108" s="45"/>
      <c r="W108" s="45"/>
      <c r="X108" s="45"/>
      <c r="Y108" s="45"/>
      <c r="Z108" s="45"/>
      <c r="AA108" s="45"/>
      <c r="AB108" s="45"/>
      <c r="AC108" s="45"/>
      <c r="AD108" s="45"/>
      <c r="AE108" s="45"/>
      <c r="AF108" s="45"/>
      <c r="AG108" s="45"/>
      <c r="AH108" s="362"/>
      <c r="AI108" s="366"/>
      <c r="AJ108" s="342"/>
      <c r="AK108" s="342"/>
    </row>
    <row r="109" spans="1:37" ht="37.15" customHeight="1" x14ac:dyDescent="0.35">
      <c r="A109" s="260"/>
      <c r="B109" s="260"/>
      <c r="C109" s="260"/>
      <c r="D109" s="260"/>
      <c r="E109" s="260"/>
      <c r="F109" s="284"/>
      <c r="G109" s="260"/>
      <c r="H109" s="512"/>
      <c r="I109" s="260"/>
      <c r="J109" s="516"/>
      <c r="K109" s="516"/>
      <c r="L109" s="260"/>
      <c r="M109" s="260"/>
      <c r="N109" s="260"/>
      <c r="O109" s="260"/>
      <c r="P109" s="409"/>
      <c r="Q109" s="409"/>
      <c r="R109" s="64" t="s">
        <v>89</v>
      </c>
      <c r="S109" s="52">
        <f>100%/49</f>
        <v>2.0408163265306121E-2</v>
      </c>
      <c r="T109" s="71">
        <f t="shared" si="3"/>
        <v>1</v>
      </c>
      <c r="U109" s="42"/>
      <c r="V109" s="42"/>
      <c r="W109" s="42"/>
      <c r="X109" s="42"/>
      <c r="Y109" s="42"/>
      <c r="Z109" s="42"/>
      <c r="AA109" s="42"/>
      <c r="AB109" s="42"/>
      <c r="AC109" s="42"/>
      <c r="AD109" s="42"/>
      <c r="AE109" s="42"/>
      <c r="AF109" s="42"/>
      <c r="AG109" s="42">
        <v>1</v>
      </c>
      <c r="AH109" s="363"/>
      <c r="AI109" s="367"/>
      <c r="AJ109" s="343"/>
      <c r="AK109" s="343"/>
    </row>
    <row r="110" spans="1:37" ht="37.15" customHeight="1" x14ac:dyDescent="0.35">
      <c r="A110" s="259">
        <v>49</v>
      </c>
      <c r="B110" s="259" t="s">
        <v>219</v>
      </c>
      <c r="C110" s="259" t="s">
        <v>115</v>
      </c>
      <c r="D110" s="259" t="s">
        <v>116</v>
      </c>
      <c r="E110" s="259" t="s">
        <v>117</v>
      </c>
      <c r="F110" s="284" t="s">
        <v>79</v>
      </c>
      <c r="G110" s="259" t="s">
        <v>1058</v>
      </c>
      <c r="H110" s="511">
        <v>1</v>
      </c>
      <c r="I110" s="259" t="s">
        <v>1201</v>
      </c>
      <c r="J110" s="515" t="s">
        <v>1202</v>
      </c>
      <c r="K110" s="515" t="s">
        <v>1203</v>
      </c>
      <c r="L110" s="259" t="s">
        <v>955</v>
      </c>
      <c r="M110" s="259" t="s">
        <v>1187</v>
      </c>
      <c r="N110" s="259" t="s">
        <v>84</v>
      </c>
      <c r="O110" s="259" t="s">
        <v>85</v>
      </c>
      <c r="P110" s="405">
        <v>44986</v>
      </c>
      <c r="Q110" s="405">
        <v>45290</v>
      </c>
      <c r="R110" s="64" t="s">
        <v>86</v>
      </c>
      <c r="S110" s="53">
        <f>+(S111*T110)</f>
        <v>1.020408163265306E-2</v>
      </c>
      <c r="T110" s="71">
        <f t="shared" si="3"/>
        <v>0.5</v>
      </c>
      <c r="U110" s="45"/>
      <c r="V110" s="45"/>
      <c r="W110" s="45"/>
      <c r="X110" s="45">
        <v>0.25</v>
      </c>
      <c r="Y110" s="45"/>
      <c r="Z110" s="45"/>
      <c r="AA110" s="45">
        <v>0.25</v>
      </c>
      <c r="AB110" s="45"/>
      <c r="AC110" s="45"/>
      <c r="AD110" s="45"/>
      <c r="AE110" s="45"/>
      <c r="AF110" s="45"/>
      <c r="AG110" s="45"/>
      <c r="AH110" s="257" t="s">
        <v>1204</v>
      </c>
      <c r="AI110" s="366" t="s">
        <v>1205</v>
      </c>
      <c r="AJ110" s="342"/>
      <c r="AK110" s="342"/>
    </row>
    <row r="111" spans="1:37" ht="37.15" customHeight="1" x14ac:dyDescent="0.35">
      <c r="A111" s="260"/>
      <c r="B111" s="260"/>
      <c r="C111" s="260"/>
      <c r="D111" s="260"/>
      <c r="E111" s="260"/>
      <c r="F111" s="284"/>
      <c r="G111" s="260"/>
      <c r="H111" s="512"/>
      <c r="I111" s="260"/>
      <c r="J111" s="516"/>
      <c r="K111" s="516"/>
      <c r="L111" s="260"/>
      <c r="M111" s="260"/>
      <c r="N111" s="260"/>
      <c r="O111" s="260"/>
      <c r="P111" s="409"/>
      <c r="Q111" s="409"/>
      <c r="R111" s="64" t="s">
        <v>89</v>
      </c>
      <c r="S111" s="52">
        <f>100%/49</f>
        <v>2.0408163265306121E-2</v>
      </c>
      <c r="T111" s="71">
        <f t="shared" si="3"/>
        <v>1</v>
      </c>
      <c r="U111" s="42"/>
      <c r="V111" s="42"/>
      <c r="W111" s="42"/>
      <c r="X111" s="42">
        <v>0.25</v>
      </c>
      <c r="Y111" s="42"/>
      <c r="Z111" s="42"/>
      <c r="AA111" s="42">
        <v>0.25</v>
      </c>
      <c r="AB111" s="42"/>
      <c r="AC111" s="42"/>
      <c r="AD111" s="42">
        <v>0.25</v>
      </c>
      <c r="AE111" s="42"/>
      <c r="AF111" s="42"/>
      <c r="AG111" s="42">
        <v>0.25</v>
      </c>
      <c r="AH111" s="363"/>
      <c r="AI111" s="367"/>
      <c r="AJ111" s="343"/>
      <c r="AK111" s="343"/>
    </row>
  </sheetData>
  <autoFilter ref="A13:AK13" xr:uid="{E00451CB-FFDF-4B66-9DFF-B1AA7CAF69BE}"/>
  <mergeCells count="1090">
    <mergeCell ref="P86:P87"/>
    <mergeCell ref="Q86:Q87"/>
    <mergeCell ref="Q106:Q107"/>
    <mergeCell ref="P108:P109"/>
    <mergeCell ref="Q108:Q109"/>
    <mergeCell ref="P110:P111"/>
    <mergeCell ref="Q110:Q111"/>
    <mergeCell ref="P100:P101"/>
    <mergeCell ref="Q100:Q101"/>
    <mergeCell ref="P102:P103"/>
    <mergeCell ref="Q102:Q103"/>
    <mergeCell ref="P104:P105"/>
    <mergeCell ref="Q104:Q105"/>
    <mergeCell ref="P94:P95"/>
    <mergeCell ref="Q94:Q95"/>
    <mergeCell ref="P96:P97"/>
    <mergeCell ref="Q96:Q97"/>
    <mergeCell ref="P98:P99"/>
    <mergeCell ref="Q98:Q99"/>
    <mergeCell ref="P48:P49"/>
    <mergeCell ref="Q48:Q49"/>
    <mergeCell ref="P76:P77"/>
    <mergeCell ref="Q76:Q77"/>
    <mergeCell ref="P78:P79"/>
    <mergeCell ref="Q78:Q79"/>
    <mergeCell ref="P80:P81"/>
    <mergeCell ref="Q80:Q81"/>
    <mergeCell ref="P70:P71"/>
    <mergeCell ref="Q70:Q71"/>
    <mergeCell ref="P72:P73"/>
    <mergeCell ref="Q72:Q73"/>
    <mergeCell ref="P74:P75"/>
    <mergeCell ref="Q74:Q75"/>
    <mergeCell ref="P64:P65"/>
    <mergeCell ref="Q64:Q65"/>
    <mergeCell ref="P66:P67"/>
    <mergeCell ref="Q66:Q67"/>
    <mergeCell ref="P68:P69"/>
    <mergeCell ref="Q68:Q69"/>
    <mergeCell ref="P34:P35"/>
    <mergeCell ref="Q34:Q35"/>
    <mergeCell ref="P36:P37"/>
    <mergeCell ref="Q36:Q37"/>
    <mergeCell ref="P38:P39"/>
    <mergeCell ref="Q38:Q39"/>
    <mergeCell ref="Q20:Q21"/>
    <mergeCell ref="P22:P23"/>
    <mergeCell ref="Q22:Q23"/>
    <mergeCell ref="P24:P25"/>
    <mergeCell ref="Q24:Q25"/>
    <mergeCell ref="P26:P27"/>
    <mergeCell ref="Q26:Q27"/>
    <mergeCell ref="P12:P13"/>
    <mergeCell ref="Q12:Q13"/>
    <mergeCell ref="P14:P15"/>
    <mergeCell ref="Q14:Q15"/>
    <mergeCell ref="P16:P17"/>
    <mergeCell ref="Q16:Q17"/>
    <mergeCell ref="P18:P19"/>
    <mergeCell ref="Q18:Q19"/>
    <mergeCell ref="P20:P21"/>
    <mergeCell ref="AK110:AK111"/>
    <mergeCell ref="H28:H29"/>
    <mergeCell ref="H30:H31"/>
    <mergeCell ref="H32:H33"/>
    <mergeCell ref="H34:H35"/>
    <mergeCell ref="H36:H37"/>
    <mergeCell ref="P28:P29"/>
    <mergeCell ref="Q28:Q29"/>
    <mergeCell ref="P30:P31"/>
    <mergeCell ref="Q30:Q31"/>
    <mergeCell ref="M110:M111"/>
    <mergeCell ref="N110:N111"/>
    <mergeCell ref="O110:O111"/>
    <mergeCell ref="AH110:AH111"/>
    <mergeCell ref="AI110:AI111"/>
    <mergeCell ref="AJ110:AJ111"/>
    <mergeCell ref="AI108:AI109"/>
    <mergeCell ref="AJ108:AJ109"/>
    <mergeCell ref="AK108:AK109"/>
    <mergeCell ref="AK106:AK107"/>
    <mergeCell ref="AK104:AK105"/>
    <mergeCell ref="M104:M105"/>
    <mergeCell ref="N104:N105"/>
    <mergeCell ref="O104:O105"/>
    <mergeCell ref="AH104:AH105"/>
    <mergeCell ref="AI104:AI105"/>
    <mergeCell ref="AJ104:AJ105"/>
    <mergeCell ref="AI102:AI103"/>
    <mergeCell ref="AJ102:AJ103"/>
    <mergeCell ref="AK102:AK103"/>
    <mergeCell ref="AK100:AK101"/>
    <mergeCell ref="AK98:AK99"/>
    <mergeCell ref="F110:F111"/>
    <mergeCell ref="G110:G111"/>
    <mergeCell ref="H110:H111"/>
    <mergeCell ref="I110:I111"/>
    <mergeCell ref="J110:J111"/>
    <mergeCell ref="K110:K111"/>
    <mergeCell ref="L110:L111"/>
    <mergeCell ref="K108:K109"/>
    <mergeCell ref="L108:L109"/>
    <mergeCell ref="M108:M109"/>
    <mergeCell ref="N108:N109"/>
    <mergeCell ref="O108:O109"/>
    <mergeCell ref="AH108:AH109"/>
    <mergeCell ref="O106:O107"/>
    <mergeCell ref="AH106:AH107"/>
    <mergeCell ref="AI106:AI107"/>
    <mergeCell ref="AJ106:AJ107"/>
    <mergeCell ref="F108:F109"/>
    <mergeCell ref="G108:G109"/>
    <mergeCell ref="H108:H109"/>
    <mergeCell ref="I108:I109"/>
    <mergeCell ref="J108:J109"/>
    <mergeCell ref="F106:F107"/>
    <mergeCell ref="G106:G107"/>
    <mergeCell ref="H106:H107"/>
    <mergeCell ref="I106:I107"/>
    <mergeCell ref="J106:J107"/>
    <mergeCell ref="K106:K107"/>
    <mergeCell ref="L106:L107"/>
    <mergeCell ref="M106:M107"/>
    <mergeCell ref="N106:N107"/>
    <mergeCell ref="P106:P107"/>
    <mergeCell ref="F104:F105"/>
    <mergeCell ref="G104:G105"/>
    <mergeCell ref="H104:H105"/>
    <mergeCell ref="I104:I105"/>
    <mergeCell ref="J104:J105"/>
    <mergeCell ref="K104:K105"/>
    <mergeCell ref="L104:L105"/>
    <mergeCell ref="K102:K103"/>
    <mergeCell ref="L102:L103"/>
    <mergeCell ref="M102:M103"/>
    <mergeCell ref="N102:N103"/>
    <mergeCell ref="O102:O103"/>
    <mergeCell ref="AH102:AH103"/>
    <mergeCell ref="O100:O101"/>
    <mergeCell ref="AH100:AH101"/>
    <mergeCell ref="AI100:AI101"/>
    <mergeCell ref="AJ100:AJ101"/>
    <mergeCell ref="F102:F103"/>
    <mergeCell ref="G102:G103"/>
    <mergeCell ref="H102:H103"/>
    <mergeCell ref="I102:I103"/>
    <mergeCell ref="J102:J103"/>
    <mergeCell ref="F100:F101"/>
    <mergeCell ref="G100:G101"/>
    <mergeCell ref="H100:H101"/>
    <mergeCell ref="I100:I101"/>
    <mergeCell ref="J100:J101"/>
    <mergeCell ref="K100:K101"/>
    <mergeCell ref="L100:L101"/>
    <mergeCell ref="M100:M101"/>
    <mergeCell ref="N100:N101"/>
    <mergeCell ref="M98:M99"/>
    <mergeCell ref="N98:N99"/>
    <mergeCell ref="O98:O99"/>
    <mergeCell ref="AH98:AH99"/>
    <mergeCell ref="AI98:AI99"/>
    <mergeCell ref="AJ98:AJ99"/>
    <mergeCell ref="AI96:AI97"/>
    <mergeCell ref="AJ96:AJ97"/>
    <mergeCell ref="AK96:AK97"/>
    <mergeCell ref="F98:F99"/>
    <mergeCell ref="G98:G99"/>
    <mergeCell ref="H98:H99"/>
    <mergeCell ref="I98:I99"/>
    <mergeCell ref="J98:J99"/>
    <mergeCell ref="K98:K99"/>
    <mergeCell ref="L98:L99"/>
    <mergeCell ref="K96:K97"/>
    <mergeCell ref="L96:L97"/>
    <mergeCell ref="M96:M97"/>
    <mergeCell ref="N96:N97"/>
    <mergeCell ref="O96:O97"/>
    <mergeCell ref="AH96:AH97"/>
    <mergeCell ref="O94:O95"/>
    <mergeCell ref="AH94:AH95"/>
    <mergeCell ref="AI94:AI95"/>
    <mergeCell ref="AJ94:AJ95"/>
    <mergeCell ref="AK94:AK95"/>
    <mergeCell ref="F96:F97"/>
    <mergeCell ref="G96:G97"/>
    <mergeCell ref="H96:H97"/>
    <mergeCell ref="I96:I97"/>
    <mergeCell ref="J96:J97"/>
    <mergeCell ref="AK92:AK93"/>
    <mergeCell ref="F94:F95"/>
    <mergeCell ref="G94:G95"/>
    <mergeCell ref="H94:H95"/>
    <mergeCell ref="I94:I95"/>
    <mergeCell ref="J94:J95"/>
    <mergeCell ref="K94:K95"/>
    <mergeCell ref="L94:L95"/>
    <mergeCell ref="M94:M95"/>
    <mergeCell ref="N94:N95"/>
    <mergeCell ref="M92:M93"/>
    <mergeCell ref="N92:N93"/>
    <mergeCell ref="O92:O93"/>
    <mergeCell ref="AH92:AH93"/>
    <mergeCell ref="AI92:AI93"/>
    <mergeCell ref="AJ92:AJ93"/>
    <mergeCell ref="P92:P93"/>
    <mergeCell ref="Q92:Q93"/>
    <mergeCell ref="AI90:AI91"/>
    <mergeCell ref="AJ90:AJ91"/>
    <mergeCell ref="AK90:AK91"/>
    <mergeCell ref="F92:F93"/>
    <mergeCell ref="G92:G93"/>
    <mergeCell ref="H92:H93"/>
    <mergeCell ref="I92:I93"/>
    <mergeCell ref="J92:J93"/>
    <mergeCell ref="K92:K93"/>
    <mergeCell ref="L92:L93"/>
    <mergeCell ref="K90:K91"/>
    <mergeCell ref="L90:L91"/>
    <mergeCell ref="M90:M91"/>
    <mergeCell ref="N90:N91"/>
    <mergeCell ref="O90:O91"/>
    <mergeCell ref="AH90:AH91"/>
    <mergeCell ref="O88:O89"/>
    <mergeCell ref="AH88:AH89"/>
    <mergeCell ref="AI88:AI89"/>
    <mergeCell ref="AJ88:AJ89"/>
    <mergeCell ref="AK88:AK89"/>
    <mergeCell ref="F90:F91"/>
    <mergeCell ref="G90:G91"/>
    <mergeCell ref="H90:H91"/>
    <mergeCell ref="I90:I91"/>
    <mergeCell ref="J90:J91"/>
    <mergeCell ref="P88:P89"/>
    <mergeCell ref="Q88:Q89"/>
    <mergeCell ref="P90:P91"/>
    <mergeCell ref="Q90:Q91"/>
    <mergeCell ref="AK86:AK87"/>
    <mergeCell ref="F88:F89"/>
    <mergeCell ref="G88:G89"/>
    <mergeCell ref="H88:H89"/>
    <mergeCell ref="I88:I89"/>
    <mergeCell ref="J88:J89"/>
    <mergeCell ref="K88:K89"/>
    <mergeCell ref="L88:L89"/>
    <mergeCell ref="M88:M89"/>
    <mergeCell ref="N88:N89"/>
    <mergeCell ref="M86:M87"/>
    <mergeCell ref="N86:N87"/>
    <mergeCell ref="O86:O87"/>
    <mergeCell ref="AH86:AH87"/>
    <mergeCell ref="AI86:AI87"/>
    <mergeCell ref="AJ86:AJ87"/>
    <mergeCell ref="AI84:AI85"/>
    <mergeCell ref="AJ84:AJ85"/>
    <mergeCell ref="AK84:AK85"/>
    <mergeCell ref="F86:F87"/>
    <mergeCell ref="G86:G87"/>
    <mergeCell ref="H86:H87"/>
    <mergeCell ref="I86:I87"/>
    <mergeCell ref="J86:J87"/>
    <mergeCell ref="K86:K87"/>
    <mergeCell ref="L86:L87"/>
    <mergeCell ref="K84:K85"/>
    <mergeCell ref="L84:L85"/>
    <mergeCell ref="M84:M85"/>
    <mergeCell ref="N84:N85"/>
    <mergeCell ref="O84:O85"/>
    <mergeCell ref="AH84:AH85"/>
    <mergeCell ref="O82:O83"/>
    <mergeCell ref="AH82:AH83"/>
    <mergeCell ref="AI82:AI83"/>
    <mergeCell ref="AJ82:AJ83"/>
    <mergeCell ref="AK82:AK83"/>
    <mergeCell ref="F84:F85"/>
    <mergeCell ref="G84:G85"/>
    <mergeCell ref="H84:H85"/>
    <mergeCell ref="I84:I85"/>
    <mergeCell ref="J84:J85"/>
    <mergeCell ref="AK80:AK81"/>
    <mergeCell ref="F82:F83"/>
    <mergeCell ref="G82:G83"/>
    <mergeCell ref="H82:H83"/>
    <mergeCell ref="I82:I83"/>
    <mergeCell ref="J82:J83"/>
    <mergeCell ref="K82:K83"/>
    <mergeCell ref="L82:L83"/>
    <mergeCell ref="M82:M83"/>
    <mergeCell ref="N82:N83"/>
    <mergeCell ref="M80:M81"/>
    <mergeCell ref="N80:N81"/>
    <mergeCell ref="O80:O81"/>
    <mergeCell ref="AH80:AH81"/>
    <mergeCell ref="AI80:AI81"/>
    <mergeCell ref="AJ80:AJ81"/>
    <mergeCell ref="P82:P83"/>
    <mergeCell ref="Q82:Q83"/>
    <mergeCell ref="P84:P85"/>
    <mergeCell ref="Q84:Q85"/>
    <mergeCell ref="AI78:AI79"/>
    <mergeCell ref="AJ78:AJ79"/>
    <mergeCell ref="AK78:AK79"/>
    <mergeCell ref="F80:F81"/>
    <mergeCell ref="G80:G81"/>
    <mergeCell ref="H80:H81"/>
    <mergeCell ref="I80:I81"/>
    <mergeCell ref="J80:J81"/>
    <mergeCell ref="K80:K81"/>
    <mergeCell ref="L80:L81"/>
    <mergeCell ref="K78:K79"/>
    <mergeCell ref="L78:L79"/>
    <mergeCell ref="M78:M79"/>
    <mergeCell ref="N78:N79"/>
    <mergeCell ref="O78:O79"/>
    <mergeCell ref="AH78:AH79"/>
    <mergeCell ref="O76:O77"/>
    <mergeCell ref="AH76:AH77"/>
    <mergeCell ref="AI76:AI77"/>
    <mergeCell ref="AJ76:AJ77"/>
    <mergeCell ref="AK76:AK77"/>
    <mergeCell ref="F78:F79"/>
    <mergeCell ref="G78:G79"/>
    <mergeCell ref="H78:H79"/>
    <mergeCell ref="I78:I79"/>
    <mergeCell ref="J78:J79"/>
    <mergeCell ref="AK74:AK75"/>
    <mergeCell ref="F76:F77"/>
    <mergeCell ref="G76:G77"/>
    <mergeCell ref="H76:H77"/>
    <mergeCell ref="I76:I77"/>
    <mergeCell ref="J76:J77"/>
    <mergeCell ref="K76:K77"/>
    <mergeCell ref="L76:L77"/>
    <mergeCell ref="M76:M77"/>
    <mergeCell ref="N76:N77"/>
    <mergeCell ref="M74:M75"/>
    <mergeCell ref="N74:N75"/>
    <mergeCell ref="O74:O75"/>
    <mergeCell ref="AH74:AH75"/>
    <mergeCell ref="AI74:AI75"/>
    <mergeCell ref="AJ74:AJ75"/>
    <mergeCell ref="AI72:AI73"/>
    <mergeCell ref="AJ72:AJ73"/>
    <mergeCell ref="AK72:AK73"/>
    <mergeCell ref="F74:F75"/>
    <mergeCell ref="G74:G75"/>
    <mergeCell ref="H74:H75"/>
    <mergeCell ref="I74:I75"/>
    <mergeCell ref="J74:J75"/>
    <mergeCell ref="K74:K75"/>
    <mergeCell ref="L74:L75"/>
    <mergeCell ref="K72:K73"/>
    <mergeCell ref="L72:L73"/>
    <mergeCell ref="M72:M73"/>
    <mergeCell ref="N72:N73"/>
    <mergeCell ref="O72:O73"/>
    <mergeCell ref="AH72:AH73"/>
    <mergeCell ref="O70:O71"/>
    <mergeCell ref="AH70:AH71"/>
    <mergeCell ref="AI70:AI71"/>
    <mergeCell ref="AJ70:AJ71"/>
    <mergeCell ref="AK70:AK71"/>
    <mergeCell ref="F72:F73"/>
    <mergeCell ref="G72:G73"/>
    <mergeCell ref="H72:H73"/>
    <mergeCell ref="I72:I73"/>
    <mergeCell ref="J72:J73"/>
    <mergeCell ref="AK68:AK69"/>
    <mergeCell ref="F70:F71"/>
    <mergeCell ref="G70:G71"/>
    <mergeCell ref="H70:H71"/>
    <mergeCell ref="I70:I71"/>
    <mergeCell ref="J70:J71"/>
    <mergeCell ref="K70:K71"/>
    <mergeCell ref="L70:L71"/>
    <mergeCell ref="M70:M71"/>
    <mergeCell ref="N70:N71"/>
    <mergeCell ref="M68:M69"/>
    <mergeCell ref="N68:N69"/>
    <mergeCell ref="O68:O69"/>
    <mergeCell ref="AH68:AH69"/>
    <mergeCell ref="AI68:AI69"/>
    <mergeCell ref="AJ68:AJ69"/>
    <mergeCell ref="AI66:AI67"/>
    <mergeCell ref="AJ66:AJ67"/>
    <mergeCell ref="AK66:AK67"/>
    <mergeCell ref="F68:F69"/>
    <mergeCell ref="G68:G69"/>
    <mergeCell ref="H68:H69"/>
    <mergeCell ref="I68:I69"/>
    <mergeCell ref="J68:J69"/>
    <mergeCell ref="K68:K69"/>
    <mergeCell ref="L68:L69"/>
    <mergeCell ref="K66:K67"/>
    <mergeCell ref="L66:L67"/>
    <mergeCell ref="M66:M67"/>
    <mergeCell ref="N66:N67"/>
    <mergeCell ref="O66:O67"/>
    <mergeCell ref="AH66:AH67"/>
    <mergeCell ref="O64:O65"/>
    <mergeCell ref="AH64:AH65"/>
    <mergeCell ref="AI64:AI65"/>
    <mergeCell ref="AJ64:AJ65"/>
    <mergeCell ref="AK64:AK65"/>
    <mergeCell ref="F66:F67"/>
    <mergeCell ref="G66:G67"/>
    <mergeCell ref="H66:H67"/>
    <mergeCell ref="I66:I67"/>
    <mergeCell ref="J66:J67"/>
    <mergeCell ref="F64:F65"/>
    <mergeCell ref="G64:G65"/>
    <mergeCell ref="H64:H65"/>
    <mergeCell ref="I64:I65"/>
    <mergeCell ref="J64:J65"/>
    <mergeCell ref="K64:K65"/>
    <mergeCell ref="L64:L65"/>
    <mergeCell ref="M64:M65"/>
    <mergeCell ref="N64:N65"/>
    <mergeCell ref="M62:M63"/>
    <mergeCell ref="N62:N63"/>
    <mergeCell ref="O62:O63"/>
    <mergeCell ref="AH62:AH63"/>
    <mergeCell ref="AI62:AI63"/>
    <mergeCell ref="AJ62:AJ63"/>
    <mergeCell ref="P62:P63"/>
    <mergeCell ref="Q62:Q63"/>
    <mergeCell ref="F62:F63"/>
    <mergeCell ref="G62:G63"/>
    <mergeCell ref="H62:H63"/>
    <mergeCell ref="I62:I63"/>
    <mergeCell ref="J62:J63"/>
    <mergeCell ref="K62:K63"/>
    <mergeCell ref="L62:L63"/>
    <mergeCell ref="AK62:AK63"/>
    <mergeCell ref="AK60:AK61"/>
    <mergeCell ref="M60:M61"/>
    <mergeCell ref="N60:N61"/>
    <mergeCell ref="O60:O61"/>
    <mergeCell ref="AH60:AH61"/>
    <mergeCell ref="AI60:AI61"/>
    <mergeCell ref="AJ60:AJ61"/>
    <mergeCell ref="AI58:AI59"/>
    <mergeCell ref="AJ58:AJ59"/>
    <mergeCell ref="AK58:AK59"/>
    <mergeCell ref="F60:F61"/>
    <mergeCell ref="G60:G61"/>
    <mergeCell ref="H60:H61"/>
    <mergeCell ref="I60:I61"/>
    <mergeCell ref="J60:J61"/>
    <mergeCell ref="K60:K61"/>
    <mergeCell ref="L60:L61"/>
    <mergeCell ref="K58:K59"/>
    <mergeCell ref="L58:L59"/>
    <mergeCell ref="M58:M59"/>
    <mergeCell ref="N58:N59"/>
    <mergeCell ref="O58:O59"/>
    <mergeCell ref="AH58:AH59"/>
    <mergeCell ref="P58:P59"/>
    <mergeCell ref="Q58:Q59"/>
    <mergeCell ref="P60:P61"/>
    <mergeCell ref="Q60:Q61"/>
    <mergeCell ref="O56:O57"/>
    <mergeCell ref="AH56:AH57"/>
    <mergeCell ref="AI56:AI57"/>
    <mergeCell ref="AJ56:AJ57"/>
    <mergeCell ref="AK56:AK57"/>
    <mergeCell ref="F58:F59"/>
    <mergeCell ref="G58:G59"/>
    <mergeCell ref="H58:H59"/>
    <mergeCell ref="I58:I59"/>
    <mergeCell ref="J58:J59"/>
    <mergeCell ref="AK54:AK55"/>
    <mergeCell ref="F56:F57"/>
    <mergeCell ref="G56:G57"/>
    <mergeCell ref="H56:H57"/>
    <mergeCell ref="I56:I57"/>
    <mergeCell ref="J56:J57"/>
    <mergeCell ref="K56:K57"/>
    <mergeCell ref="L56:L57"/>
    <mergeCell ref="M56:M57"/>
    <mergeCell ref="N56:N57"/>
    <mergeCell ref="M54:M55"/>
    <mergeCell ref="N54:N55"/>
    <mergeCell ref="O54:O55"/>
    <mergeCell ref="AH54:AH55"/>
    <mergeCell ref="AI54:AI55"/>
    <mergeCell ref="AJ54:AJ55"/>
    <mergeCell ref="P56:P57"/>
    <mergeCell ref="Q56:Q57"/>
    <mergeCell ref="P54:P55"/>
    <mergeCell ref="Q54:Q55"/>
    <mergeCell ref="AI52:AI53"/>
    <mergeCell ref="AJ52:AJ53"/>
    <mergeCell ref="AK52:AK53"/>
    <mergeCell ref="F54:F55"/>
    <mergeCell ref="G54:G55"/>
    <mergeCell ref="H54:H55"/>
    <mergeCell ref="I54:I55"/>
    <mergeCell ref="J54:J55"/>
    <mergeCell ref="K54:K55"/>
    <mergeCell ref="L54:L55"/>
    <mergeCell ref="K52:K53"/>
    <mergeCell ref="L52:L53"/>
    <mergeCell ref="M52:M53"/>
    <mergeCell ref="N52:N53"/>
    <mergeCell ref="O52:O53"/>
    <mergeCell ref="AH52:AH53"/>
    <mergeCell ref="O50:O51"/>
    <mergeCell ref="AH50:AH51"/>
    <mergeCell ref="AI50:AI51"/>
    <mergeCell ref="AJ50:AJ51"/>
    <mergeCell ref="AK50:AK51"/>
    <mergeCell ref="F52:F53"/>
    <mergeCell ref="G52:G53"/>
    <mergeCell ref="H52:H53"/>
    <mergeCell ref="I52:I53"/>
    <mergeCell ref="J52:J53"/>
    <mergeCell ref="P50:P51"/>
    <mergeCell ref="Q50:Q51"/>
    <mergeCell ref="P52:P53"/>
    <mergeCell ref="Q52:Q53"/>
    <mergeCell ref="AK48:AK49"/>
    <mergeCell ref="F50:F51"/>
    <mergeCell ref="G50:G51"/>
    <mergeCell ref="H50:H51"/>
    <mergeCell ref="I50:I51"/>
    <mergeCell ref="J50:J51"/>
    <mergeCell ref="K50:K51"/>
    <mergeCell ref="L50:L51"/>
    <mergeCell ref="M50:M51"/>
    <mergeCell ref="N50:N51"/>
    <mergeCell ref="M48:M49"/>
    <mergeCell ref="N48:N49"/>
    <mergeCell ref="O48:O49"/>
    <mergeCell ref="AH48:AH49"/>
    <mergeCell ref="AI48:AI49"/>
    <mergeCell ref="AJ48:AJ49"/>
    <mergeCell ref="AI46:AI47"/>
    <mergeCell ref="AJ46:AJ47"/>
    <mergeCell ref="AK46:AK47"/>
    <mergeCell ref="F48:F49"/>
    <mergeCell ref="G48:G49"/>
    <mergeCell ref="H48:H49"/>
    <mergeCell ref="I48:I49"/>
    <mergeCell ref="J48:J49"/>
    <mergeCell ref="K48:K49"/>
    <mergeCell ref="L48:L49"/>
    <mergeCell ref="K46:K47"/>
    <mergeCell ref="L46:L47"/>
    <mergeCell ref="M46:M47"/>
    <mergeCell ref="N46:N47"/>
    <mergeCell ref="O46:O47"/>
    <mergeCell ref="AH46:AH47"/>
    <mergeCell ref="AI44:AI45"/>
    <mergeCell ref="AJ44:AJ45"/>
    <mergeCell ref="AK44:AK45"/>
    <mergeCell ref="F46:F47"/>
    <mergeCell ref="G46:G47"/>
    <mergeCell ref="H46:H47"/>
    <mergeCell ref="I46:I47"/>
    <mergeCell ref="J46:J47"/>
    <mergeCell ref="AK42:AK43"/>
    <mergeCell ref="F44:F45"/>
    <mergeCell ref="G44:G45"/>
    <mergeCell ref="H44:H45"/>
    <mergeCell ref="I44:I45"/>
    <mergeCell ref="J44:J45"/>
    <mergeCell ref="K44:K45"/>
    <mergeCell ref="L44:L45"/>
    <mergeCell ref="M44:M45"/>
    <mergeCell ref="N44:N45"/>
    <mergeCell ref="M42:M43"/>
    <mergeCell ref="N42:N43"/>
    <mergeCell ref="O42:O43"/>
    <mergeCell ref="AH42:AH43"/>
    <mergeCell ref="AI42:AI43"/>
    <mergeCell ref="AJ42:AJ43"/>
    <mergeCell ref="P42:P43"/>
    <mergeCell ref="Q42:Q43"/>
    <mergeCell ref="P44:P45"/>
    <mergeCell ref="Q44:Q45"/>
    <mergeCell ref="P46:P47"/>
    <mergeCell ref="Q46:Q47"/>
    <mergeCell ref="F42:F43"/>
    <mergeCell ref="G42:G43"/>
    <mergeCell ref="H42:H43"/>
    <mergeCell ref="I42:I43"/>
    <mergeCell ref="J42:J43"/>
    <mergeCell ref="K42:K43"/>
    <mergeCell ref="L42:L43"/>
    <mergeCell ref="K40:K41"/>
    <mergeCell ref="L40:L41"/>
    <mergeCell ref="M40:M41"/>
    <mergeCell ref="N40:N41"/>
    <mergeCell ref="O40:O41"/>
    <mergeCell ref="AH40:AH41"/>
    <mergeCell ref="P40:P41"/>
    <mergeCell ref="Q40:Q41"/>
    <mergeCell ref="O44:O45"/>
    <mergeCell ref="AH44:AH45"/>
    <mergeCell ref="O38:O39"/>
    <mergeCell ref="AH38:AH39"/>
    <mergeCell ref="AI38:AI39"/>
    <mergeCell ref="AJ38:AJ39"/>
    <mergeCell ref="AK38:AK39"/>
    <mergeCell ref="F40:F41"/>
    <mergeCell ref="G40:G41"/>
    <mergeCell ref="H40:H41"/>
    <mergeCell ref="I40:I41"/>
    <mergeCell ref="J40:J41"/>
    <mergeCell ref="AK36:AK37"/>
    <mergeCell ref="F38:F39"/>
    <mergeCell ref="G38:G39"/>
    <mergeCell ref="H38:H39"/>
    <mergeCell ref="I38:I39"/>
    <mergeCell ref="J38:J39"/>
    <mergeCell ref="K38:K39"/>
    <mergeCell ref="L38:L39"/>
    <mergeCell ref="M38:M39"/>
    <mergeCell ref="N38:N39"/>
    <mergeCell ref="M36:M37"/>
    <mergeCell ref="N36:N37"/>
    <mergeCell ref="O36:O37"/>
    <mergeCell ref="AH36:AH37"/>
    <mergeCell ref="AI36:AI37"/>
    <mergeCell ref="AJ36:AJ37"/>
    <mergeCell ref="AI40:AI41"/>
    <mergeCell ref="AJ40:AJ41"/>
    <mergeCell ref="AK40:AK41"/>
    <mergeCell ref="AH34:AH35"/>
    <mergeCell ref="AI34:AI35"/>
    <mergeCell ref="AJ34:AJ35"/>
    <mergeCell ref="AK34:AK35"/>
    <mergeCell ref="F36:F37"/>
    <mergeCell ref="G36:G37"/>
    <mergeCell ref="I36:I37"/>
    <mergeCell ref="J36:J37"/>
    <mergeCell ref="K36:K37"/>
    <mergeCell ref="L36:L37"/>
    <mergeCell ref="AK32:AK33"/>
    <mergeCell ref="F34:F35"/>
    <mergeCell ref="G34:G35"/>
    <mergeCell ref="I34:I35"/>
    <mergeCell ref="J34:J35"/>
    <mergeCell ref="K34:K35"/>
    <mergeCell ref="L34:L35"/>
    <mergeCell ref="M34:M35"/>
    <mergeCell ref="N34:N35"/>
    <mergeCell ref="O34:O35"/>
    <mergeCell ref="M32:M33"/>
    <mergeCell ref="N32:N33"/>
    <mergeCell ref="O32:O33"/>
    <mergeCell ref="AH32:AH33"/>
    <mergeCell ref="AI32:AI33"/>
    <mergeCell ref="AJ32:AJ33"/>
    <mergeCell ref="P32:P33"/>
    <mergeCell ref="Q32:Q33"/>
    <mergeCell ref="F32:F33"/>
    <mergeCell ref="G32:G33"/>
    <mergeCell ref="I32:I33"/>
    <mergeCell ref="J32:J33"/>
    <mergeCell ref="K32:K33"/>
    <mergeCell ref="L32:L33"/>
    <mergeCell ref="N30:N31"/>
    <mergeCell ref="O30:O31"/>
    <mergeCell ref="AH30:AH31"/>
    <mergeCell ref="AI30:AI31"/>
    <mergeCell ref="AJ30:AJ31"/>
    <mergeCell ref="AK30:AK31"/>
    <mergeCell ref="AI28:AI29"/>
    <mergeCell ref="AJ28:AJ29"/>
    <mergeCell ref="AK28:AK29"/>
    <mergeCell ref="F30:F31"/>
    <mergeCell ref="G30:G31"/>
    <mergeCell ref="I30:I31"/>
    <mergeCell ref="J30:J31"/>
    <mergeCell ref="K30:K31"/>
    <mergeCell ref="L30:L31"/>
    <mergeCell ref="M30:M31"/>
    <mergeCell ref="F28:F29"/>
    <mergeCell ref="G28:G29"/>
    <mergeCell ref="I28:I29"/>
    <mergeCell ref="J28:J29"/>
    <mergeCell ref="K28:K29"/>
    <mergeCell ref="L28:L29"/>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2:A63"/>
    <mergeCell ref="B62:B63"/>
    <mergeCell ref="C62:C63"/>
    <mergeCell ref="D62:D63"/>
    <mergeCell ref="E62:E63"/>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4:A35"/>
    <mergeCell ref="B34:B35"/>
    <mergeCell ref="C34:C35"/>
    <mergeCell ref="D34:D35"/>
    <mergeCell ref="E34:E35"/>
    <mergeCell ref="A36:A37"/>
    <mergeCell ref="B36:B37"/>
    <mergeCell ref="C36:C37"/>
    <mergeCell ref="D36:D37"/>
    <mergeCell ref="E36:E37"/>
    <mergeCell ref="C30:C31"/>
    <mergeCell ref="D30:D31"/>
    <mergeCell ref="E30:E31"/>
    <mergeCell ref="A32:A33"/>
    <mergeCell ref="B32:B33"/>
    <mergeCell ref="C32:C33"/>
    <mergeCell ref="D32:D33"/>
    <mergeCell ref="E32:E33"/>
    <mergeCell ref="A28:A29"/>
    <mergeCell ref="B28:B29"/>
    <mergeCell ref="C28:C29"/>
    <mergeCell ref="D28:D29"/>
    <mergeCell ref="E28:E29"/>
    <mergeCell ref="A30:A31"/>
    <mergeCell ref="B30:B31"/>
    <mergeCell ref="AJ26:AJ27"/>
    <mergeCell ref="AK26:AK27"/>
    <mergeCell ref="M28:M29"/>
    <mergeCell ref="N28:N29"/>
    <mergeCell ref="O28:O29"/>
    <mergeCell ref="AH28:AH29"/>
    <mergeCell ref="L26:L27"/>
    <mergeCell ref="M26:M27"/>
    <mergeCell ref="N26:N27"/>
    <mergeCell ref="O26:O27"/>
    <mergeCell ref="AH26:AH27"/>
    <mergeCell ref="AI26:AI27"/>
    <mergeCell ref="F26:F27"/>
    <mergeCell ref="G26:G27"/>
    <mergeCell ref="H26:H27"/>
    <mergeCell ref="I26:I27"/>
    <mergeCell ref="J26:J27"/>
    <mergeCell ref="K26:K27"/>
    <mergeCell ref="O24:O25"/>
    <mergeCell ref="AH24:AH25"/>
    <mergeCell ref="AI24:AI25"/>
    <mergeCell ref="AJ24:AJ25"/>
    <mergeCell ref="AK24:AK25"/>
    <mergeCell ref="A26:A27"/>
    <mergeCell ref="B26:B27"/>
    <mergeCell ref="C26:C27"/>
    <mergeCell ref="D26:D27"/>
    <mergeCell ref="E26:E27"/>
    <mergeCell ref="I24:I25"/>
    <mergeCell ref="J24:J25"/>
    <mergeCell ref="K24:K25"/>
    <mergeCell ref="L24:L25"/>
    <mergeCell ref="M24:M25"/>
    <mergeCell ref="N24:N25"/>
    <mergeCell ref="AJ22:AJ23"/>
    <mergeCell ref="AK22:AK23"/>
    <mergeCell ref="A24:A25"/>
    <mergeCell ref="B24:B25"/>
    <mergeCell ref="C24:C25"/>
    <mergeCell ref="D24:D25"/>
    <mergeCell ref="E24:E25"/>
    <mergeCell ref="F24:F25"/>
    <mergeCell ref="G24:G25"/>
    <mergeCell ref="H24:H25"/>
    <mergeCell ref="L22:L23"/>
    <mergeCell ref="M22:M23"/>
    <mergeCell ref="N22:N23"/>
    <mergeCell ref="O22:O23"/>
    <mergeCell ref="AH22:AH23"/>
    <mergeCell ref="AI22:AI23"/>
    <mergeCell ref="F22:F23"/>
    <mergeCell ref="G22:G23"/>
    <mergeCell ref="H22:H23"/>
    <mergeCell ref="I22:I23"/>
    <mergeCell ref="J22:J23"/>
    <mergeCell ref="K22:K23"/>
    <mergeCell ref="O20:O21"/>
    <mergeCell ref="AH20:AH21"/>
    <mergeCell ref="AI20:AI21"/>
    <mergeCell ref="AJ20:AJ21"/>
    <mergeCell ref="AK20:AK21"/>
    <mergeCell ref="A22:A23"/>
    <mergeCell ref="B22:B23"/>
    <mergeCell ref="C22:C23"/>
    <mergeCell ref="D22:D23"/>
    <mergeCell ref="E22:E23"/>
    <mergeCell ref="I20:I21"/>
    <mergeCell ref="J20:J21"/>
    <mergeCell ref="K20:K21"/>
    <mergeCell ref="L20:L21"/>
    <mergeCell ref="M20:M21"/>
    <mergeCell ref="N20:N21"/>
    <mergeCell ref="A20:A21"/>
    <mergeCell ref="B20:B21"/>
    <mergeCell ref="C20:C21"/>
    <mergeCell ref="D20:D21"/>
    <mergeCell ref="E20:E21"/>
    <mergeCell ref="F20:F21"/>
    <mergeCell ref="G20:G21"/>
    <mergeCell ref="H20:H21"/>
    <mergeCell ref="N18:N19"/>
    <mergeCell ref="O18:O19"/>
    <mergeCell ref="AH18:AH19"/>
    <mergeCell ref="AI18:AI19"/>
    <mergeCell ref="A18:A19"/>
    <mergeCell ref="B18:B19"/>
    <mergeCell ref="C18:C19"/>
    <mergeCell ref="D18:D19"/>
    <mergeCell ref="E18:E19"/>
    <mergeCell ref="A16:A17"/>
    <mergeCell ref="B16:B17"/>
    <mergeCell ref="C16:C17"/>
    <mergeCell ref="D16:D17"/>
    <mergeCell ref="E16:E17"/>
    <mergeCell ref="F16:F17"/>
    <mergeCell ref="G16:G17"/>
    <mergeCell ref="H16:H17"/>
    <mergeCell ref="J16:J17"/>
    <mergeCell ref="K16:K17"/>
    <mergeCell ref="L16:L17"/>
    <mergeCell ref="M16:M17"/>
    <mergeCell ref="N16:N17"/>
    <mergeCell ref="AJ14:AJ15"/>
    <mergeCell ref="A14:A15"/>
    <mergeCell ref="B14:B15"/>
    <mergeCell ref="C14:C15"/>
    <mergeCell ref="D14:D15"/>
    <mergeCell ref="E14:E15"/>
    <mergeCell ref="AJ18:AJ19"/>
    <mergeCell ref="AK14:AK15"/>
    <mergeCell ref="L14:L15"/>
    <mergeCell ref="M14:M15"/>
    <mergeCell ref="N14:N15"/>
    <mergeCell ref="O14:O15"/>
    <mergeCell ref="AH14:AH15"/>
    <mergeCell ref="AI14:AI15"/>
    <mergeCell ref="F14:F15"/>
    <mergeCell ref="G14:G15"/>
    <mergeCell ref="H14:H15"/>
    <mergeCell ref="I14:I15"/>
    <mergeCell ref="F18:F19"/>
    <mergeCell ref="G18:G19"/>
    <mergeCell ref="H18:H19"/>
    <mergeCell ref="I18:I19"/>
    <mergeCell ref="J18:J19"/>
    <mergeCell ref="K18:K19"/>
    <mergeCell ref="O16:O17"/>
    <mergeCell ref="AH16:AH17"/>
    <mergeCell ref="AI16:AI17"/>
    <mergeCell ref="AJ16:AJ17"/>
    <mergeCell ref="AK16:AK17"/>
    <mergeCell ref="I16:I17"/>
    <mergeCell ref="L18:L19"/>
    <mergeCell ref="M18:M19"/>
    <mergeCell ref="AK18:AK19"/>
    <mergeCell ref="A1:C3"/>
    <mergeCell ref="D1:AK3"/>
    <mergeCell ref="A4:A5"/>
    <mergeCell ref="G4:G5"/>
    <mergeCell ref="A6:B10"/>
    <mergeCell ref="C6:D10"/>
    <mergeCell ref="E6:F10"/>
    <mergeCell ref="G6:G10"/>
    <mergeCell ref="H6:I10"/>
    <mergeCell ref="J6:J10"/>
    <mergeCell ref="K12:K13"/>
    <mergeCell ref="L12:L13"/>
    <mergeCell ref="A12:A13"/>
    <mergeCell ref="B12:B13"/>
    <mergeCell ref="C12:C13"/>
    <mergeCell ref="D12:D13"/>
    <mergeCell ref="E12:E13"/>
    <mergeCell ref="F12:F13"/>
    <mergeCell ref="AC6:AF10"/>
    <mergeCell ref="AG6:AH10"/>
    <mergeCell ref="AI12:AI13"/>
    <mergeCell ref="AJ12:AJ13"/>
    <mergeCell ref="AK12:AK13"/>
    <mergeCell ref="AI6:AI10"/>
    <mergeCell ref="AJ6:AJ10"/>
    <mergeCell ref="A11:F11"/>
    <mergeCell ref="R11:AG11"/>
    <mergeCell ref="AH11:AK11"/>
    <mergeCell ref="K6:L10"/>
    <mergeCell ref="M6:M10"/>
    <mergeCell ref="R6:T10"/>
    <mergeCell ref="U6:X10"/>
    <mergeCell ref="Y6:AB10"/>
    <mergeCell ref="AG12:AG13"/>
    <mergeCell ref="AH12:AH13"/>
    <mergeCell ref="M12:M13"/>
    <mergeCell ref="N12:N13"/>
    <mergeCell ref="O12:O13"/>
    <mergeCell ref="R12:R13"/>
    <mergeCell ref="S12:S13"/>
    <mergeCell ref="T12:T13"/>
    <mergeCell ref="G12:G13"/>
    <mergeCell ref="H12:H13"/>
    <mergeCell ref="I12:I13"/>
    <mergeCell ref="J12:J13"/>
    <mergeCell ref="G11:Q11"/>
    <mergeCell ref="N6:Q10"/>
    <mergeCell ref="J14:J15"/>
    <mergeCell ref="K14:K15"/>
    <mergeCell ref="AA12:AA13"/>
    <mergeCell ref="AB12:AB13"/>
    <mergeCell ref="AC12:AC13"/>
    <mergeCell ref="AD12:AD13"/>
    <mergeCell ref="AE12:AE13"/>
    <mergeCell ref="AF12:AF13"/>
    <mergeCell ref="U12:U13"/>
    <mergeCell ref="V12:V13"/>
    <mergeCell ref="W12:W13"/>
    <mergeCell ref="X12:X13"/>
    <mergeCell ref="Y12:Y13"/>
    <mergeCell ref="Z12:Z13"/>
  </mergeCells>
  <conditionalFormatting sqref="I4">
    <cfRule type="cellIs" dxfId="66" priority="16" operator="lessThanOrEqual">
      <formula>$C$4</formula>
    </cfRule>
  </conditionalFormatting>
  <conditionalFormatting sqref="J6 T14:T111">
    <cfRule type="cellIs" dxfId="65" priority="17" operator="greaterThanOrEqual">
      <formula>$C$5</formula>
    </cfRule>
    <cfRule type="cellIs" dxfId="64" priority="18" operator="lessThanOrEqual">
      <formula>$C$4</formula>
    </cfRule>
    <cfRule type="cellIs" dxfId="63" priority="19" operator="between">
      <formula>$C$5</formula>
      <formula>$C$4</formula>
    </cfRule>
  </conditionalFormatting>
  <conditionalFormatting sqref="R6">
    <cfRule type="cellIs" dxfId="62" priority="13" operator="greaterThanOrEqual">
      <formula>$I$5</formula>
    </cfRule>
    <cfRule type="cellIs" dxfId="61" priority="14" operator="lessThanOrEqual">
      <formula>$I$4</formula>
    </cfRule>
    <cfRule type="cellIs" dxfId="60" priority="15" operator="between">
      <formula>$I$5</formula>
      <formula>$I$4</formula>
    </cfRule>
  </conditionalFormatting>
  <conditionalFormatting sqref="Y6">
    <cfRule type="cellIs" dxfId="59" priority="7" operator="greaterThanOrEqual">
      <formula>$I$5</formula>
    </cfRule>
    <cfRule type="cellIs" dxfId="58" priority="8" operator="lessThanOrEqual">
      <formula>$I$4</formula>
    </cfRule>
    <cfRule type="cellIs" dxfId="57" priority="9" operator="between">
      <formula>$I$5</formula>
      <formula>$I$4</formula>
    </cfRule>
  </conditionalFormatting>
  <conditionalFormatting sqref="AG6">
    <cfRule type="cellIs" dxfId="56" priority="4" operator="greaterThanOrEqual">
      <formula>$I$5</formula>
    </cfRule>
    <cfRule type="cellIs" dxfId="55" priority="5" operator="lessThanOrEqual">
      <formula>$I$4</formula>
    </cfRule>
    <cfRule type="cellIs" dxfId="54" priority="6" operator="between">
      <formula>$I$5</formula>
      <formula>$I$4</formula>
    </cfRule>
  </conditionalFormatting>
  <conditionalFormatting sqref="AJ6">
    <cfRule type="cellIs" dxfId="53" priority="1" operator="greaterThanOrEqual">
      <formula>$I$5</formula>
    </cfRule>
    <cfRule type="cellIs" dxfId="52" priority="2" operator="lessThanOrEqual">
      <formula>$I$4</formula>
    </cfRule>
    <cfRule type="cellIs" dxfId="51" priority="3" operator="between">
      <formula>$I$5</formula>
      <formula>$I$4</formula>
    </cfRule>
  </conditionalFormatting>
  <dataValidations count="4">
    <dataValidation type="decimal" allowBlank="1" showInputMessage="1" showErrorMessage="1" prompt="% de avance en la actividad - indique el % programado de avance durante esta semana_x000a_" sqref="U14:W23 X62:AG62 X14:AA35 V37:AG37 V39 W38:AG39 V60 V40:AG59 X60:AG60 V61:AG61 V62 U25:U111 V25:W35 V36:AA36 AB14:AG36 V63:AG111" xr:uid="{3D26D235-6DEB-4658-ACD2-58B29B926DF1}">
      <formula1>0</formula1>
      <formula2>1</formula2>
    </dataValidation>
    <dataValidation type="decimal" allowBlank="1" showInputMessage="1" showErrorMessage="1" prompt="campo calculado  - indica el % de avance  que aporta la activadad a todo el proyecto" sqref="S21 S19 S17 S15 S109 S25 S23 S107 S27 S29 S31 S33 S35 S37 S39 S41 S43 S45 S47 S49 S51 S53 S55 S57 S59 S61 S63 S65 S67 S69 S71 S73 S75 S77 S79 S81 S83 S85 S87 S89 S91 S93 S95 S97 S99 S101 S103 S105 S111" xr:uid="{9805FBE6-07B9-488D-86A6-D547000F6BC2}">
      <formula1>0</formula1>
      <formula2>1</formula2>
    </dataValidation>
    <dataValidation type="decimal" allowBlank="1" showInputMessage="1" showErrorMessage="1" prompt="valor porcentual de la activida - Indique el peso porcentual de la actividad dentro del proyecto" sqref="S14 S22 S18 S16 S20 S26 S24 S108 S28 S30 S32 S34 S36 S38 S40 S42 S44 S46 S48 S50 S52 S54 S56 S58 S60 S62 S64 S66 S68 S70 S72 S74 S76 S78 S80 S82 S84 S86 S88 S90 S92 S94 S96 S98 S100 S102 S104 S106 S110" xr:uid="{1FCCBE25-3ED1-412D-99D4-C303D09A2096}">
      <formula1>0</formula1>
      <formula2>1</formula2>
    </dataValidation>
    <dataValidation allowBlank="1" showErrorMessage="1" sqref="T14:T111" xr:uid="{4A1F63CC-23A9-4C82-AB9F-59CC5AC82840}"/>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9476-1993-4393-BAC7-AF45F5018B0D}">
  <dimension ref="A1:AL90"/>
  <sheetViews>
    <sheetView topLeftCell="P38" zoomScale="40" zoomScaleNormal="40" workbookViewId="0">
      <pane ySplit="1" topLeftCell="A39" activePane="bottomLeft" state="frozen"/>
      <selection activeCell="P38" sqref="P38"/>
      <selection pane="bottomLeft" activeCell="X45" sqref="X45:X46"/>
    </sheetView>
  </sheetViews>
  <sheetFormatPr baseColWidth="10" defaultColWidth="11.453125" defaultRowHeight="14.5" x14ac:dyDescent="0.35"/>
  <cols>
    <col min="1" max="1" width="14.7265625" style="80" hidden="1" customWidth="1"/>
    <col min="2" max="3" width="30.453125" style="80" hidden="1" customWidth="1"/>
    <col min="4" max="5" width="30.453125" style="80" customWidth="1"/>
    <col min="6" max="6" width="41.26953125" style="80" customWidth="1"/>
    <col min="7" max="8" width="38.7265625" style="80" customWidth="1"/>
    <col min="9" max="9" width="52.7265625" style="80" customWidth="1"/>
    <col min="10" max="11" width="30.453125" style="80" customWidth="1"/>
    <col min="12" max="13" width="25.7265625" style="80" customWidth="1"/>
    <col min="14" max="14" width="26.7265625" style="80" customWidth="1"/>
    <col min="15" max="15" width="20.26953125" style="80" customWidth="1"/>
    <col min="16" max="18" width="30.453125" style="80" customWidth="1"/>
    <col min="19" max="20" width="25.54296875" style="80" customWidth="1"/>
    <col min="21" max="21" width="70.54296875" style="80" customWidth="1"/>
    <col min="22" max="23" width="25.54296875" style="80" customWidth="1"/>
    <col min="24" max="24" width="70.54296875" style="80" customWidth="1"/>
    <col min="25" max="26" width="25.54296875" style="80" customWidth="1"/>
    <col min="27" max="27" width="70.54296875" style="80" customWidth="1"/>
    <col min="28" max="28" width="20.54296875" style="80" customWidth="1"/>
    <col min="29" max="30" width="11.453125" style="80"/>
    <col min="31" max="36" width="23.6328125" style="80" customWidth="1"/>
    <col min="37" max="16384" width="11.453125" style="80"/>
  </cols>
  <sheetData>
    <row r="1" spans="1:38" ht="14.65" hidden="1" customHeight="1" x14ac:dyDescent="0.35">
      <c r="A1" s="82"/>
      <c r="B1" s="83"/>
      <c r="C1" s="517"/>
      <c r="D1" s="517"/>
      <c r="E1" s="517"/>
      <c r="F1" s="497" t="s">
        <v>1206</v>
      </c>
      <c r="G1" s="498"/>
      <c r="H1" s="498"/>
      <c r="I1" s="498"/>
      <c r="J1" s="498"/>
      <c r="K1" s="498"/>
      <c r="L1" s="498"/>
      <c r="M1" s="498"/>
      <c r="N1" s="498"/>
      <c r="O1" s="498"/>
      <c r="P1" s="498"/>
      <c r="Q1" s="498"/>
      <c r="R1" s="498"/>
      <c r="S1" s="498"/>
      <c r="T1" s="498"/>
      <c r="U1" s="498"/>
      <c r="V1" s="498"/>
      <c r="W1" s="498"/>
      <c r="X1" s="498"/>
      <c r="Y1" s="498"/>
      <c r="Z1" s="498"/>
      <c r="AA1" s="498"/>
      <c r="AB1" s="499"/>
      <c r="AC1" s="520"/>
      <c r="AD1" s="521"/>
      <c r="AE1" s="85"/>
      <c r="AF1" s="85"/>
      <c r="AG1" s="85"/>
      <c r="AH1" s="85"/>
      <c r="AI1" s="85"/>
      <c r="AJ1" s="85"/>
      <c r="AK1" s="85"/>
      <c r="AL1" s="85"/>
    </row>
    <row r="2" spans="1:38" ht="14.65" hidden="1" customHeight="1" x14ac:dyDescent="0.35">
      <c r="A2" s="84"/>
      <c r="B2" s="85"/>
      <c r="C2" s="518"/>
      <c r="D2" s="518"/>
      <c r="E2" s="518"/>
      <c r="F2" s="439"/>
      <c r="G2" s="440"/>
      <c r="H2" s="440"/>
      <c r="I2" s="440"/>
      <c r="J2" s="440"/>
      <c r="K2" s="440"/>
      <c r="L2" s="440"/>
      <c r="M2" s="440"/>
      <c r="N2" s="440"/>
      <c r="O2" s="440"/>
      <c r="P2" s="440"/>
      <c r="Q2" s="440"/>
      <c r="R2" s="440"/>
      <c r="S2" s="440"/>
      <c r="T2" s="440"/>
      <c r="U2" s="440"/>
      <c r="V2" s="440"/>
      <c r="W2" s="440"/>
      <c r="X2" s="440"/>
      <c r="Y2" s="440"/>
      <c r="Z2" s="440"/>
      <c r="AA2" s="440"/>
      <c r="AB2" s="500"/>
      <c r="AC2" s="86"/>
      <c r="AD2" s="86"/>
      <c r="AE2" s="86"/>
      <c r="AF2" s="85"/>
      <c r="AG2" s="85"/>
      <c r="AH2" s="85"/>
      <c r="AI2" s="85"/>
      <c r="AJ2" s="85"/>
      <c r="AK2" s="85"/>
      <c r="AL2" s="85"/>
    </row>
    <row r="3" spans="1:38" ht="14.65" hidden="1" customHeight="1" x14ac:dyDescent="0.35">
      <c r="A3" s="84"/>
      <c r="B3" s="85"/>
      <c r="C3" s="518"/>
      <c r="D3" s="518"/>
      <c r="E3" s="518"/>
      <c r="F3" s="439"/>
      <c r="G3" s="440"/>
      <c r="H3" s="440"/>
      <c r="I3" s="440"/>
      <c r="J3" s="440"/>
      <c r="K3" s="440"/>
      <c r="L3" s="440"/>
      <c r="M3" s="440"/>
      <c r="N3" s="440"/>
      <c r="O3" s="440"/>
      <c r="P3" s="440"/>
      <c r="Q3" s="440"/>
      <c r="R3" s="440"/>
      <c r="S3" s="440"/>
      <c r="T3" s="440"/>
      <c r="U3" s="440"/>
      <c r="V3" s="440"/>
      <c r="W3" s="440"/>
      <c r="X3" s="440"/>
      <c r="Y3" s="440"/>
      <c r="Z3" s="440"/>
      <c r="AA3" s="440"/>
      <c r="AB3" s="500"/>
      <c r="AC3" s="86"/>
      <c r="AD3" s="86"/>
      <c r="AE3" s="86"/>
      <c r="AF3" s="85"/>
      <c r="AG3" s="85"/>
      <c r="AH3" s="85"/>
      <c r="AI3" s="85"/>
      <c r="AJ3" s="85"/>
      <c r="AK3" s="85"/>
      <c r="AL3" s="85"/>
    </row>
    <row r="4" spans="1:38" ht="14.65" hidden="1" customHeight="1" x14ac:dyDescent="0.35">
      <c r="A4" s="84"/>
      <c r="B4" s="85"/>
      <c r="C4" s="518"/>
      <c r="D4" s="518"/>
      <c r="E4" s="518"/>
      <c r="F4" s="439"/>
      <c r="G4" s="440"/>
      <c r="H4" s="440"/>
      <c r="I4" s="440"/>
      <c r="J4" s="440"/>
      <c r="K4" s="440"/>
      <c r="L4" s="440"/>
      <c r="M4" s="440"/>
      <c r="N4" s="440"/>
      <c r="O4" s="440"/>
      <c r="P4" s="440"/>
      <c r="Q4" s="440"/>
      <c r="R4" s="440"/>
      <c r="S4" s="440"/>
      <c r="T4" s="440"/>
      <c r="U4" s="440"/>
      <c r="V4" s="440"/>
      <c r="W4" s="440"/>
      <c r="X4" s="440"/>
      <c r="Y4" s="440"/>
      <c r="Z4" s="440"/>
      <c r="AA4" s="440"/>
      <c r="AB4" s="500"/>
      <c r="AC4" s="86"/>
      <c r="AD4" s="86"/>
      <c r="AE4" s="86"/>
      <c r="AF4" s="85"/>
      <c r="AG4" s="85"/>
      <c r="AH4" s="85"/>
      <c r="AI4" s="85"/>
      <c r="AJ4" s="85"/>
      <c r="AK4" s="85"/>
      <c r="AL4" s="85"/>
    </row>
    <row r="5" spans="1:38" ht="14.65" hidden="1" customHeight="1" x14ac:dyDescent="0.35">
      <c r="A5" s="84"/>
      <c r="B5" s="85"/>
      <c r="C5" s="518"/>
      <c r="D5" s="518"/>
      <c r="E5" s="518"/>
      <c r="F5" s="439"/>
      <c r="G5" s="440"/>
      <c r="H5" s="440"/>
      <c r="I5" s="440"/>
      <c r="J5" s="440"/>
      <c r="K5" s="440"/>
      <c r="L5" s="440"/>
      <c r="M5" s="440"/>
      <c r="N5" s="440"/>
      <c r="O5" s="440"/>
      <c r="P5" s="440"/>
      <c r="Q5" s="440"/>
      <c r="R5" s="440"/>
      <c r="S5" s="440"/>
      <c r="T5" s="440"/>
      <c r="U5" s="440"/>
      <c r="V5" s="440"/>
      <c r="W5" s="440"/>
      <c r="X5" s="440"/>
      <c r="Y5" s="440"/>
      <c r="Z5" s="440"/>
      <c r="AA5" s="440"/>
      <c r="AB5" s="500"/>
      <c r="AC5" s="86"/>
      <c r="AD5" s="86"/>
      <c r="AE5" s="86"/>
      <c r="AF5" s="85"/>
      <c r="AG5" s="85"/>
      <c r="AH5" s="85"/>
      <c r="AI5" s="85"/>
      <c r="AJ5" s="85"/>
      <c r="AK5" s="85"/>
      <c r="AL5" s="85"/>
    </row>
    <row r="6" spans="1:38" ht="14.65" hidden="1" customHeight="1" x14ac:dyDescent="0.35">
      <c r="A6" s="84"/>
      <c r="B6" s="85"/>
      <c r="C6" s="518"/>
      <c r="D6" s="518"/>
      <c r="E6" s="518"/>
      <c r="F6" s="439"/>
      <c r="G6" s="440"/>
      <c r="H6" s="440"/>
      <c r="I6" s="440"/>
      <c r="J6" s="440"/>
      <c r="K6" s="440"/>
      <c r="L6" s="440"/>
      <c r="M6" s="440"/>
      <c r="N6" s="440"/>
      <c r="O6" s="440"/>
      <c r="P6" s="440"/>
      <c r="Q6" s="440"/>
      <c r="R6" s="440"/>
      <c r="S6" s="440"/>
      <c r="T6" s="440"/>
      <c r="U6" s="440"/>
      <c r="V6" s="440"/>
      <c r="W6" s="440"/>
      <c r="X6" s="440"/>
      <c r="Y6" s="440"/>
      <c r="Z6" s="440"/>
      <c r="AA6" s="440"/>
      <c r="AB6" s="500"/>
      <c r="AC6" s="86"/>
      <c r="AD6" s="86"/>
      <c r="AE6" s="86"/>
      <c r="AF6" s="85"/>
      <c r="AG6" s="85"/>
      <c r="AH6" s="85"/>
      <c r="AI6" s="85"/>
      <c r="AJ6" s="85"/>
      <c r="AK6" s="85"/>
      <c r="AL6" s="85"/>
    </row>
    <row r="7" spans="1:38" ht="14.65" hidden="1" customHeight="1" x14ac:dyDescent="0.35">
      <c r="A7" s="84"/>
      <c r="B7" s="85"/>
      <c r="C7" s="518"/>
      <c r="D7" s="518"/>
      <c r="E7" s="518"/>
      <c r="F7" s="439"/>
      <c r="G7" s="440"/>
      <c r="H7" s="440"/>
      <c r="I7" s="440"/>
      <c r="J7" s="440"/>
      <c r="K7" s="440"/>
      <c r="L7" s="440"/>
      <c r="M7" s="440"/>
      <c r="N7" s="440"/>
      <c r="O7" s="440"/>
      <c r="P7" s="440"/>
      <c r="Q7" s="440"/>
      <c r="R7" s="440"/>
      <c r="S7" s="440"/>
      <c r="T7" s="440"/>
      <c r="U7" s="440"/>
      <c r="V7" s="440"/>
      <c r="W7" s="440"/>
      <c r="X7" s="440"/>
      <c r="Y7" s="440"/>
      <c r="Z7" s="440"/>
      <c r="AA7" s="440"/>
      <c r="AB7" s="500"/>
      <c r="AC7" s="86"/>
      <c r="AD7" s="86"/>
      <c r="AE7" s="86"/>
      <c r="AF7" s="85"/>
      <c r="AG7" s="85"/>
      <c r="AH7" s="85"/>
      <c r="AI7" s="85"/>
      <c r="AJ7" s="85"/>
      <c r="AK7" s="85"/>
      <c r="AL7" s="85"/>
    </row>
    <row r="8" spans="1:38" ht="14.65" hidden="1" customHeight="1" x14ac:dyDescent="0.35">
      <c r="A8" s="84"/>
      <c r="B8" s="85"/>
      <c r="C8" s="518"/>
      <c r="D8" s="518"/>
      <c r="E8" s="518"/>
      <c r="F8" s="439"/>
      <c r="G8" s="440"/>
      <c r="H8" s="440"/>
      <c r="I8" s="440"/>
      <c r="J8" s="440"/>
      <c r="K8" s="440"/>
      <c r="L8" s="440"/>
      <c r="M8" s="440"/>
      <c r="N8" s="440"/>
      <c r="O8" s="440"/>
      <c r="P8" s="440"/>
      <c r="Q8" s="440"/>
      <c r="R8" s="440"/>
      <c r="S8" s="440"/>
      <c r="T8" s="440"/>
      <c r="U8" s="440"/>
      <c r="V8" s="440"/>
      <c r="W8" s="440"/>
      <c r="X8" s="440"/>
      <c r="Y8" s="440"/>
      <c r="Z8" s="440"/>
      <c r="AA8" s="440"/>
      <c r="AB8" s="500"/>
      <c r="AC8" s="86"/>
      <c r="AD8" s="86"/>
      <c r="AE8" s="86"/>
      <c r="AF8" s="85"/>
      <c r="AG8" s="85"/>
      <c r="AH8" s="85"/>
      <c r="AI8" s="85"/>
      <c r="AJ8" s="85"/>
      <c r="AK8" s="85"/>
      <c r="AL8" s="85"/>
    </row>
    <row r="9" spans="1:38" ht="14.65" hidden="1" customHeight="1" x14ac:dyDescent="0.35">
      <c r="A9" s="84"/>
      <c r="B9" s="85"/>
      <c r="C9" s="518"/>
      <c r="D9" s="518"/>
      <c r="E9" s="518"/>
      <c r="F9" s="501"/>
      <c r="G9" s="502"/>
      <c r="H9" s="502"/>
      <c r="I9" s="502"/>
      <c r="J9" s="502"/>
      <c r="K9" s="502"/>
      <c r="L9" s="502"/>
      <c r="M9" s="502"/>
      <c r="N9" s="502"/>
      <c r="O9" s="502"/>
      <c r="P9" s="502"/>
      <c r="Q9" s="502"/>
      <c r="R9" s="502"/>
      <c r="S9" s="502"/>
      <c r="T9" s="502"/>
      <c r="U9" s="502"/>
      <c r="V9" s="502"/>
      <c r="W9" s="502"/>
      <c r="X9" s="502"/>
      <c r="Y9" s="502"/>
      <c r="Z9" s="502"/>
      <c r="AA9" s="502"/>
      <c r="AB9" s="503"/>
      <c r="AC9" s="86"/>
      <c r="AD9" s="86"/>
      <c r="AE9" s="86"/>
      <c r="AF9" s="85"/>
      <c r="AG9" s="85"/>
      <c r="AH9" s="85"/>
      <c r="AI9" s="85"/>
      <c r="AJ9" s="85"/>
      <c r="AK9" s="85"/>
      <c r="AL9" s="85"/>
    </row>
    <row r="10" spans="1:38" ht="14.65" hidden="1" customHeight="1" x14ac:dyDescent="0.35">
      <c r="A10" s="84"/>
      <c r="B10" s="85"/>
      <c r="C10" s="518"/>
      <c r="D10" s="518"/>
      <c r="E10" s="518"/>
      <c r="F10" s="292" t="s">
        <v>28</v>
      </c>
      <c r="G10" s="292"/>
      <c r="H10" s="532" t="s">
        <v>29</v>
      </c>
      <c r="I10" s="533"/>
      <c r="J10" s="534"/>
      <c r="K10" s="526"/>
      <c r="L10" s="527"/>
      <c r="M10" s="527"/>
      <c r="N10" s="527"/>
      <c r="O10" s="527"/>
      <c r="P10" s="527"/>
      <c r="Q10" s="527"/>
      <c r="R10" s="527"/>
      <c r="S10" s="527"/>
      <c r="T10" s="527"/>
      <c r="U10" s="527"/>
      <c r="V10" s="527"/>
      <c r="W10" s="527"/>
      <c r="X10" s="527"/>
      <c r="Y10" s="527"/>
      <c r="Z10" s="527"/>
      <c r="AA10" s="527"/>
      <c r="AB10" s="528"/>
      <c r="AC10" s="86"/>
      <c r="AD10" s="86"/>
      <c r="AE10" s="86"/>
      <c r="AF10" s="85"/>
      <c r="AG10" s="85"/>
      <c r="AH10" s="85"/>
      <c r="AI10" s="85"/>
      <c r="AJ10" s="85"/>
      <c r="AK10" s="85"/>
      <c r="AL10" s="85"/>
    </row>
    <row r="11" spans="1:38" ht="14.65" hidden="1" customHeight="1" x14ac:dyDescent="0.35">
      <c r="A11" s="87"/>
      <c r="B11" s="88"/>
      <c r="C11" s="519"/>
      <c r="D11" s="519"/>
      <c r="E11" s="519"/>
      <c r="F11" s="292"/>
      <c r="G11" s="292"/>
      <c r="H11" s="535"/>
      <c r="I11" s="536"/>
      <c r="J11" s="537"/>
      <c r="K11" s="529"/>
      <c r="L11" s="530"/>
      <c r="M11" s="530"/>
      <c r="N11" s="530"/>
      <c r="O11" s="530"/>
      <c r="P11" s="530"/>
      <c r="Q11" s="530"/>
      <c r="R11" s="530"/>
      <c r="S11" s="530"/>
      <c r="T11" s="530"/>
      <c r="U11" s="530"/>
      <c r="V11" s="530"/>
      <c r="W11" s="530"/>
      <c r="X11" s="530"/>
      <c r="Y11" s="530"/>
      <c r="Z11" s="530"/>
      <c r="AA11" s="530"/>
      <c r="AB11" s="531"/>
      <c r="AC11" s="89"/>
      <c r="AD11" s="85"/>
      <c r="AE11" s="85"/>
      <c r="AF11" s="85"/>
      <c r="AG11" s="85"/>
      <c r="AH11" s="85"/>
      <c r="AI11" s="85"/>
      <c r="AJ11" s="85"/>
      <c r="AK11" s="85"/>
      <c r="AL11" s="85"/>
    </row>
    <row r="12" spans="1:38" ht="23.65" hidden="1" customHeight="1" x14ac:dyDescent="0.35">
      <c r="A12" s="90"/>
      <c r="B12" s="90"/>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4"/>
      <c r="AC12" s="521"/>
      <c r="AD12" s="521"/>
      <c r="AE12" s="85"/>
      <c r="AF12" s="85"/>
      <c r="AG12" s="85"/>
      <c r="AH12" s="85"/>
      <c r="AI12" s="85"/>
      <c r="AJ12" s="85"/>
      <c r="AK12" s="85"/>
      <c r="AL12" s="85"/>
    </row>
    <row r="13" spans="1:38" ht="18.649999999999999" hidden="1" customHeight="1" x14ac:dyDescent="0.35">
      <c r="A13" s="91"/>
      <c r="B13" s="91"/>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4"/>
      <c r="AC13" s="521"/>
      <c r="AD13" s="521"/>
      <c r="AE13" s="85"/>
      <c r="AF13" s="85"/>
      <c r="AG13" s="85"/>
      <c r="AH13" s="85"/>
      <c r="AI13" s="85"/>
      <c r="AJ13" s="85"/>
      <c r="AK13" s="85"/>
      <c r="AL13" s="85"/>
    </row>
    <row r="14" spans="1:38" ht="18.649999999999999" hidden="1" customHeight="1" x14ac:dyDescent="0.35">
      <c r="A14" s="91"/>
      <c r="B14" s="9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4"/>
      <c r="AC14" s="521"/>
      <c r="AD14" s="521"/>
      <c r="AE14" s="85"/>
      <c r="AF14" s="85"/>
      <c r="AG14" s="85"/>
      <c r="AH14" s="85"/>
      <c r="AI14" s="85"/>
      <c r="AJ14" s="85"/>
      <c r="AK14" s="85"/>
      <c r="AL14" s="85"/>
    </row>
    <row r="15" spans="1:38" ht="18.649999999999999" hidden="1" customHeight="1" x14ac:dyDescent="0.35">
      <c r="A15" s="91"/>
      <c r="B15" s="91"/>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4"/>
      <c r="AC15" s="521"/>
      <c r="AD15" s="521"/>
      <c r="AE15" s="85"/>
      <c r="AF15" s="85"/>
      <c r="AG15" s="85"/>
      <c r="AH15" s="85"/>
      <c r="AI15" s="85"/>
      <c r="AJ15" s="85"/>
      <c r="AK15" s="85"/>
      <c r="AL15" s="85"/>
    </row>
    <row r="16" spans="1:38" ht="18.649999999999999" hidden="1" customHeight="1" x14ac:dyDescent="0.35">
      <c r="A16" s="91"/>
      <c r="B16" s="91"/>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4"/>
      <c r="AC16" s="521"/>
      <c r="AD16" s="521"/>
      <c r="AE16" s="85"/>
      <c r="AF16" s="85"/>
      <c r="AG16" s="85"/>
      <c r="AH16" s="85"/>
      <c r="AI16" s="85"/>
      <c r="AJ16" s="85"/>
      <c r="AK16" s="85"/>
      <c r="AL16" s="85"/>
    </row>
    <row r="17" spans="1:38" ht="18.649999999999999" hidden="1" customHeight="1" x14ac:dyDescent="0.35">
      <c r="A17" s="91"/>
      <c r="B17" s="91"/>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4"/>
      <c r="AC17" s="521"/>
      <c r="AD17" s="521"/>
      <c r="AE17" s="85"/>
      <c r="AF17" s="85"/>
      <c r="AG17" s="85"/>
      <c r="AH17" s="85"/>
      <c r="AI17" s="85"/>
      <c r="AJ17" s="85"/>
      <c r="AK17" s="85"/>
      <c r="AL17" s="85"/>
    </row>
    <row r="18" spans="1:38" ht="18.649999999999999" hidden="1" customHeight="1" x14ac:dyDescent="0.35">
      <c r="A18" s="91"/>
      <c r="B18" s="91"/>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4"/>
      <c r="AC18" s="521"/>
      <c r="AD18" s="521"/>
      <c r="AE18" s="85"/>
      <c r="AF18" s="85"/>
      <c r="AG18" s="85"/>
      <c r="AH18" s="85"/>
      <c r="AI18" s="85"/>
      <c r="AJ18" s="85"/>
      <c r="AK18" s="85"/>
      <c r="AL18" s="85"/>
    </row>
    <row r="19" spans="1:38" ht="18.649999999999999" hidden="1" customHeight="1" x14ac:dyDescent="0.35">
      <c r="A19" s="91"/>
      <c r="B19" s="91"/>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4"/>
      <c r="AC19" s="521"/>
      <c r="AD19" s="521"/>
      <c r="AE19" s="85"/>
      <c r="AF19" s="85"/>
      <c r="AG19" s="85"/>
      <c r="AH19" s="85"/>
      <c r="AI19" s="85"/>
      <c r="AJ19" s="85"/>
      <c r="AK19" s="85"/>
      <c r="AL19" s="85"/>
    </row>
    <row r="20" spans="1:38" ht="18.649999999999999" hidden="1" customHeight="1" x14ac:dyDescent="0.35">
      <c r="A20" s="91"/>
      <c r="B20" s="91"/>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4"/>
      <c r="AC20" s="521"/>
      <c r="AD20" s="521"/>
      <c r="AE20" s="85"/>
      <c r="AF20" s="85"/>
      <c r="AG20" s="85"/>
      <c r="AH20" s="85"/>
      <c r="AI20" s="85"/>
      <c r="AJ20" s="85"/>
      <c r="AK20" s="85"/>
      <c r="AL20" s="85"/>
    </row>
    <row r="21" spans="1:38" ht="18.649999999999999" hidden="1" customHeight="1" x14ac:dyDescent="0.35">
      <c r="A21" s="91"/>
      <c r="B21" s="91"/>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1"/>
      <c r="AD21" s="521"/>
      <c r="AE21" s="85"/>
      <c r="AF21" s="85"/>
      <c r="AG21" s="85"/>
      <c r="AH21" s="85"/>
      <c r="AI21" s="85"/>
      <c r="AJ21" s="85"/>
      <c r="AK21" s="85"/>
      <c r="AL21" s="85"/>
    </row>
    <row r="22" spans="1:38" ht="18.649999999999999" hidden="1" customHeight="1" x14ac:dyDescent="0.35">
      <c r="A22" s="91"/>
      <c r="B22" s="91"/>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1"/>
      <c r="AD22" s="521"/>
      <c r="AE22" s="85"/>
      <c r="AF22" s="85"/>
      <c r="AG22" s="85"/>
      <c r="AH22" s="85"/>
      <c r="AI22" s="85"/>
      <c r="AJ22" s="85"/>
      <c r="AK22" s="85"/>
      <c r="AL22" s="85"/>
    </row>
    <row r="23" spans="1:38" ht="18.649999999999999" hidden="1" customHeight="1" x14ac:dyDescent="0.35">
      <c r="A23" s="91"/>
      <c r="B23" s="91"/>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1"/>
      <c r="AD23" s="521"/>
      <c r="AE23" s="85"/>
      <c r="AF23" s="85"/>
      <c r="AG23" s="85"/>
      <c r="AH23" s="85"/>
      <c r="AI23" s="85"/>
      <c r="AJ23" s="85"/>
      <c r="AK23" s="85"/>
      <c r="AL23" s="85"/>
    </row>
    <row r="24" spans="1:38" ht="18.649999999999999" hidden="1" customHeight="1" x14ac:dyDescent="0.35">
      <c r="A24" s="91"/>
      <c r="B24" s="91"/>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1"/>
      <c r="AD24" s="521"/>
      <c r="AE24" s="85"/>
      <c r="AF24" s="85"/>
      <c r="AG24" s="85"/>
      <c r="AH24" s="85"/>
      <c r="AI24" s="85"/>
      <c r="AJ24" s="85"/>
      <c r="AK24" s="85"/>
      <c r="AL24" s="85"/>
    </row>
    <row r="25" spans="1:38" ht="18.649999999999999" hidden="1" customHeight="1" x14ac:dyDescent="0.35">
      <c r="A25" s="91"/>
      <c r="B25" s="91"/>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1"/>
      <c r="AD25" s="521"/>
      <c r="AE25" s="85"/>
      <c r="AF25" s="85"/>
      <c r="AG25" s="85"/>
      <c r="AH25" s="85"/>
      <c r="AI25" s="85"/>
      <c r="AJ25" s="85"/>
      <c r="AK25" s="85"/>
      <c r="AL25" s="85"/>
    </row>
    <row r="26" spans="1:38" ht="18.649999999999999" hidden="1" customHeight="1" x14ac:dyDescent="0.35">
      <c r="A26" s="91"/>
      <c r="B26" s="91"/>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1"/>
      <c r="AD26" s="521"/>
      <c r="AE26" s="85"/>
      <c r="AF26" s="85"/>
      <c r="AG26" s="85"/>
      <c r="AH26" s="85"/>
      <c r="AI26" s="85"/>
      <c r="AJ26" s="85"/>
      <c r="AK26" s="85"/>
      <c r="AL26" s="85"/>
    </row>
    <row r="27" spans="1:38" ht="18.649999999999999" hidden="1" customHeight="1" x14ac:dyDescent="0.35">
      <c r="A27" s="520"/>
      <c r="B27" s="521"/>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1"/>
      <c r="AD27" s="521"/>
      <c r="AE27" s="85"/>
      <c r="AF27" s="85"/>
      <c r="AG27" s="85"/>
      <c r="AH27" s="85"/>
      <c r="AI27" s="85"/>
      <c r="AJ27" s="85"/>
      <c r="AK27" s="85"/>
      <c r="AL27" s="85"/>
    </row>
    <row r="28" spans="1:38" ht="18.649999999999999" hidden="1" customHeight="1" x14ac:dyDescent="0.35">
      <c r="A28" s="520"/>
      <c r="B28" s="521"/>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1"/>
      <c r="AD28" s="521"/>
      <c r="AE28" s="85"/>
      <c r="AF28" s="85"/>
      <c r="AG28" s="85"/>
      <c r="AH28" s="85"/>
      <c r="AI28" s="85"/>
      <c r="AJ28" s="85"/>
      <c r="AK28" s="85"/>
      <c r="AL28" s="85"/>
    </row>
    <row r="29" spans="1:38" ht="18.649999999999999" hidden="1" customHeight="1" x14ac:dyDescent="0.35">
      <c r="A29" s="520"/>
      <c r="B29" s="521"/>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1"/>
      <c r="AD29" s="521"/>
      <c r="AE29" s="85"/>
      <c r="AF29" s="85"/>
      <c r="AG29" s="85"/>
      <c r="AH29" s="85"/>
      <c r="AI29" s="85"/>
      <c r="AJ29" s="85"/>
      <c r="AK29" s="85"/>
      <c r="AL29" s="85"/>
    </row>
    <row r="30" spans="1:38" ht="18.649999999999999" hidden="1" customHeight="1" x14ac:dyDescent="0.35">
      <c r="A30" s="520"/>
      <c r="B30" s="521"/>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1"/>
      <c r="AD30" s="521"/>
      <c r="AE30" s="85"/>
      <c r="AF30" s="85"/>
      <c r="AG30" s="85"/>
      <c r="AH30" s="85"/>
      <c r="AI30" s="85"/>
      <c r="AJ30" s="85"/>
      <c r="AK30" s="85"/>
      <c r="AL30" s="85"/>
    </row>
    <row r="31" spans="1:38" ht="18.649999999999999" hidden="1" customHeight="1" x14ac:dyDescent="0.35">
      <c r="A31" s="520"/>
      <c r="B31" s="521"/>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1"/>
      <c r="AD31" s="521"/>
      <c r="AE31" s="85"/>
      <c r="AF31" s="85"/>
      <c r="AG31" s="85"/>
      <c r="AH31" s="85"/>
      <c r="AI31" s="85"/>
      <c r="AJ31" s="85"/>
      <c r="AK31" s="85"/>
      <c r="AL31" s="85"/>
    </row>
    <row r="32" spans="1:38" ht="18.649999999999999" hidden="1" customHeight="1" x14ac:dyDescent="0.35">
      <c r="A32" s="520"/>
      <c r="B32" s="521"/>
      <c r="C32" s="522"/>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4"/>
      <c r="AC32" s="521"/>
      <c r="AD32" s="521"/>
      <c r="AE32" s="85"/>
      <c r="AF32" s="85"/>
      <c r="AG32" s="85"/>
      <c r="AH32" s="85"/>
      <c r="AI32" s="85"/>
      <c r="AJ32" s="85"/>
      <c r="AK32" s="85"/>
      <c r="AL32" s="85"/>
    </row>
    <row r="33" spans="1:38" ht="18.649999999999999" hidden="1" customHeight="1" x14ac:dyDescent="0.35">
      <c r="A33" s="520"/>
      <c r="B33" s="521"/>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4"/>
      <c r="AC33" s="521"/>
      <c r="AD33" s="521"/>
      <c r="AE33" s="85"/>
      <c r="AF33" s="85"/>
      <c r="AG33" s="85"/>
      <c r="AH33" s="85"/>
      <c r="AI33" s="85"/>
      <c r="AJ33" s="85"/>
      <c r="AK33" s="85"/>
      <c r="AL33" s="85"/>
    </row>
    <row r="34" spans="1:38" ht="18.649999999999999" hidden="1" customHeight="1" x14ac:dyDescent="0.35">
      <c r="A34" s="520"/>
      <c r="B34" s="521"/>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4"/>
      <c r="AC34" s="521"/>
      <c r="AD34" s="521"/>
      <c r="AE34" s="85"/>
      <c r="AF34" s="85"/>
      <c r="AG34" s="85"/>
      <c r="AH34" s="85"/>
      <c r="AI34" s="85"/>
      <c r="AJ34" s="85"/>
      <c r="AK34" s="85"/>
      <c r="AL34" s="85"/>
    </row>
    <row r="35" spans="1:38" ht="18.649999999999999" hidden="1" customHeight="1" x14ac:dyDescent="0.35">
      <c r="A35" s="520"/>
      <c r="B35" s="521"/>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4"/>
      <c r="AC35" s="521"/>
      <c r="AD35" s="521"/>
      <c r="AE35" s="85"/>
      <c r="AF35" s="85"/>
      <c r="AG35" s="85"/>
      <c r="AH35" s="85"/>
      <c r="AI35" s="85"/>
      <c r="AJ35" s="85"/>
      <c r="AK35" s="85"/>
      <c r="AL35" s="85"/>
    </row>
    <row r="36" spans="1:38" ht="18.649999999999999" hidden="1" customHeight="1" x14ac:dyDescent="0.35">
      <c r="A36" s="520"/>
      <c r="B36" s="521"/>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4"/>
      <c r="AC36" s="521"/>
      <c r="AD36" s="521"/>
      <c r="AE36" s="85"/>
      <c r="AF36" s="85"/>
      <c r="AG36" s="85"/>
      <c r="AH36" s="85"/>
      <c r="AI36" s="85"/>
      <c r="AJ36" s="85"/>
      <c r="AK36" s="85"/>
      <c r="AL36" s="85"/>
    </row>
    <row r="37" spans="1:38" ht="40.15" hidden="1" customHeight="1" thickBot="1" x14ac:dyDescent="0.4">
      <c r="A37" s="521"/>
      <c r="B37" s="521"/>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5"/>
      <c r="AC37" s="521"/>
      <c r="AD37" s="521"/>
      <c r="AE37" s="538" t="s">
        <v>1207</v>
      </c>
      <c r="AF37" s="538"/>
      <c r="AG37" s="538" t="s">
        <v>1208</v>
      </c>
      <c r="AH37" s="538"/>
      <c r="AI37" s="538" t="s">
        <v>1209</v>
      </c>
      <c r="AJ37" s="538"/>
      <c r="AK37" s="85"/>
      <c r="AL37" s="85"/>
    </row>
    <row r="38" spans="1:38" ht="50.15" customHeight="1" thickBot="1" x14ac:dyDescent="0.4">
      <c r="A38" s="521"/>
      <c r="B38" s="521"/>
      <c r="C38" s="116" t="s">
        <v>1210</v>
      </c>
      <c r="D38" s="117" t="s">
        <v>1211</v>
      </c>
      <c r="E38" s="118" t="s">
        <v>1212</v>
      </c>
      <c r="F38" s="119" t="s">
        <v>46</v>
      </c>
      <c r="G38" s="120" t="s">
        <v>1213</v>
      </c>
      <c r="H38" s="120" t="s">
        <v>1041</v>
      </c>
      <c r="I38" s="120" t="s">
        <v>1214</v>
      </c>
      <c r="J38" s="120" t="s">
        <v>50</v>
      </c>
      <c r="K38" s="120" t="s">
        <v>51</v>
      </c>
      <c r="L38" s="120" t="s">
        <v>53</v>
      </c>
      <c r="M38" s="120" t="s">
        <v>54</v>
      </c>
      <c r="N38" s="120" t="s">
        <v>1215</v>
      </c>
      <c r="O38" s="94" t="s">
        <v>1216</v>
      </c>
      <c r="P38" s="93" t="s">
        <v>1217</v>
      </c>
      <c r="Q38" s="120" t="s">
        <v>1218</v>
      </c>
      <c r="R38" s="121" t="s">
        <v>1219</v>
      </c>
      <c r="S38" s="183" t="s">
        <v>1220</v>
      </c>
      <c r="T38" s="184" t="s">
        <v>1221</v>
      </c>
      <c r="U38" s="187" t="s">
        <v>1222</v>
      </c>
      <c r="V38" s="185" t="s">
        <v>1223</v>
      </c>
      <c r="W38" s="180" t="s">
        <v>1224</v>
      </c>
      <c r="X38" s="179" t="s">
        <v>1225</v>
      </c>
      <c r="Y38" s="182" t="s">
        <v>1226</v>
      </c>
      <c r="Z38" s="92" t="s">
        <v>1227</v>
      </c>
      <c r="AA38" s="121" t="s">
        <v>1228</v>
      </c>
      <c r="AB38" s="181" t="s">
        <v>1229</v>
      </c>
      <c r="AC38" s="521"/>
      <c r="AD38" s="539"/>
      <c r="AE38" s="197" t="s">
        <v>1230</v>
      </c>
      <c r="AF38" s="198" t="s">
        <v>1231</v>
      </c>
      <c r="AG38" s="199" t="s">
        <v>1230</v>
      </c>
      <c r="AH38" s="200" t="s">
        <v>1231</v>
      </c>
      <c r="AI38" s="199" t="s">
        <v>1230</v>
      </c>
      <c r="AJ38" s="200" t="s">
        <v>1231</v>
      </c>
      <c r="AK38" s="85"/>
      <c r="AL38" s="85"/>
    </row>
    <row r="39" spans="1:38" ht="73.5" customHeight="1" x14ac:dyDescent="0.35">
      <c r="A39" s="521"/>
      <c r="B39" s="521"/>
      <c r="C39" s="549"/>
      <c r="D39" s="552">
        <v>1</v>
      </c>
      <c r="E39" s="554">
        <v>1</v>
      </c>
      <c r="F39" s="555" t="s">
        <v>1232</v>
      </c>
      <c r="G39" s="557" t="s">
        <v>1233</v>
      </c>
      <c r="H39" s="557" t="s">
        <v>1234</v>
      </c>
      <c r="I39" s="547" t="s">
        <v>1235</v>
      </c>
      <c r="J39" s="585" t="s">
        <v>1236</v>
      </c>
      <c r="K39" s="540" t="s">
        <v>156</v>
      </c>
      <c r="L39" s="560">
        <v>44927</v>
      </c>
      <c r="M39" s="562">
        <v>45275</v>
      </c>
      <c r="N39" s="125" t="s">
        <v>86</v>
      </c>
      <c r="O39" s="542">
        <v>0.25</v>
      </c>
      <c r="P39" s="174">
        <v>0.35</v>
      </c>
      <c r="Q39" s="228">
        <v>0.35</v>
      </c>
      <c r="R39" s="126"/>
      <c r="S39" s="715">
        <f>($O$39*P40)+($O$41*P42)+($O$43*P44)+($O$45*P46)</f>
        <v>0.26</v>
      </c>
      <c r="T39" s="544">
        <f>($O$39*$P39)+($O$41*$P41)+($O$43*P43)+($O$45*P45)</f>
        <v>0.26</v>
      </c>
      <c r="U39" s="577" t="s">
        <v>1237</v>
      </c>
      <c r="V39" s="716">
        <f>($O$39*Q40)+($O$41*Q42)+($O$43*Q44)+($O$45*Q46)</f>
        <v>0.38249999999999995</v>
      </c>
      <c r="W39" s="545">
        <f>($O$39*Q39)+($O$41*Q41)+($O$43*Q43)+($O$45*Q45)</f>
        <v>0.31499999999999995</v>
      </c>
      <c r="X39" s="579" t="s">
        <v>1459</v>
      </c>
      <c r="Y39" s="723">
        <f>($O$39*R40)+($O$41*R42)+($O$43*R44)+($O$45*R46)</f>
        <v>0.35749999999999998</v>
      </c>
      <c r="Z39" s="581">
        <f>($O$39*R39)+($O$41*R41)+($O$43*R43)+($O$45*R45)</f>
        <v>0</v>
      </c>
      <c r="AA39" s="579"/>
      <c r="AB39" s="588">
        <v>0.2</v>
      </c>
      <c r="AC39" s="521"/>
      <c r="AD39" s="539"/>
      <c r="AE39" s="574">
        <f>+($O$39*P40)+($O$41*P42)+($O$43*P44)+($O$45*P46)</f>
        <v>0.26</v>
      </c>
      <c r="AF39" s="568">
        <f>+T39</f>
        <v>0.26</v>
      </c>
      <c r="AG39" s="574">
        <f>+V39</f>
        <v>0.38249999999999995</v>
      </c>
      <c r="AH39" s="568">
        <f>+W39</f>
        <v>0.31499999999999995</v>
      </c>
      <c r="AI39" s="574">
        <f>+Y39</f>
        <v>0.35749999999999998</v>
      </c>
      <c r="AJ39" s="568">
        <f>+Z39</f>
        <v>0</v>
      </c>
      <c r="AK39" s="85"/>
      <c r="AL39" s="85"/>
    </row>
    <row r="40" spans="1:38" ht="73.5" customHeight="1" x14ac:dyDescent="0.35">
      <c r="A40" s="521"/>
      <c r="B40" s="521"/>
      <c r="C40" s="550"/>
      <c r="D40" s="553"/>
      <c r="E40" s="554"/>
      <c r="F40" s="556"/>
      <c r="G40" s="482"/>
      <c r="H40" s="482"/>
      <c r="I40" s="541"/>
      <c r="J40" s="594"/>
      <c r="K40" s="541"/>
      <c r="L40" s="561"/>
      <c r="M40" s="563"/>
      <c r="N40" s="127" t="s">
        <v>89</v>
      </c>
      <c r="O40" s="543"/>
      <c r="P40" s="175">
        <v>0.35</v>
      </c>
      <c r="Q40" s="128">
        <v>0.35</v>
      </c>
      <c r="R40" s="129">
        <v>0.3</v>
      </c>
      <c r="S40" s="716"/>
      <c r="T40" s="545"/>
      <c r="U40" s="577"/>
      <c r="V40" s="716"/>
      <c r="W40" s="545"/>
      <c r="X40" s="580"/>
      <c r="Y40" s="716"/>
      <c r="Z40" s="545"/>
      <c r="AA40" s="580"/>
      <c r="AB40" s="589"/>
      <c r="AC40" s="521"/>
      <c r="AD40" s="539"/>
      <c r="AE40" s="575"/>
      <c r="AF40" s="569"/>
      <c r="AG40" s="575"/>
      <c r="AH40" s="569"/>
      <c r="AI40" s="575"/>
      <c r="AJ40" s="569"/>
      <c r="AK40" s="85"/>
      <c r="AL40" s="85"/>
    </row>
    <row r="41" spans="1:38" ht="73.5" customHeight="1" x14ac:dyDescent="0.35">
      <c r="A41" s="521"/>
      <c r="B41" s="521"/>
      <c r="C41" s="550"/>
      <c r="D41" s="558">
        <v>2</v>
      </c>
      <c r="E41" s="554"/>
      <c r="F41" s="559" t="s">
        <v>1232</v>
      </c>
      <c r="G41" s="571" t="s">
        <v>1233</v>
      </c>
      <c r="H41" s="481" t="s">
        <v>1238</v>
      </c>
      <c r="I41" s="573" t="s">
        <v>1239</v>
      </c>
      <c r="J41" s="573" t="s">
        <v>1236</v>
      </c>
      <c r="K41" s="547" t="s">
        <v>156</v>
      </c>
      <c r="L41" s="564">
        <v>44927</v>
      </c>
      <c r="M41" s="564">
        <v>45275</v>
      </c>
      <c r="N41" s="125" t="s">
        <v>86</v>
      </c>
      <c r="O41" s="548">
        <v>0.25</v>
      </c>
      <c r="P41" s="176">
        <v>0.34</v>
      </c>
      <c r="Q41" s="760">
        <v>0.33</v>
      </c>
      <c r="R41" s="126"/>
      <c r="S41" s="716"/>
      <c r="T41" s="545"/>
      <c r="U41" s="577" t="s">
        <v>1451</v>
      </c>
      <c r="V41" s="716"/>
      <c r="W41" s="545"/>
      <c r="X41" s="580" t="s">
        <v>1457</v>
      </c>
      <c r="Y41" s="716"/>
      <c r="Z41" s="545"/>
      <c r="AA41" s="595"/>
      <c r="AB41" s="589"/>
      <c r="AC41" s="521"/>
      <c r="AD41" s="539"/>
      <c r="AE41" s="575"/>
      <c r="AF41" s="569"/>
      <c r="AG41" s="575"/>
      <c r="AH41" s="569"/>
      <c r="AI41" s="575"/>
      <c r="AJ41" s="569"/>
      <c r="AK41" s="85"/>
      <c r="AL41" s="85"/>
    </row>
    <row r="42" spans="1:38" ht="73.5" customHeight="1" x14ac:dyDescent="0.35">
      <c r="A42" s="521"/>
      <c r="B42" s="521"/>
      <c r="C42" s="550"/>
      <c r="D42" s="553"/>
      <c r="E42" s="554"/>
      <c r="F42" s="556"/>
      <c r="G42" s="572"/>
      <c r="H42" s="482"/>
      <c r="I42" s="541"/>
      <c r="J42" s="541"/>
      <c r="K42" s="541"/>
      <c r="L42" s="563"/>
      <c r="M42" s="563"/>
      <c r="N42" s="127" t="s">
        <v>89</v>
      </c>
      <c r="O42" s="543"/>
      <c r="P42" s="175">
        <v>0.34</v>
      </c>
      <c r="Q42" s="128">
        <v>0.33</v>
      </c>
      <c r="R42" s="129">
        <v>0.33</v>
      </c>
      <c r="S42" s="716"/>
      <c r="T42" s="545"/>
      <c r="U42" s="577"/>
      <c r="V42" s="716"/>
      <c r="W42" s="545"/>
      <c r="X42" s="580"/>
      <c r="Y42" s="716"/>
      <c r="Z42" s="545"/>
      <c r="AA42" s="595"/>
      <c r="AB42" s="589"/>
      <c r="AC42" s="521"/>
      <c r="AD42" s="539"/>
      <c r="AE42" s="575"/>
      <c r="AF42" s="569"/>
      <c r="AG42" s="575"/>
      <c r="AH42" s="569"/>
      <c r="AI42" s="575"/>
      <c r="AJ42" s="569"/>
      <c r="AK42" s="85"/>
      <c r="AL42" s="85"/>
    </row>
    <row r="43" spans="1:38" ht="73.5" customHeight="1" x14ac:dyDescent="0.35">
      <c r="A43" s="521"/>
      <c r="B43" s="521"/>
      <c r="C43" s="550"/>
      <c r="D43" s="558">
        <v>3</v>
      </c>
      <c r="E43" s="554"/>
      <c r="F43" s="559" t="s">
        <v>1232</v>
      </c>
      <c r="G43" s="481" t="s">
        <v>1233</v>
      </c>
      <c r="H43" s="481" t="s">
        <v>1240</v>
      </c>
      <c r="I43" s="573" t="s">
        <v>1241</v>
      </c>
      <c r="J43" s="573" t="s">
        <v>1236</v>
      </c>
      <c r="K43" s="573" t="s">
        <v>156</v>
      </c>
      <c r="L43" s="564">
        <v>44927</v>
      </c>
      <c r="M43" s="564">
        <v>45275</v>
      </c>
      <c r="N43" s="125" t="s">
        <v>86</v>
      </c>
      <c r="O43" s="548">
        <v>0.25</v>
      </c>
      <c r="P43" s="132">
        <v>0.35</v>
      </c>
      <c r="Q43" s="151">
        <v>0.35</v>
      </c>
      <c r="R43" s="133"/>
      <c r="S43" s="716"/>
      <c r="T43" s="545"/>
      <c r="U43" s="591" t="s">
        <v>1242</v>
      </c>
      <c r="V43" s="716"/>
      <c r="W43" s="545"/>
      <c r="X43" s="592" t="s">
        <v>1458</v>
      </c>
      <c r="Y43" s="716"/>
      <c r="Z43" s="545"/>
      <c r="AA43" s="592"/>
      <c r="AB43" s="589"/>
      <c r="AC43" s="521"/>
      <c r="AD43" s="539"/>
      <c r="AE43" s="575"/>
      <c r="AF43" s="569"/>
      <c r="AG43" s="575"/>
      <c r="AH43" s="569"/>
      <c r="AI43" s="575"/>
      <c r="AJ43" s="569"/>
      <c r="AK43" s="85"/>
      <c r="AL43" s="85"/>
    </row>
    <row r="44" spans="1:38" ht="73.5" customHeight="1" x14ac:dyDescent="0.35">
      <c r="A44" s="521"/>
      <c r="B44" s="521"/>
      <c r="C44" s="550"/>
      <c r="D44" s="553"/>
      <c r="E44" s="554"/>
      <c r="F44" s="556"/>
      <c r="G44" s="482"/>
      <c r="H44" s="482"/>
      <c r="I44" s="541"/>
      <c r="J44" s="541"/>
      <c r="K44" s="541"/>
      <c r="L44" s="563"/>
      <c r="M44" s="563"/>
      <c r="N44" s="127" t="s">
        <v>89</v>
      </c>
      <c r="O44" s="543"/>
      <c r="P44" s="177">
        <v>0.35</v>
      </c>
      <c r="Q44" s="134">
        <v>0.35</v>
      </c>
      <c r="R44" s="135">
        <v>0.3</v>
      </c>
      <c r="S44" s="716"/>
      <c r="T44" s="545"/>
      <c r="U44" s="591"/>
      <c r="V44" s="716"/>
      <c r="W44" s="545"/>
      <c r="X44" s="592"/>
      <c r="Y44" s="716"/>
      <c r="Z44" s="545"/>
      <c r="AA44" s="592"/>
      <c r="AB44" s="589"/>
      <c r="AC44" s="521"/>
      <c r="AD44" s="539"/>
      <c r="AE44" s="575"/>
      <c r="AF44" s="569"/>
      <c r="AG44" s="575"/>
      <c r="AH44" s="569"/>
      <c r="AI44" s="575"/>
      <c r="AJ44" s="569"/>
      <c r="AK44" s="85"/>
      <c r="AL44" s="85"/>
    </row>
    <row r="45" spans="1:38" ht="73.5" customHeight="1" x14ac:dyDescent="0.35">
      <c r="A45" s="521"/>
      <c r="B45" s="521"/>
      <c r="C45" s="550"/>
      <c r="D45" s="558">
        <v>4</v>
      </c>
      <c r="E45" s="554"/>
      <c r="F45" s="582" t="s">
        <v>1243</v>
      </c>
      <c r="G45" s="481" t="s">
        <v>1233</v>
      </c>
      <c r="H45" s="481" t="s">
        <v>1244</v>
      </c>
      <c r="I45" s="481" t="s">
        <v>1245</v>
      </c>
      <c r="J45" s="573" t="s">
        <v>1236</v>
      </c>
      <c r="K45" s="584" t="s">
        <v>156</v>
      </c>
      <c r="L45" s="565">
        <v>45047</v>
      </c>
      <c r="M45" s="566">
        <v>45291</v>
      </c>
      <c r="N45" s="136" t="s">
        <v>86</v>
      </c>
      <c r="O45" s="586">
        <v>0.25</v>
      </c>
      <c r="P45" s="176">
        <v>0</v>
      </c>
      <c r="Q45" s="229">
        <v>0.23</v>
      </c>
      <c r="R45" s="133"/>
      <c r="S45" s="716"/>
      <c r="T45" s="545"/>
      <c r="U45" s="577" t="s">
        <v>1246</v>
      </c>
      <c r="V45" s="716"/>
      <c r="W45" s="545"/>
      <c r="X45" s="758" t="s">
        <v>1455</v>
      </c>
      <c r="Y45" s="716"/>
      <c r="Z45" s="545"/>
      <c r="AA45" s="595"/>
      <c r="AB45" s="589"/>
      <c r="AC45" s="521"/>
      <c r="AD45" s="539"/>
      <c r="AE45" s="575"/>
      <c r="AF45" s="569"/>
      <c r="AG45" s="575"/>
      <c r="AH45" s="569"/>
      <c r="AI45" s="575"/>
      <c r="AJ45" s="569"/>
      <c r="AK45" s="85"/>
      <c r="AL45" s="85"/>
    </row>
    <row r="46" spans="1:38" ht="198.5" customHeight="1" thickBot="1" x14ac:dyDescent="0.4">
      <c r="A46" s="521"/>
      <c r="B46" s="521"/>
      <c r="C46" s="551"/>
      <c r="D46" s="552"/>
      <c r="E46" s="554"/>
      <c r="F46" s="583"/>
      <c r="G46" s="557"/>
      <c r="H46" s="557"/>
      <c r="I46" s="557"/>
      <c r="J46" s="547"/>
      <c r="K46" s="585"/>
      <c r="L46" s="564"/>
      <c r="M46" s="567"/>
      <c r="N46" s="138" t="s">
        <v>89</v>
      </c>
      <c r="O46" s="587"/>
      <c r="P46" s="178">
        <v>0</v>
      </c>
      <c r="Q46" s="139">
        <v>0.5</v>
      </c>
      <c r="R46" s="140">
        <v>0.5</v>
      </c>
      <c r="S46" s="717"/>
      <c r="T46" s="546"/>
      <c r="U46" s="593"/>
      <c r="V46" s="722"/>
      <c r="W46" s="578"/>
      <c r="X46" s="759"/>
      <c r="Y46" s="722"/>
      <c r="Z46" s="578"/>
      <c r="AA46" s="596"/>
      <c r="AB46" s="590"/>
      <c r="AC46" s="521"/>
      <c r="AD46" s="539"/>
      <c r="AE46" s="576"/>
      <c r="AF46" s="570"/>
      <c r="AG46" s="576"/>
      <c r="AH46" s="570"/>
      <c r="AI46" s="576"/>
      <c r="AJ46" s="570"/>
      <c r="AK46" s="85"/>
      <c r="AL46" s="85"/>
    </row>
    <row r="47" spans="1:38" ht="73.5" customHeight="1" x14ac:dyDescent="0.35">
      <c r="A47" s="597"/>
      <c r="B47" s="597"/>
      <c r="C47" s="598"/>
      <c r="D47" s="601">
        <v>5</v>
      </c>
      <c r="E47" s="603">
        <v>3</v>
      </c>
      <c r="F47" s="606" t="s">
        <v>1247</v>
      </c>
      <c r="G47" s="113" t="s">
        <v>1248</v>
      </c>
      <c r="H47" s="606" t="s">
        <v>1249</v>
      </c>
      <c r="I47" s="606" t="s">
        <v>1250</v>
      </c>
      <c r="J47" s="607" t="s">
        <v>1236</v>
      </c>
      <c r="K47" s="609" t="s">
        <v>156</v>
      </c>
      <c r="L47" s="694">
        <v>44958</v>
      </c>
      <c r="M47" s="694">
        <v>45019</v>
      </c>
      <c r="N47" s="141" t="s">
        <v>86</v>
      </c>
      <c r="O47" s="611">
        <v>0.125</v>
      </c>
      <c r="P47" s="142">
        <v>1</v>
      </c>
      <c r="Q47" s="143">
        <v>0</v>
      </c>
      <c r="R47" s="144">
        <v>0</v>
      </c>
      <c r="S47" s="715">
        <f>($O$47*P48)+($O$49*P50)+($O$51*P52)+($O$53*P54)+($O$55*P56)+($O$57*P58)+($O$59*P60)+($O$61*P62)</f>
        <v>0.33250000000000002</v>
      </c>
      <c r="T47" s="544">
        <f>($O$47*$P47)+($O$49*$P49)+($O$51*$P51)+($O$53*$P53)+($O$55*$P55)+($O$57*$P57)+($O$59*$P59)+($O$61*$P61)</f>
        <v>0.33250000000000002</v>
      </c>
      <c r="U47" s="615" t="s">
        <v>1251</v>
      </c>
      <c r="V47" s="723">
        <f>($O$47*Q48)+($O$49*Q50)+($O$51*Q52)+($O$53*Q54)+($O$55*Q56)+($O$57*Q58)+($O$59*Q60)+($O$61*Q62)</f>
        <v>0.39500000000000002</v>
      </c>
      <c r="W47" s="581">
        <f>($O$47*Q47)+($O$49*Q49)+($O$51*Q51)+($O$53*Q53)+($O$55*Q55)+($O$57*Q57)+($O$59*Q59)+($O$61*Q61)</f>
        <v>0.39500000000000002</v>
      </c>
      <c r="X47" s="618" t="s">
        <v>1255</v>
      </c>
      <c r="Y47" s="723">
        <f>($O$47*R48)+($O$49*R50)+($O$51*R52)+($O$53*R54)+($O$55*R56)+($O$57*R58)+($O$59*R60)+($O$61*R62)</f>
        <v>0.27250000000000002</v>
      </c>
      <c r="Z47" s="581">
        <f>($O$47*R47)+($O$49*R49)+($O$51*R51)+($O$53*R53)+($O$55*R55)+($O$57*R57)+($O$59*R59)+($O$61*R61)</f>
        <v>0</v>
      </c>
      <c r="AA47" s="619"/>
      <c r="AB47" s="620">
        <v>0.3</v>
      </c>
      <c r="AC47" s="597"/>
      <c r="AD47" s="614"/>
      <c r="AE47" s="574">
        <f>+S47</f>
        <v>0.33250000000000002</v>
      </c>
      <c r="AF47" s="568">
        <f>+T47</f>
        <v>0.33250000000000002</v>
      </c>
      <c r="AG47" s="574">
        <f>+V47</f>
        <v>0.39500000000000002</v>
      </c>
      <c r="AH47" s="568">
        <f>+W47</f>
        <v>0.39500000000000002</v>
      </c>
      <c r="AI47" s="574">
        <f>+Y47</f>
        <v>0.27250000000000002</v>
      </c>
      <c r="AJ47" s="568">
        <f>+Z47</f>
        <v>0</v>
      </c>
      <c r="AK47" s="96"/>
      <c r="AL47" s="96"/>
    </row>
    <row r="48" spans="1:38" ht="73.5" customHeight="1" x14ac:dyDescent="0.35">
      <c r="A48" s="597"/>
      <c r="B48" s="597"/>
      <c r="C48" s="599"/>
      <c r="D48" s="602"/>
      <c r="E48" s="604"/>
      <c r="F48" s="495"/>
      <c r="G48" s="107" t="s">
        <v>1252</v>
      </c>
      <c r="H48" s="495"/>
      <c r="I48" s="495"/>
      <c r="J48" s="608"/>
      <c r="K48" s="610"/>
      <c r="L48" s="695"/>
      <c r="M48" s="695"/>
      <c r="N48" s="145" t="s">
        <v>89</v>
      </c>
      <c r="O48" s="612"/>
      <c r="P48" s="146">
        <v>1</v>
      </c>
      <c r="Q48" s="130">
        <v>0</v>
      </c>
      <c r="R48" s="131">
        <v>0</v>
      </c>
      <c r="S48" s="716"/>
      <c r="T48" s="545"/>
      <c r="U48" s="616"/>
      <c r="V48" s="716"/>
      <c r="W48" s="545"/>
      <c r="X48" s="580"/>
      <c r="Y48" s="716"/>
      <c r="Z48" s="545"/>
      <c r="AA48" s="595"/>
      <c r="AB48" s="621"/>
      <c r="AC48" s="597"/>
      <c r="AD48" s="614"/>
      <c r="AE48" s="575"/>
      <c r="AF48" s="569"/>
      <c r="AG48" s="575"/>
      <c r="AH48" s="569"/>
      <c r="AI48" s="575"/>
      <c r="AJ48" s="569"/>
      <c r="AK48" s="96"/>
      <c r="AL48" s="96"/>
    </row>
    <row r="49" spans="1:38" ht="73.5" customHeight="1" x14ac:dyDescent="0.35">
      <c r="A49" s="521"/>
      <c r="B49" s="521"/>
      <c r="C49" s="599"/>
      <c r="D49" s="602">
        <v>6</v>
      </c>
      <c r="E49" s="604"/>
      <c r="F49" s="495" t="s">
        <v>1247</v>
      </c>
      <c r="G49" s="107" t="s">
        <v>1248</v>
      </c>
      <c r="H49" s="495" t="s">
        <v>1253</v>
      </c>
      <c r="I49" s="495" t="s">
        <v>1254</v>
      </c>
      <c r="J49" s="608" t="s">
        <v>1236</v>
      </c>
      <c r="K49" s="610" t="s">
        <v>156</v>
      </c>
      <c r="L49" s="565">
        <v>45124</v>
      </c>
      <c r="M49" s="565">
        <v>45169</v>
      </c>
      <c r="N49" s="137" t="s">
        <v>86</v>
      </c>
      <c r="O49" s="612">
        <f>+O47</f>
        <v>0.125</v>
      </c>
      <c r="P49" s="147">
        <v>0</v>
      </c>
      <c r="Q49" s="151">
        <v>1</v>
      </c>
      <c r="R49" s="148">
        <v>0</v>
      </c>
      <c r="S49" s="716"/>
      <c r="T49" s="545"/>
      <c r="U49" s="577" t="s">
        <v>1255</v>
      </c>
      <c r="V49" s="716"/>
      <c r="W49" s="545"/>
      <c r="X49" s="580" t="s">
        <v>1256</v>
      </c>
      <c r="Y49" s="716"/>
      <c r="Z49" s="545"/>
      <c r="AA49" s="613"/>
      <c r="AB49" s="621"/>
      <c r="AC49" s="521"/>
      <c r="AD49" s="539"/>
      <c r="AE49" s="575"/>
      <c r="AF49" s="569"/>
      <c r="AG49" s="575"/>
      <c r="AH49" s="569"/>
      <c r="AI49" s="575"/>
      <c r="AJ49" s="569"/>
      <c r="AK49" s="85"/>
      <c r="AL49" s="85"/>
    </row>
    <row r="50" spans="1:38" ht="73.5" customHeight="1" x14ac:dyDescent="0.35">
      <c r="A50" s="521"/>
      <c r="B50" s="521"/>
      <c r="C50" s="599"/>
      <c r="D50" s="602"/>
      <c r="E50" s="604"/>
      <c r="F50" s="495"/>
      <c r="G50" s="107" t="s">
        <v>1252</v>
      </c>
      <c r="H50" s="495"/>
      <c r="I50" s="495"/>
      <c r="J50" s="608"/>
      <c r="K50" s="610"/>
      <c r="L50" s="565"/>
      <c r="M50" s="565"/>
      <c r="N50" s="145" t="s">
        <v>89</v>
      </c>
      <c r="O50" s="612"/>
      <c r="P50" s="149">
        <v>0</v>
      </c>
      <c r="Q50" s="146">
        <v>1</v>
      </c>
      <c r="R50" s="131">
        <v>0</v>
      </c>
      <c r="S50" s="716"/>
      <c r="T50" s="545"/>
      <c r="U50" s="577"/>
      <c r="V50" s="716"/>
      <c r="W50" s="545"/>
      <c r="X50" s="580"/>
      <c r="Y50" s="716"/>
      <c r="Z50" s="545"/>
      <c r="AA50" s="613"/>
      <c r="AB50" s="621"/>
      <c r="AC50" s="521"/>
      <c r="AD50" s="539"/>
      <c r="AE50" s="575"/>
      <c r="AF50" s="569"/>
      <c r="AG50" s="575"/>
      <c r="AH50" s="569"/>
      <c r="AI50" s="575"/>
      <c r="AJ50" s="569"/>
      <c r="AK50" s="85"/>
      <c r="AL50" s="85"/>
    </row>
    <row r="51" spans="1:38" ht="73.5" customHeight="1" x14ac:dyDescent="0.35">
      <c r="A51" s="597"/>
      <c r="B51" s="597"/>
      <c r="C51" s="599"/>
      <c r="D51" s="602">
        <v>7</v>
      </c>
      <c r="E51" s="604"/>
      <c r="F51" s="495" t="s">
        <v>1247</v>
      </c>
      <c r="G51" s="107" t="s">
        <v>1248</v>
      </c>
      <c r="H51" s="495" t="s">
        <v>1257</v>
      </c>
      <c r="I51" s="495" t="s">
        <v>1258</v>
      </c>
      <c r="J51" s="608" t="s">
        <v>1236</v>
      </c>
      <c r="K51" s="610" t="s">
        <v>156</v>
      </c>
      <c r="L51" s="695">
        <v>44958</v>
      </c>
      <c r="M51" s="695">
        <v>45291</v>
      </c>
      <c r="N51" s="137" t="s">
        <v>86</v>
      </c>
      <c r="O51" s="612">
        <f>+O49</f>
        <v>0.125</v>
      </c>
      <c r="P51" s="150">
        <v>0.33</v>
      </c>
      <c r="Q51" s="151">
        <v>0.33</v>
      </c>
      <c r="R51" s="133">
        <v>0</v>
      </c>
      <c r="S51" s="716"/>
      <c r="T51" s="545"/>
      <c r="U51" s="577" t="s">
        <v>1259</v>
      </c>
      <c r="V51" s="716"/>
      <c r="W51" s="545"/>
      <c r="X51" s="617" t="s">
        <v>1452</v>
      </c>
      <c r="Y51" s="716"/>
      <c r="Z51" s="545"/>
      <c r="AA51" s="613"/>
      <c r="AB51" s="621"/>
      <c r="AC51" s="597"/>
      <c r="AD51" s="614"/>
      <c r="AE51" s="575"/>
      <c r="AF51" s="569"/>
      <c r="AG51" s="575"/>
      <c r="AH51" s="569"/>
      <c r="AI51" s="575"/>
      <c r="AJ51" s="569"/>
      <c r="AK51" s="96"/>
      <c r="AL51" s="96"/>
    </row>
    <row r="52" spans="1:38" ht="73.5" customHeight="1" x14ac:dyDescent="0.35">
      <c r="A52" s="597"/>
      <c r="B52" s="597"/>
      <c r="C52" s="599"/>
      <c r="D52" s="602"/>
      <c r="E52" s="604"/>
      <c r="F52" s="495"/>
      <c r="G52" s="107" t="s">
        <v>1252</v>
      </c>
      <c r="H52" s="495"/>
      <c r="I52" s="495"/>
      <c r="J52" s="608"/>
      <c r="K52" s="610"/>
      <c r="L52" s="695"/>
      <c r="M52" s="695"/>
      <c r="N52" s="145" t="s">
        <v>89</v>
      </c>
      <c r="O52" s="612"/>
      <c r="P52" s="146">
        <v>0.33</v>
      </c>
      <c r="Q52" s="128">
        <v>0.33</v>
      </c>
      <c r="R52" s="129">
        <v>0.34</v>
      </c>
      <c r="S52" s="716"/>
      <c r="T52" s="545"/>
      <c r="U52" s="577"/>
      <c r="V52" s="716"/>
      <c r="W52" s="545"/>
      <c r="X52" s="617"/>
      <c r="Y52" s="716"/>
      <c r="Z52" s="545"/>
      <c r="AA52" s="613"/>
      <c r="AB52" s="621"/>
      <c r="AC52" s="597"/>
      <c r="AD52" s="614"/>
      <c r="AE52" s="575"/>
      <c r="AF52" s="569"/>
      <c r="AG52" s="575"/>
      <c r="AH52" s="569"/>
      <c r="AI52" s="575"/>
      <c r="AJ52" s="569"/>
      <c r="AK52" s="96"/>
      <c r="AL52" s="96"/>
    </row>
    <row r="53" spans="1:38" ht="73.5" customHeight="1" x14ac:dyDescent="0.35">
      <c r="A53" s="521"/>
      <c r="B53" s="521"/>
      <c r="C53" s="599"/>
      <c r="D53" s="602">
        <v>8</v>
      </c>
      <c r="E53" s="604"/>
      <c r="F53" s="495" t="s">
        <v>1247</v>
      </c>
      <c r="G53" s="107" t="s">
        <v>1248</v>
      </c>
      <c r="H53" s="495" t="s">
        <v>1260</v>
      </c>
      <c r="I53" s="495" t="s">
        <v>1261</v>
      </c>
      <c r="J53" s="608" t="s">
        <v>1236</v>
      </c>
      <c r="K53" s="610" t="s">
        <v>156</v>
      </c>
      <c r="L53" s="565">
        <v>45108</v>
      </c>
      <c r="M53" s="565">
        <v>45169</v>
      </c>
      <c r="N53" s="137" t="s">
        <v>86</v>
      </c>
      <c r="O53" s="612">
        <f>+O51</f>
        <v>0.125</v>
      </c>
      <c r="P53" s="150">
        <v>0</v>
      </c>
      <c r="Q53" s="151">
        <v>1</v>
      </c>
      <c r="R53" s="133">
        <v>0</v>
      </c>
      <c r="S53" s="716"/>
      <c r="T53" s="545"/>
      <c r="U53" s="577" t="s">
        <v>1255</v>
      </c>
      <c r="V53" s="716"/>
      <c r="W53" s="545"/>
      <c r="X53" s="580" t="s">
        <v>1453</v>
      </c>
      <c r="Y53" s="716"/>
      <c r="Z53" s="545"/>
      <c r="AA53" s="613"/>
      <c r="AB53" s="621"/>
      <c r="AC53" s="521"/>
      <c r="AD53" s="539"/>
      <c r="AE53" s="575"/>
      <c r="AF53" s="569"/>
      <c r="AG53" s="575"/>
      <c r="AH53" s="569"/>
      <c r="AI53" s="575"/>
      <c r="AJ53" s="569"/>
      <c r="AK53" s="85"/>
      <c r="AL53" s="85"/>
    </row>
    <row r="54" spans="1:38" ht="73.5" customHeight="1" x14ac:dyDescent="0.35">
      <c r="A54" s="521"/>
      <c r="B54" s="521"/>
      <c r="C54" s="599"/>
      <c r="D54" s="602"/>
      <c r="E54" s="604"/>
      <c r="F54" s="495"/>
      <c r="G54" s="107" t="s">
        <v>1252</v>
      </c>
      <c r="H54" s="495"/>
      <c r="I54" s="495"/>
      <c r="J54" s="608"/>
      <c r="K54" s="610"/>
      <c r="L54" s="565"/>
      <c r="M54" s="565"/>
      <c r="N54" s="145" t="s">
        <v>89</v>
      </c>
      <c r="O54" s="612"/>
      <c r="P54" s="149">
        <v>0</v>
      </c>
      <c r="Q54" s="128">
        <v>1</v>
      </c>
      <c r="R54" s="131">
        <v>0</v>
      </c>
      <c r="S54" s="716"/>
      <c r="T54" s="545"/>
      <c r="U54" s="577"/>
      <c r="V54" s="716"/>
      <c r="W54" s="545"/>
      <c r="X54" s="580"/>
      <c r="Y54" s="716"/>
      <c r="Z54" s="545"/>
      <c r="AA54" s="613"/>
      <c r="AB54" s="621"/>
      <c r="AC54" s="521"/>
      <c r="AD54" s="539"/>
      <c r="AE54" s="575"/>
      <c r="AF54" s="569"/>
      <c r="AG54" s="575"/>
      <c r="AH54" s="569"/>
      <c r="AI54" s="575"/>
      <c r="AJ54" s="569"/>
      <c r="AK54" s="85"/>
      <c r="AL54" s="85"/>
    </row>
    <row r="55" spans="1:38" ht="73.5" customHeight="1" x14ac:dyDescent="0.35">
      <c r="A55" s="521"/>
      <c r="B55" s="521"/>
      <c r="C55" s="599"/>
      <c r="D55" s="602">
        <v>9</v>
      </c>
      <c r="E55" s="604"/>
      <c r="F55" s="495" t="s">
        <v>1247</v>
      </c>
      <c r="G55" s="107" t="s">
        <v>1262</v>
      </c>
      <c r="H55" s="495" t="s">
        <v>1263</v>
      </c>
      <c r="I55" s="495" t="s">
        <v>1264</v>
      </c>
      <c r="J55" s="608" t="s">
        <v>1236</v>
      </c>
      <c r="K55" s="610" t="s">
        <v>156</v>
      </c>
      <c r="L55" s="564">
        <v>44959</v>
      </c>
      <c r="M55" s="564">
        <v>45291</v>
      </c>
      <c r="N55" s="137" t="s">
        <v>86</v>
      </c>
      <c r="O55" s="612">
        <f>+O53</f>
        <v>0.125</v>
      </c>
      <c r="P55" s="150">
        <v>0.33</v>
      </c>
      <c r="Q55" s="151">
        <v>0.33</v>
      </c>
      <c r="R55" s="133"/>
      <c r="S55" s="716"/>
      <c r="T55" s="545"/>
      <c r="U55" s="577" t="s">
        <v>1265</v>
      </c>
      <c r="V55" s="716"/>
      <c r="W55" s="545"/>
      <c r="X55" s="580" t="s">
        <v>1266</v>
      </c>
      <c r="Y55" s="716"/>
      <c r="Z55" s="545"/>
      <c r="AA55" s="613"/>
      <c r="AB55" s="621"/>
      <c r="AC55" s="521"/>
      <c r="AD55" s="539"/>
      <c r="AE55" s="575"/>
      <c r="AF55" s="569"/>
      <c r="AG55" s="575"/>
      <c r="AH55" s="569"/>
      <c r="AI55" s="575"/>
      <c r="AJ55" s="569"/>
      <c r="AK55" s="85"/>
      <c r="AL55" s="85"/>
    </row>
    <row r="56" spans="1:38" ht="73.5" customHeight="1" x14ac:dyDescent="0.35">
      <c r="A56" s="521"/>
      <c r="B56" s="521"/>
      <c r="C56" s="599"/>
      <c r="D56" s="602"/>
      <c r="E56" s="604"/>
      <c r="F56" s="495"/>
      <c r="G56" s="107" t="s">
        <v>1267</v>
      </c>
      <c r="H56" s="495"/>
      <c r="I56" s="495"/>
      <c r="J56" s="608"/>
      <c r="K56" s="610"/>
      <c r="L56" s="563"/>
      <c r="M56" s="563"/>
      <c r="N56" s="145" t="s">
        <v>89</v>
      </c>
      <c r="O56" s="612"/>
      <c r="P56" s="146">
        <v>0.33</v>
      </c>
      <c r="Q56" s="128">
        <v>0.33</v>
      </c>
      <c r="R56" s="129">
        <v>0.34</v>
      </c>
      <c r="S56" s="716"/>
      <c r="T56" s="545"/>
      <c r="U56" s="577"/>
      <c r="V56" s="716"/>
      <c r="W56" s="545"/>
      <c r="X56" s="580"/>
      <c r="Y56" s="716"/>
      <c r="Z56" s="545"/>
      <c r="AA56" s="613"/>
      <c r="AB56" s="621"/>
      <c r="AC56" s="521"/>
      <c r="AD56" s="539"/>
      <c r="AE56" s="575"/>
      <c r="AF56" s="569"/>
      <c r="AG56" s="575"/>
      <c r="AH56" s="569"/>
      <c r="AI56" s="575"/>
      <c r="AJ56" s="569"/>
      <c r="AK56" s="85"/>
      <c r="AL56" s="85"/>
    </row>
    <row r="57" spans="1:38" ht="73.5" customHeight="1" x14ac:dyDescent="0.35">
      <c r="A57" s="597"/>
      <c r="B57" s="597"/>
      <c r="C57" s="599"/>
      <c r="D57" s="602">
        <v>10</v>
      </c>
      <c r="E57" s="604"/>
      <c r="F57" s="495" t="s">
        <v>1247</v>
      </c>
      <c r="G57" s="107" t="s">
        <v>1262</v>
      </c>
      <c r="H57" s="495" t="s">
        <v>1268</v>
      </c>
      <c r="I57" s="495" t="s">
        <v>1269</v>
      </c>
      <c r="J57" s="608" t="s">
        <v>1236</v>
      </c>
      <c r="K57" s="610" t="s">
        <v>156</v>
      </c>
      <c r="L57" s="644">
        <v>44958</v>
      </c>
      <c r="M57" s="644">
        <v>45016</v>
      </c>
      <c r="N57" s="137" t="s">
        <v>86</v>
      </c>
      <c r="O57" s="612">
        <f>+O55</f>
        <v>0.125</v>
      </c>
      <c r="P57" s="150">
        <v>1</v>
      </c>
      <c r="Q57" s="151">
        <v>0</v>
      </c>
      <c r="R57" s="152">
        <v>0</v>
      </c>
      <c r="S57" s="716"/>
      <c r="T57" s="545"/>
      <c r="U57" s="577" t="s">
        <v>1270</v>
      </c>
      <c r="V57" s="716"/>
      <c r="W57" s="545"/>
      <c r="X57" s="580" t="s">
        <v>1255</v>
      </c>
      <c r="Y57" s="716"/>
      <c r="Z57" s="545"/>
      <c r="AA57" s="613"/>
      <c r="AB57" s="621"/>
      <c r="AC57" s="597"/>
      <c r="AD57" s="614"/>
      <c r="AE57" s="575"/>
      <c r="AF57" s="569"/>
      <c r="AG57" s="575"/>
      <c r="AH57" s="569"/>
      <c r="AI57" s="575"/>
      <c r="AJ57" s="569"/>
      <c r="AK57" s="96"/>
      <c r="AL57" s="96"/>
    </row>
    <row r="58" spans="1:38" ht="73.5" customHeight="1" x14ac:dyDescent="0.35">
      <c r="A58" s="597"/>
      <c r="B58" s="597"/>
      <c r="C58" s="599"/>
      <c r="D58" s="602"/>
      <c r="E58" s="604"/>
      <c r="F58" s="495"/>
      <c r="G58" s="107" t="s">
        <v>1267</v>
      </c>
      <c r="H58" s="495"/>
      <c r="I58" s="495"/>
      <c r="J58" s="608"/>
      <c r="K58" s="610"/>
      <c r="L58" s="645"/>
      <c r="M58" s="645"/>
      <c r="N58" s="145" t="s">
        <v>89</v>
      </c>
      <c r="O58" s="612"/>
      <c r="P58" s="146">
        <v>1</v>
      </c>
      <c r="Q58" s="128">
        <v>0</v>
      </c>
      <c r="R58" s="131">
        <v>0</v>
      </c>
      <c r="S58" s="716"/>
      <c r="T58" s="545"/>
      <c r="U58" s="577"/>
      <c r="V58" s="716"/>
      <c r="W58" s="545"/>
      <c r="X58" s="580"/>
      <c r="Y58" s="716"/>
      <c r="Z58" s="545"/>
      <c r="AA58" s="613"/>
      <c r="AB58" s="621"/>
      <c r="AC58" s="597"/>
      <c r="AD58" s="614"/>
      <c r="AE58" s="575"/>
      <c r="AF58" s="569"/>
      <c r="AG58" s="575"/>
      <c r="AH58" s="569"/>
      <c r="AI58" s="575"/>
      <c r="AJ58" s="569"/>
      <c r="AK58" s="96"/>
      <c r="AL58" s="96"/>
    </row>
    <row r="59" spans="1:38" ht="73.5" customHeight="1" x14ac:dyDescent="0.35">
      <c r="A59" s="521"/>
      <c r="B59" s="521"/>
      <c r="C59" s="599"/>
      <c r="D59" s="602">
        <v>11</v>
      </c>
      <c r="E59" s="604"/>
      <c r="F59" s="495" t="s">
        <v>1247</v>
      </c>
      <c r="G59" s="107" t="s">
        <v>1271</v>
      </c>
      <c r="H59" s="495" t="s">
        <v>1272</v>
      </c>
      <c r="I59" s="495" t="s">
        <v>1273</v>
      </c>
      <c r="J59" s="608" t="s">
        <v>1236</v>
      </c>
      <c r="K59" s="610" t="s">
        <v>156</v>
      </c>
      <c r="L59" s="564">
        <v>45078</v>
      </c>
      <c r="M59" s="564">
        <v>45291</v>
      </c>
      <c r="N59" s="137" t="s">
        <v>86</v>
      </c>
      <c r="O59" s="612">
        <f>+O57</f>
        <v>0.125</v>
      </c>
      <c r="P59" s="151">
        <v>0</v>
      </c>
      <c r="Q59" s="151">
        <v>0.5</v>
      </c>
      <c r="R59" s="133"/>
      <c r="S59" s="716"/>
      <c r="T59" s="545"/>
      <c r="U59" s="577" t="s">
        <v>1255</v>
      </c>
      <c r="V59" s="716"/>
      <c r="W59" s="545"/>
      <c r="X59" s="580" t="s">
        <v>1274</v>
      </c>
      <c r="Y59" s="716"/>
      <c r="Z59" s="545"/>
      <c r="AA59" s="613"/>
      <c r="AB59" s="621"/>
      <c r="AC59" s="521"/>
      <c r="AD59" s="539"/>
      <c r="AE59" s="575"/>
      <c r="AF59" s="569"/>
      <c r="AG59" s="575"/>
      <c r="AH59" s="569"/>
      <c r="AI59" s="575"/>
      <c r="AJ59" s="569"/>
      <c r="AK59" s="85"/>
      <c r="AL59" s="85"/>
    </row>
    <row r="60" spans="1:38" ht="73.5" customHeight="1" x14ac:dyDescent="0.35">
      <c r="A60" s="521"/>
      <c r="B60" s="521"/>
      <c r="C60" s="599"/>
      <c r="D60" s="602"/>
      <c r="E60" s="604"/>
      <c r="F60" s="495"/>
      <c r="G60" s="107" t="s">
        <v>1275</v>
      </c>
      <c r="H60" s="495"/>
      <c r="I60" s="495"/>
      <c r="J60" s="608"/>
      <c r="K60" s="610"/>
      <c r="L60" s="563"/>
      <c r="M60" s="563"/>
      <c r="N60" s="145" t="s">
        <v>89</v>
      </c>
      <c r="O60" s="612"/>
      <c r="P60" s="149">
        <v>0</v>
      </c>
      <c r="Q60" s="128">
        <v>0.5</v>
      </c>
      <c r="R60" s="129">
        <v>0.5</v>
      </c>
      <c r="S60" s="716"/>
      <c r="T60" s="545"/>
      <c r="U60" s="577"/>
      <c r="V60" s="716"/>
      <c r="W60" s="545"/>
      <c r="X60" s="580"/>
      <c r="Y60" s="716"/>
      <c r="Z60" s="545"/>
      <c r="AA60" s="613"/>
      <c r="AB60" s="621"/>
      <c r="AC60" s="521"/>
      <c r="AD60" s="539"/>
      <c r="AE60" s="575"/>
      <c r="AF60" s="569"/>
      <c r="AG60" s="575"/>
      <c r="AH60" s="569"/>
      <c r="AI60" s="575"/>
      <c r="AJ60" s="569"/>
      <c r="AK60" s="85"/>
      <c r="AL60" s="85"/>
    </row>
    <row r="61" spans="1:38" ht="137.65" customHeight="1" x14ac:dyDescent="0.35">
      <c r="A61" s="521"/>
      <c r="B61" s="521"/>
      <c r="C61" s="599"/>
      <c r="D61" s="602">
        <v>12</v>
      </c>
      <c r="E61" s="604"/>
      <c r="F61" s="495" t="s">
        <v>1247</v>
      </c>
      <c r="G61" s="495" t="s">
        <v>1276</v>
      </c>
      <c r="H61" s="495" t="s">
        <v>1277</v>
      </c>
      <c r="I61" s="495" t="s">
        <v>1278</v>
      </c>
      <c r="J61" s="608" t="s">
        <v>1236</v>
      </c>
      <c r="K61" s="610" t="s">
        <v>156</v>
      </c>
      <c r="L61" s="564">
        <v>45261</v>
      </c>
      <c r="M61" s="564">
        <v>45291</v>
      </c>
      <c r="N61" s="137" t="s">
        <v>86</v>
      </c>
      <c r="O61" s="612">
        <f>+O59</f>
        <v>0.125</v>
      </c>
      <c r="P61" s="151">
        <v>0</v>
      </c>
      <c r="Q61" s="151">
        <v>0</v>
      </c>
      <c r="R61" s="153"/>
      <c r="S61" s="716"/>
      <c r="T61" s="545"/>
      <c r="U61" s="577" t="s">
        <v>1255</v>
      </c>
      <c r="V61" s="716"/>
      <c r="W61" s="545"/>
      <c r="X61" s="580" t="s">
        <v>1255</v>
      </c>
      <c r="Y61" s="716"/>
      <c r="Z61" s="545"/>
      <c r="AA61" s="186"/>
      <c r="AB61" s="621"/>
      <c r="AC61" s="521"/>
      <c r="AD61" s="539"/>
      <c r="AE61" s="575"/>
      <c r="AF61" s="569"/>
      <c r="AG61" s="575"/>
      <c r="AH61" s="569"/>
      <c r="AI61" s="575"/>
      <c r="AJ61" s="569"/>
      <c r="AK61" s="106"/>
      <c r="AL61" s="85"/>
    </row>
    <row r="62" spans="1:38" ht="137.65" customHeight="1" thickBot="1" x14ac:dyDescent="0.4">
      <c r="A62" s="521"/>
      <c r="B62" s="521"/>
      <c r="C62" s="600"/>
      <c r="D62" s="642"/>
      <c r="E62" s="605"/>
      <c r="F62" s="481"/>
      <c r="G62" s="481"/>
      <c r="H62" s="481"/>
      <c r="I62" s="481"/>
      <c r="J62" s="707"/>
      <c r="K62" s="573"/>
      <c r="L62" s="702"/>
      <c r="M62" s="702"/>
      <c r="N62" s="154" t="s">
        <v>89</v>
      </c>
      <c r="O62" s="641"/>
      <c r="P62" s="155">
        <v>0</v>
      </c>
      <c r="Q62" s="156">
        <v>0</v>
      </c>
      <c r="R62" s="157">
        <v>1</v>
      </c>
      <c r="S62" s="717"/>
      <c r="T62" s="546"/>
      <c r="U62" s="593"/>
      <c r="V62" s="722"/>
      <c r="W62" s="578"/>
      <c r="X62" s="640"/>
      <c r="Y62" s="717"/>
      <c r="Z62" s="546"/>
      <c r="AA62" s="188"/>
      <c r="AB62" s="622"/>
      <c r="AC62" s="521"/>
      <c r="AD62" s="539"/>
      <c r="AE62" s="575"/>
      <c r="AF62" s="569"/>
      <c r="AG62" s="575"/>
      <c r="AH62" s="569"/>
      <c r="AI62" s="575"/>
      <c r="AJ62" s="569"/>
      <c r="AK62" s="85"/>
      <c r="AL62" s="85"/>
    </row>
    <row r="63" spans="1:38" ht="73.5" customHeight="1" x14ac:dyDescent="0.35">
      <c r="A63" s="521"/>
      <c r="B63" s="521"/>
      <c r="C63" s="632"/>
      <c r="D63" s="635">
        <v>13</v>
      </c>
      <c r="E63" s="636">
        <v>4</v>
      </c>
      <c r="F63" s="639" t="s">
        <v>80</v>
      </c>
      <c r="G63" s="639" t="s">
        <v>1279</v>
      </c>
      <c r="H63" s="639" t="s">
        <v>1280</v>
      </c>
      <c r="I63" s="123" t="s">
        <v>1281</v>
      </c>
      <c r="J63" s="639" t="s">
        <v>1236</v>
      </c>
      <c r="K63" s="609" t="s">
        <v>156</v>
      </c>
      <c r="L63" s="683">
        <v>45261</v>
      </c>
      <c r="M63" s="644">
        <v>45321</v>
      </c>
      <c r="N63" s="141" t="s">
        <v>86</v>
      </c>
      <c r="O63" s="696">
        <f>1/7</f>
        <v>0.14285714285714285</v>
      </c>
      <c r="P63" s="158">
        <v>0.33</v>
      </c>
      <c r="Q63" s="761">
        <v>0.33</v>
      </c>
      <c r="R63" s="159"/>
      <c r="S63" s="718">
        <f>($O$63*P64)+($O$65*P66)+($O$67*P68)+($O$69*P70)+($O$71*P72)+($O$73*P74)+($O$75*P76)</f>
        <v>4.7142857142857139E-2</v>
      </c>
      <c r="T63" s="544">
        <f>($O$63*$P63)+($O$65*$P65)+($O$67*$P67)+($O$69*$P69)+($O$71*$P71)+($O$73*$P73)+($O$75*$P75)</f>
        <v>4.7142857142857139E-2</v>
      </c>
      <c r="U63" s="629" t="s">
        <v>1282</v>
      </c>
      <c r="V63" s="723">
        <f>($O$63*Q64)+($O$65*Q66)+($O$67*Q68)+($O$69*Q70)+($O$71*Q72)+($O$73*Q74)+($O$75*Q76)</f>
        <v>0.40428571428571425</v>
      </c>
      <c r="W63" s="581">
        <f>($O$63*Q63)+($O$65*Q65)+($O$67*Q67)+($O$69*Q69)+($O$71*Q71)+($O$73*Q73)+($O$75*Q75)</f>
        <v>0.40428571428571425</v>
      </c>
      <c r="X63" s="629" t="s">
        <v>1454</v>
      </c>
      <c r="Y63" s="723">
        <f>($O$63*R64)+($O$65*R66)+($O$67*R68)+($O$69*R70)+($O$71*R72)+($O$73*R74)+($O$75*R76)</f>
        <v>0.5485714285714286</v>
      </c>
      <c r="Z63" s="581">
        <f>($O$63*R63)+($O$65*R65)+($O$67*R67)+($O$69*R69)+($O$71*R71)+($O$73*R73)+($O$75*R75)</f>
        <v>0</v>
      </c>
      <c r="AA63" s="630"/>
      <c r="AB63" s="620">
        <v>0.3</v>
      </c>
      <c r="AC63" s="521"/>
      <c r="AD63" s="521"/>
      <c r="AE63" s="574">
        <f>+S63</f>
        <v>4.7142857142857139E-2</v>
      </c>
      <c r="AF63" s="626">
        <f>+T63</f>
        <v>4.7142857142857139E-2</v>
      </c>
      <c r="AG63" s="574">
        <f>+V63</f>
        <v>0.40428571428571425</v>
      </c>
      <c r="AH63" s="626">
        <f>+W63</f>
        <v>0.40428571428571425</v>
      </c>
      <c r="AI63" s="574">
        <f>+Y63</f>
        <v>0.5485714285714286</v>
      </c>
      <c r="AJ63" s="626">
        <f>+Z63</f>
        <v>0</v>
      </c>
      <c r="AK63" s="85"/>
      <c r="AL63" s="85"/>
    </row>
    <row r="64" spans="1:38" ht="73.5" customHeight="1" x14ac:dyDescent="0.35">
      <c r="A64" s="521"/>
      <c r="B64" s="521"/>
      <c r="C64" s="633"/>
      <c r="D64" s="623"/>
      <c r="E64" s="637"/>
      <c r="F64" s="624"/>
      <c r="G64" s="624"/>
      <c r="H64" s="624"/>
      <c r="I64" s="122" t="s">
        <v>1283</v>
      </c>
      <c r="J64" s="624"/>
      <c r="K64" s="610"/>
      <c r="L64" s="563"/>
      <c r="M64" s="645"/>
      <c r="N64" s="145" t="s">
        <v>89</v>
      </c>
      <c r="O64" s="625"/>
      <c r="P64" s="146">
        <v>0.33</v>
      </c>
      <c r="Q64" s="128">
        <v>0.33</v>
      </c>
      <c r="R64" s="129">
        <v>0.34</v>
      </c>
      <c r="S64" s="719"/>
      <c r="T64" s="545"/>
      <c r="U64" s="577"/>
      <c r="V64" s="716"/>
      <c r="W64" s="545"/>
      <c r="X64" s="577"/>
      <c r="Y64" s="716"/>
      <c r="Z64" s="545"/>
      <c r="AA64" s="631"/>
      <c r="AB64" s="621"/>
      <c r="AC64" s="521"/>
      <c r="AD64" s="521"/>
      <c r="AE64" s="628"/>
      <c r="AF64" s="627"/>
      <c r="AG64" s="628"/>
      <c r="AH64" s="627"/>
      <c r="AI64" s="628"/>
      <c r="AJ64" s="627"/>
      <c r="AK64" s="85"/>
      <c r="AL64" s="85"/>
    </row>
    <row r="65" spans="1:38" ht="73.5" customHeight="1" x14ac:dyDescent="0.35">
      <c r="A65" s="521"/>
      <c r="B65" s="521"/>
      <c r="C65" s="633"/>
      <c r="D65" s="623">
        <v>14</v>
      </c>
      <c r="E65" s="637"/>
      <c r="F65" s="624" t="s">
        <v>80</v>
      </c>
      <c r="G65" s="624" t="s">
        <v>1279</v>
      </c>
      <c r="H65" s="624" t="s">
        <v>1284</v>
      </c>
      <c r="I65" s="122" t="s">
        <v>1285</v>
      </c>
      <c r="J65" s="624" t="s">
        <v>1236</v>
      </c>
      <c r="K65" s="646" t="s">
        <v>156</v>
      </c>
      <c r="L65" s="644">
        <v>45017</v>
      </c>
      <c r="M65" s="644">
        <v>45321</v>
      </c>
      <c r="N65" s="160" t="s">
        <v>86</v>
      </c>
      <c r="O65" s="625">
        <f>1/7</f>
        <v>0.14285714285714285</v>
      </c>
      <c r="P65" s="161">
        <v>0</v>
      </c>
      <c r="Q65" s="221">
        <v>0.5</v>
      </c>
      <c r="R65" s="153"/>
      <c r="S65" s="719"/>
      <c r="T65" s="545"/>
      <c r="U65" s="577" t="s">
        <v>1286</v>
      </c>
      <c r="V65" s="716"/>
      <c r="W65" s="545"/>
      <c r="X65" s="577" t="s">
        <v>1287</v>
      </c>
      <c r="Y65" s="716"/>
      <c r="Z65" s="545"/>
      <c r="AA65" s="643"/>
      <c r="AB65" s="621"/>
      <c r="AC65" s="521"/>
      <c r="AD65" s="521"/>
      <c r="AE65" s="628"/>
      <c r="AF65" s="627"/>
      <c r="AG65" s="628"/>
      <c r="AH65" s="627"/>
      <c r="AI65" s="628"/>
      <c r="AJ65" s="627"/>
      <c r="AK65" s="85"/>
      <c r="AL65" s="85"/>
    </row>
    <row r="66" spans="1:38" ht="73.5" customHeight="1" x14ac:dyDescent="0.35">
      <c r="A66" s="521"/>
      <c r="B66" s="521"/>
      <c r="C66" s="633"/>
      <c r="D66" s="623"/>
      <c r="E66" s="637"/>
      <c r="F66" s="624"/>
      <c r="G66" s="624"/>
      <c r="H66" s="624"/>
      <c r="I66" s="122" t="s">
        <v>1288</v>
      </c>
      <c r="J66" s="624"/>
      <c r="K66" s="646"/>
      <c r="L66" s="645"/>
      <c r="M66" s="645"/>
      <c r="N66" s="162" t="s">
        <v>89</v>
      </c>
      <c r="O66" s="625"/>
      <c r="P66" s="146">
        <v>0</v>
      </c>
      <c r="Q66" s="128">
        <v>0.5</v>
      </c>
      <c r="R66" s="129">
        <v>0.5</v>
      </c>
      <c r="S66" s="719"/>
      <c r="T66" s="545"/>
      <c r="U66" s="577"/>
      <c r="V66" s="716"/>
      <c r="W66" s="545"/>
      <c r="X66" s="577"/>
      <c r="Y66" s="716"/>
      <c r="Z66" s="545"/>
      <c r="AA66" s="643"/>
      <c r="AB66" s="621"/>
      <c r="AC66" s="521"/>
      <c r="AD66" s="521"/>
      <c r="AE66" s="628"/>
      <c r="AF66" s="627"/>
      <c r="AG66" s="628"/>
      <c r="AH66" s="627"/>
      <c r="AI66" s="628"/>
      <c r="AJ66" s="627"/>
      <c r="AK66" s="85"/>
      <c r="AL66" s="85"/>
    </row>
    <row r="67" spans="1:38" ht="73.5" customHeight="1" x14ac:dyDescent="0.35">
      <c r="A67" s="521"/>
      <c r="B67" s="521"/>
      <c r="C67" s="633"/>
      <c r="D67" s="623">
        <v>15</v>
      </c>
      <c r="E67" s="637"/>
      <c r="F67" s="624" t="s">
        <v>1465</v>
      </c>
      <c r="G67" s="624" t="s">
        <v>1279</v>
      </c>
      <c r="H67" s="495" t="s">
        <v>1289</v>
      </c>
      <c r="I67" s="122" t="s">
        <v>1290</v>
      </c>
      <c r="J67" s="624" t="s">
        <v>1236</v>
      </c>
      <c r="K67" s="610" t="s">
        <v>156</v>
      </c>
      <c r="L67" s="648">
        <v>45078</v>
      </c>
      <c r="M67" s="650">
        <v>45291</v>
      </c>
      <c r="N67" s="137" t="s">
        <v>86</v>
      </c>
      <c r="O67" s="625">
        <f>1/7</f>
        <v>0.14285714285714285</v>
      </c>
      <c r="P67" s="161">
        <v>0</v>
      </c>
      <c r="Q67" s="763">
        <v>0.5</v>
      </c>
      <c r="R67" s="153"/>
      <c r="S67" s="719"/>
      <c r="T67" s="545"/>
      <c r="U67" s="577" t="s">
        <v>1462</v>
      </c>
      <c r="V67" s="716"/>
      <c r="W67" s="545"/>
      <c r="X67" s="655" t="s">
        <v>1463</v>
      </c>
      <c r="Y67" s="716"/>
      <c r="Z67" s="545"/>
      <c r="AA67" s="643"/>
      <c r="AB67" s="621"/>
      <c r="AC67" s="521"/>
      <c r="AD67" s="521"/>
      <c r="AE67" s="628"/>
      <c r="AF67" s="627"/>
      <c r="AG67" s="628"/>
      <c r="AH67" s="627"/>
      <c r="AI67" s="628"/>
      <c r="AJ67" s="627"/>
      <c r="AK67" s="85"/>
      <c r="AL67" s="85"/>
    </row>
    <row r="68" spans="1:38" ht="73.5" customHeight="1" x14ac:dyDescent="0.35">
      <c r="A68" s="521"/>
      <c r="B68" s="521"/>
      <c r="C68" s="633"/>
      <c r="D68" s="623"/>
      <c r="E68" s="637"/>
      <c r="F68" s="624"/>
      <c r="G68" s="624"/>
      <c r="H68" s="495"/>
      <c r="I68" s="124" t="s">
        <v>1291</v>
      </c>
      <c r="J68" s="624"/>
      <c r="K68" s="610"/>
      <c r="L68" s="649"/>
      <c r="M68" s="651"/>
      <c r="N68" s="145" t="s">
        <v>89</v>
      </c>
      <c r="O68" s="625"/>
      <c r="P68" s="146">
        <v>0</v>
      </c>
      <c r="Q68" s="128">
        <v>0.5</v>
      </c>
      <c r="R68" s="129">
        <v>0.5</v>
      </c>
      <c r="S68" s="719"/>
      <c r="T68" s="545"/>
      <c r="U68" s="577"/>
      <c r="V68" s="716"/>
      <c r="W68" s="545"/>
      <c r="X68" s="655"/>
      <c r="Y68" s="716"/>
      <c r="Z68" s="545"/>
      <c r="AA68" s="643"/>
      <c r="AB68" s="621"/>
      <c r="AC68" s="521"/>
      <c r="AD68" s="521"/>
      <c r="AE68" s="628"/>
      <c r="AF68" s="627"/>
      <c r="AG68" s="628"/>
      <c r="AH68" s="627"/>
      <c r="AI68" s="628"/>
      <c r="AJ68" s="627"/>
      <c r="AK68" s="85"/>
      <c r="AL68" s="85"/>
    </row>
    <row r="69" spans="1:38" ht="71.5" customHeight="1" x14ac:dyDescent="0.35">
      <c r="A69" s="521"/>
      <c r="B69" s="521"/>
      <c r="C69" s="633"/>
      <c r="D69" s="623">
        <v>16</v>
      </c>
      <c r="E69" s="637"/>
      <c r="F69" s="624" t="s">
        <v>1292</v>
      </c>
      <c r="G69" s="624" t="s">
        <v>1279</v>
      </c>
      <c r="H69" s="495" t="s">
        <v>1293</v>
      </c>
      <c r="I69" s="122" t="s">
        <v>1294</v>
      </c>
      <c r="J69" s="624" t="s">
        <v>1236</v>
      </c>
      <c r="K69" s="610" t="s">
        <v>156</v>
      </c>
      <c r="L69" s="648">
        <v>45108</v>
      </c>
      <c r="M69" s="650">
        <v>45291</v>
      </c>
      <c r="N69" s="137" t="s">
        <v>86</v>
      </c>
      <c r="O69" s="625">
        <f>1/7</f>
        <v>0.14285714285714285</v>
      </c>
      <c r="P69" s="161">
        <v>0</v>
      </c>
      <c r="Q69" s="764">
        <v>0.5</v>
      </c>
      <c r="R69" s="163"/>
      <c r="S69" s="719"/>
      <c r="T69" s="545"/>
      <c r="U69" s="652" t="s">
        <v>1295</v>
      </c>
      <c r="V69" s="716"/>
      <c r="W69" s="545"/>
      <c r="X69" s="655" t="s">
        <v>1464</v>
      </c>
      <c r="Y69" s="716"/>
      <c r="Z69" s="545"/>
      <c r="AA69" s="643"/>
      <c r="AB69" s="621"/>
      <c r="AC69" s="521"/>
      <c r="AD69" s="521"/>
      <c r="AE69" s="628"/>
      <c r="AF69" s="627"/>
      <c r="AG69" s="628"/>
      <c r="AH69" s="627"/>
      <c r="AI69" s="628"/>
      <c r="AJ69" s="627"/>
      <c r="AK69" s="85"/>
      <c r="AL69" s="85"/>
    </row>
    <row r="70" spans="1:38" ht="83.5" customHeight="1" x14ac:dyDescent="0.35">
      <c r="A70" s="521"/>
      <c r="B70" s="521"/>
      <c r="C70" s="633"/>
      <c r="D70" s="623"/>
      <c r="E70" s="637"/>
      <c r="F70" s="624"/>
      <c r="G70" s="624"/>
      <c r="H70" s="495"/>
      <c r="I70" s="124" t="s">
        <v>1296</v>
      </c>
      <c r="J70" s="624"/>
      <c r="K70" s="610"/>
      <c r="L70" s="649"/>
      <c r="M70" s="651"/>
      <c r="N70" s="145" t="s">
        <v>89</v>
      </c>
      <c r="O70" s="625"/>
      <c r="P70" s="146">
        <v>0</v>
      </c>
      <c r="Q70" s="128">
        <v>0.5</v>
      </c>
      <c r="R70" s="129">
        <v>0.5</v>
      </c>
      <c r="S70" s="719"/>
      <c r="T70" s="545"/>
      <c r="U70" s="652"/>
      <c r="V70" s="716"/>
      <c r="W70" s="545"/>
      <c r="X70" s="655"/>
      <c r="Y70" s="716"/>
      <c r="Z70" s="545"/>
      <c r="AA70" s="643"/>
      <c r="AB70" s="621"/>
      <c r="AC70" s="521"/>
      <c r="AD70" s="521"/>
      <c r="AE70" s="628"/>
      <c r="AF70" s="627"/>
      <c r="AG70" s="628"/>
      <c r="AH70" s="627"/>
      <c r="AI70" s="628"/>
      <c r="AJ70" s="627"/>
      <c r="AK70" s="85"/>
      <c r="AL70" s="85"/>
    </row>
    <row r="71" spans="1:38" ht="73.5" customHeight="1" x14ac:dyDescent="0.35">
      <c r="A71" s="521"/>
      <c r="B71" s="521"/>
      <c r="C71" s="633"/>
      <c r="D71" s="623">
        <v>17</v>
      </c>
      <c r="E71" s="637"/>
      <c r="F71" s="624" t="s">
        <v>80</v>
      </c>
      <c r="G71" s="624" t="s">
        <v>1279</v>
      </c>
      <c r="H71" s="495" t="s">
        <v>1297</v>
      </c>
      <c r="I71" s="122" t="s">
        <v>1298</v>
      </c>
      <c r="J71" s="624" t="s">
        <v>1236</v>
      </c>
      <c r="K71" s="610" t="s">
        <v>156</v>
      </c>
      <c r="L71" s="648">
        <v>44986</v>
      </c>
      <c r="M71" s="650">
        <v>45291</v>
      </c>
      <c r="N71" s="137" t="s">
        <v>86</v>
      </c>
      <c r="O71" s="625">
        <f>1/7</f>
        <v>0.14285714285714285</v>
      </c>
      <c r="P71" s="161"/>
      <c r="Q71" s="762">
        <v>0.5</v>
      </c>
      <c r="R71" s="153"/>
      <c r="S71" s="719"/>
      <c r="T71" s="545"/>
      <c r="U71" s="591"/>
      <c r="V71" s="716"/>
      <c r="W71" s="545"/>
      <c r="X71" s="591" t="s">
        <v>1456</v>
      </c>
      <c r="Y71" s="716"/>
      <c r="Z71" s="545"/>
      <c r="AA71" s="643"/>
      <c r="AB71" s="621"/>
      <c r="AC71" s="521"/>
      <c r="AD71" s="521"/>
      <c r="AE71" s="628"/>
      <c r="AF71" s="627"/>
      <c r="AG71" s="628"/>
      <c r="AH71" s="627"/>
      <c r="AI71" s="628"/>
      <c r="AJ71" s="627"/>
      <c r="AK71" s="85"/>
      <c r="AL71" s="85"/>
    </row>
    <row r="72" spans="1:38" ht="73.5" customHeight="1" x14ac:dyDescent="0.35">
      <c r="A72" s="521"/>
      <c r="B72" s="521"/>
      <c r="C72" s="633"/>
      <c r="D72" s="623"/>
      <c r="E72" s="637"/>
      <c r="F72" s="624"/>
      <c r="G72" s="624"/>
      <c r="H72" s="495"/>
      <c r="I72" s="122" t="s">
        <v>1299</v>
      </c>
      <c r="J72" s="624"/>
      <c r="K72" s="610"/>
      <c r="L72" s="649"/>
      <c r="M72" s="651"/>
      <c r="N72" s="145" t="s">
        <v>89</v>
      </c>
      <c r="O72" s="625"/>
      <c r="P72" s="146">
        <v>0</v>
      </c>
      <c r="Q72" s="128">
        <v>0.5</v>
      </c>
      <c r="R72" s="129">
        <v>0.5</v>
      </c>
      <c r="S72" s="719"/>
      <c r="T72" s="545"/>
      <c r="U72" s="591"/>
      <c r="V72" s="716"/>
      <c r="W72" s="545"/>
      <c r="X72" s="591"/>
      <c r="Y72" s="716"/>
      <c r="Z72" s="545"/>
      <c r="AA72" s="643"/>
      <c r="AB72" s="621"/>
      <c r="AC72" s="521"/>
      <c r="AD72" s="521"/>
      <c r="AE72" s="628"/>
      <c r="AF72" s="627"/>
      <c r="AG72" s="628"/>
      <c r="AH72" s="627"/>
      <c r="AI72" s="628"/>
      <c r="AJ72" s="627"/>
      <c r="AK72" s="85"/>
      <c r="AL72" s="85"/>
    </row>
    <row r="73" spans="1:38" ht="73.5" customHeight="1" x14ac:dyDescent="0.35">
      <c r="A73" s="521"/>
      <c r="B73" s="521"/>
      <c r="C73" s="633"/>
      <c r="D73" s="623">
        <v>18</v>
      </c>
      <c r="E73" s="637"/>
      <c r="F73" s="647" t="s">
        <v>1300</v>
      </c>
      <c r="G73" s="624" t="s">
        <v>1279</v>
      </c>
      <c r="H73" s="495" t="s">
        <v>1301</v>
      </c>
      <c r="I73" s="122" t="s">
        <v>1302</v>
      </c>
      <c r="J73" s="624" t="s">
        <v>1236</v>
      </c>
      <c r="K73" s="610" t="s">
        <v>156</v>
      </c>
      <c r="L73" s="648">
        <v>45108</v>
      </c>
      <c r="M73" s="650">
        <v>45291</v>
      </c>
      <c r="N73" s="137" t="s">
        <v>86</v>
      </c>
      <c r="O73" s="625">
        <f>1/7</f>
        <v>0.14285714285714285</v>
      </c>
      <c r="P73" s="147">
        <v>0</v>
      </c>
      <c r="Q73" s="221">
        <v>0</v>
      </c>
      <c r="R73" s="153"/>
      <c r="S73" s="719"/>
      <c r="T73" s="545"/>
      <c r="U73" s="591" t="s">
        <v>1303</v>
      </c>
      <c r="V73" s="716"/>
      <c r="W73" s="545"/>
      <c r="X73" s="617" t="s">
        <v>1460</v>
      </c>
      <c r="Y73" s="716"/>
      <c r="Z73" s="545"/>
      <c r="AA73" s="653"/>
      <c r="AB73" s="621"/>
      <c r="AC73" s="521"/>
      <c r="AD73" s="521"/>
      <c r="AE73" s="628"/>
      <c r="AF73" s="627"/>
      <c r="AG73" s="628"/>
      <c r="AH73" s="627"/>
      <c r="AI73" s="628"/>
      <c r="AJ73" s="627"/>
      <c r="AK73" s="85"/>
      <c r="AL73" s="85"/>
    </row>
    <row r="74" spans="1:38" ht="73.5" customHeight="1" x14ac:dyDescent="0.35">
      <c r="A74" s="521"/>
      <c r="B74" s="521"/>
      <c r="C74" s="633"/>
      <c r="D74" s="623"/>
      <c r="E74" s="637"/>
      <c r="F74" s="647"/>
      <c r="G74" s="624"/>
      <c r="H74" s="495"/>
      <c r="I74" s="122" t="s">
        <v>1304</v>
      </c>
      <c r="J74" s="624"/>
      <c r="K74" s="610"/>
      <c r="L74" s="649"/>
      <c r="M74" s="651"/>
      <c r="N74" s="145" t="s">
        <v>89</v>
      </c>
      <c r="O74" s="625"/>
      <c r="P74" s="149"/>
      <c r="Q74" s="128"/>
      <c r="R74" s="129">
        <v>1</v>
      </c>
      <c r="S74" s="719"/>
      <c r="T74" s="545"/>
      <c r="U74" s="591"/>
      <c r="V74" s="716"/>
      <c r="W74" s="545"/>
      <c r="X74" s="617"/>
      <c r="Y74" s="716"/>
      <c r="Z74" s="545"/>
      <c r="AA74" s="654"/>
      <c r="AB74" s="621"/>
      <c r="AC74" s="521"/>
      <c r="AD74" s="521"/>
      <c r="AE74" s="628"/>
      <c r="AF74" s="627"/>
      <c r="AG74" s="628"/>
      <c r="AH74" s="627"/>
      <c r="AI74" s="628"/>
      <c r="AJ74" s="627"/>
      <c r="AK74" s="85"/>
      <c r="AL74" s="85"/>
    </row>
    <row r="75" spans="1:38" ht="73.5" customHeight="1" x14ac:dyDescent="0.35">
      <c r="A75" s="521"/>
      <c r="B75" s="521"/>
      <c r="C75" s="633"/>
      <c r="D75" s="623">
        <v>19</v>
      </c>
      <c r="E75" s="637"/>
      <c r="F75" s="495" t="s">
        <v>29</v>
      </c>
      <c r="G75" s="495" t="s">
        <v>1279</v>
      </c>
      <c r="H75" s="495" t="s">
        <v>1305</v>
      </c>
      <c r="I75" s="97" t="s">
        <v>1306</v>
      </c>
      <c r="J75" s="610" t="s">
        <v>1236</v>
      </c>
      <c r="K75" s="610" t="s">
        <v>156</v>
      </c>
      <c r="L75" s="644">
        <v>44927</v>
      </c>
      <c r="M75" s="644">
        <v>45321</v>
      </c>
      <c r="N75" s="137" t="s">
        <v>86</v>
      </c>
      <c r="O75" s="625">
        <f>1/7</f>
        <v>0.14285714285714285</v>
      </c>
      <c r="P75" s="147">
        <v>0</v>
      </c>
      <c r="Q75" s="221">
        <v>0.5</v>
      </c>
      <c r="R75" s="153"/>
      <c r="S75" s="719"/>
      <c r="T75" s="545"/>
      <c r="U75" s="577" t="s">
        <v>1307</v>
      </c>
      <c r="V75" s="716"/>
      <c r="W75" s="545"/>
      <c r="X75" s="655" t="s">
        <v>1308</v>
      </c>
      <c r="Y75" s="716"/>
      <c r="Z75" s="545"/>
      <c r="AA75" s="653"/>
      <c r="AB75" s="621"/>
      <c r="AC75" s="521"/>
      <c r="AD75" s="521"/>
      <c r="AE75" s="628"/>
      <c r="AF75" s="627"/>
      <c r="AG75" s="628"/>
      <c r="AH75" s="627"/>
      <c r="AI75" s="628"/>
      <c r="AJ75" s="627"/>
      <c r="AK75" s="85"/>
      <c r="AL75" s="85"/>
    </row>
    <row r="76" spans="1:38" ht="100.5" customHeight="1" thickBot="1" x14ac:dyDescent="0.4">
      <c r="A76" s="521"/>
      <c r="B76" s="521"/>
      <c r="C76" s="634"/>
      <c r="D76" s="661"/>
      <c r="E76" s="638"/>
      <c r="F76" s="481"/>
      <c r="G76" s="481"/>
      <c r="H76" s="481"/>
      <c r="I76" s="95" t="s">
        <v>1309</v>
      </c>
      <c r="J76" s="573"/>
      <c r="K76" s="573"/>
      <c r="L76" s="710"/>
      <c r="M76" s="710"/>
      <c r="N76" s="154" t="s">
        <v>89</v>
      </c>
      <c r="O76" s="701"/>
      <c r="P76" s="164">
        <v>0</v>
      </c>
      <c r="Q76" s="165">
        <v>0.5</v>
      </c>
      <c r="R76" s="157">
        <v>0.5</v>
      </c>
      <c r="S76" s="715"/>
      <c r="T76" s="546"/>
      <c r="U76" s="593"/>
      <c r="V76" s="722"/>
      <c r="W76" s="578"/>
      <c r="X76" s="656"/>
      <c r="Y76" s="717"/>
      <c r="Z76" s="546"/>
      <c r="AA76" s="714"/>
      <c r="AB76" s="622"/>
      <c r="AC76" s="521"/>
      <c r="AD76" s="521"/>
      <c r="AE76" s="628"/>
      <c r="AF76" s="627"/>
      <c r="AG76" s="628"/>
      <c r="AH76" s="627"/>
      <c r="AI76" s="628"/>
      <c r="AJ76" s="627"/>
      <c r="AK76" s="85"/>
      <c r="AL76" s="85"/>
    </row>
    <row r="77" spans="1:38" ht="73.5" customHeight="1" x14ac:dyDescent="0.35">
      <c r="A77" s="521"/>
      <c r="B77" s="521"/>
      <c r="C77" s="632"/>
      <c r="D77" s="601">
        <v>20</v>
      </c>
      <c r="E77" s="663">
        <v>5</v>
      </c>
      <c r="F77" s="606" t="s">
        <v>29</v>
      </c>
      <c r="G77" s="606" t="s">
        <v>1310</v>
      </c>
      <c r="H77" s="606" t="s">
        <v>1311</v>
      </c>
      <c r="I77" s="123" t="s">
        <v>1312</v>
      </c>
      <c r="J77" s="609" t="s">
        <v>1313</v>
      </c>
      <c r="K77" s="698" t="s">
        <v>156</v>
      </c>
      <c r="L77" s="711">
        <v>45056</v>
      </c>
      <c r="M77" s="711">
        <v>45321</v>
      </c>
      <c r="N77" s="166" t="s">
        <v>86</v>
      </c>
      <c r="O77" s="696">
        <f>1/3</f>
        <v>0.33333333333333331</v>
      </c>
      <c r="P77" s="158">
        <v>0</v>
      </c>
      <c r="Q77" s="220">
        <v>0.5</v>
      </c>
      <c r="R77" s="159"/>
      <c r="S77" s="715">
        <f>($O$77*P78)+($O$79*P80)+($O$81*P82)</f>
        <v>0</v>
      </c>
      <c r="T77" s="544">
        <f>($O$77*$P77)+($O$79*$P79)+($O$81*$P81)</f>
        <v>0</v>
      </c>
      <c r="U77" s="669" t="s">
        <v>1314</v>
      </c>
      <c r="V77" s="723">
        <f>($O$77*Q78)+($O$79*Q80)+($O$81*Q82)</f>
        <v>0.5</v>
      </c>
      <c r="W77" s="581">
        <f>($O$77*Q77)+($O$79*Q79)+($O$81*Q81)</f>
        <v>0.5</v>
      </c>
      <c r="X77" s="666" t="s">
        <v>1315</v>
      </c>
      <c r="Y77" s="723">
        <f>($O$77*R78)+($O$79*R80)+($O$81*R82)</f>
        <v>0.5</v>
      </c>
      <c r="Z77" s="581">
        <v>0.33300000000000002</v>
      </c>
      <c r="AA77" s="667"/>
      <c r="AB77" s="671">
        <v>0.1</v>
      </c>
      <c r="AC77" s="521"/>
      <c r="AD77" s="521"/>
      <c r="AE77" s="574">
        <f>+S77</f>
        <v>0</v>
      </c>
      <c r="AF77" s="568">
        <f>+T77</f>
        <v>0</v>
      </c>
      <c r="AG77" s="574">
        <f>+V77</f>
        <v>0.5</v>
      </c>
      <c r="AH77" s="568">
        <f>+W77</f>
        <v>0.5</v>
      </c>
      <c r="AI77" s="574">
        <f>+Y77</f>
        <v>0.5</v>
      </c>
      <c r="AJ77" s="568">
        <f>+Z77</f>
        <v>0.33300000000000002</v>
      </c>
      <c r="AK77" s="85"/>
      <c r="AL77" s="85"/>
    </row>
    <row r="78" spans="1:38" ht="73.5" customHeight="1" x14ac:dyDescent="0.35">
      <c r="A78" s="521"/>
      <c r="B78" s="521"/>
      <c r="C78" s="633"/>
      <c r="D78" s="602"/>
      <c r="E78" s="664"/>
      <c r="F78" s="495"/>
      <c r="G78" s="495"/>
      <c r="H78" s="495"/>
      <c r="I78" s="122" t="s">
        <v>1316</v>
      </c>
      <c r="J78" s="610"/>
      <c r="K78" s="646"/>
      <c r="L78" s="712"/>
      <c r="M78" s="645"/>
      <c r="N78" s="162" t="s">
        <v>89</v>
      </c>
      <c r="O78" s="625"/>
      <c r="P78" s="167">
        <v>0</v>
      </c>
      <c r="Q78" s="168">
        <v>0.5</v>
      </c>
      <c r="R78" s="169">
        <v>0.5</v>
      </c>
      <c r="S78" s="720"/>
      <c r="T78" s="708"/>
      <c r="U78" s="660"/>
      <c r="V78" s="720"/>
      <c r="W78" s="708"/>
      <c r="X78" s="659"/>
      <c r="Y78" s="720"/>
      <c r="Z78" s="708"/>
      <c r="AA78" s="668"/>
      <c r="AB78" s="672"/>
      <c r="AC78" s="521"/>
      <c r="AD78" s="521"/>
      <c r="AE78" s="575"/>
      <c r="AF78" s="569"/>
      <c r="AG78" s="575"/>
      <c r="AH78" s="569"/>
      <c r="AI78" s="575"/>
      <c r="AJ78" s="569"/>
      <c r="AK78" s="85"/>
      <c r="AL78" s="85"/>
    </row>
    <row r="79" spans="1:38" ht="73.5" customHeight="1" x14ac:dyDescent="0.35">
      <c r="A79" s="521"/>
      <c r="B79" s="521"/>
      <c r="C79" s="633"/>
      <c r="D79" s="602">
        <v>21</v>
      </c>
      <c r="E79" s="664"/>
      <c r="F79" s="495" t="s">
        <v>29</v>
      </c>
      <c r="G79" s="495" t="s">
        <v>1310</v>
      </c>
      <c r="H79" s="495" t="s">
        <v>1317</v>
      </c>
      <c r="I79" s="122" t="s">
        <v>1318</v>
      </c>
      <c r="J79" s="610" t="s">
        <v>1313</v>
      </c>
      <c r="K79" s="610" t="s">
        <v>156</v>
      </c>
      <c r="L79" s="713">
        <v>45056</v>
      </c>
      <c r="M79" s="713">
        <v>45321</v>
      </c>
      <c r="N79" s="137" t="s">
        <v>86</v>
      </c>
      <c r="O79" s="625">
        <f>1/3</f>
        <v>0.33333333333333331</v>
      </c>
      <c r="P79" s="147">
        <v>0</v>
      </c>
      <c r="Q79" s="221">
        <v>0.5</v>
      </c>
      <c r="R79" s="153"/>
      <c r="S79" s="720"/>
      <c r="T79" s="708"/>
      <c r="U79" s="660" t="s">
        <v>1314</v>
      </c>
      <c r="V79" s="720"/>
      <c r="W79" s="708"/>
      <c r="X79" s="659" t="s">
        <v>1319</v>
      </c>
      <c r="Y79" s="720"/>
      <c r="Z79" s="708"/>
      <c r="AA79" s="668"/>
      <c r="AB79" s="672"/>
      <c r="AC79" s="521"/>
      <c r="AD79" s="521"/>
      <c r="AE79" s="575"/>
      <c r="AF79" s="569"/>
      <c r="AG79" s="575"/>
      <c r="AH79" s="569"/>
      <c r="AI79" s="575"/>
      <c r="AJ79" s="569"/>
      <c r="AK79" s="85"/>
      <c r="AL79" s="85"/>
    </row>
    <row r="80" spans="1:38" ht="73.5" customHeight="1" x14ac:dyDescent="0.35">
      <c r="A80" s="521"/>
      <c r="B80" s="521"/>
      <c r="C80" s="662"/>
      <c r="D80" s="602"/>
      <c r="E80" s="664"/>
      <c r="F80" s="495"/>
      <c r="G80" s="495"/>
      <c r="H80" s="495"/>
      <c r="I80" s="122" t="s">
        <v>1316</v>
      </c>
      <c r="J80" s="610"/>
      <c r="K80" s="610"/>
      <c r="L80" s="712"/>
      <c r="M80" s="645"/>
      <c r="N80" s="145" t="s">
        <v>89</v>
      </c>
      <c r="O80" s="625"/>
      <c r="P80" s="167">
        <v>0</v>
      </c>
      <c r="Q80" s="168">
        <v>0.5</v>
      </c>
      <c r="R80" s="169">
        <v>0.5</v>
      </c>
      <c r="S80" s="720"/>
      <c r="T80" s="708"/>
      <c r="U80" s="660"/>
      <c r="V80" s="720"/>
      <c r="W80" s="708"/>
      <c r="X80" s="659"/>
      <c r="Y80" s="720"/>
      <c r="Z80" s="708"/>
      <c r="AA80" s="668"/>
      <c r="AB80" s="672"/>
      <c r="AC80" s="521"/>
      <c r="AD80" s="521"/>
      <c r="AE80" s="575"/>
      <c r="AF80" s="569"/>
      <c r="AG80" s="575"/>
      <c r="AH80" s="569"/>
      <c r="AI80" s="575"/>
      <c r="AJ80" s="569"/>
      <c r="AK80" s="85"/>
      <c r="AL80" s="85"/>
    </row>
    <row r="81" spans="1:38" ht="103.5" customHeight="1" x14ac:dyDescent="0.35">
      <c r="A81" s="521"/>
      <c r="B81" s="521"/>
      <c r="C81" s="657"/>
      <c r="D81" s="602">
        <v>22</v>
      </c>
      <c r="E81" s="664"/>
      <c r="F81" s="495" t="s">
        <v>1320</v>
      </c>
      <c r="G81" s="495" t="s">
        <v>1310</v>
      </c>
      <c r="H81" s="495" t="s">
        <v>1321</v>
      </c>
      <c r="I81" s="624" t="s">
        <v>1322</v>
      </c>
      <c r="J81" s="610" t="s">
        <v>1313</v>
      </c>
      <c r="K81" s="610" t="s">
        <v>156</v>
      </c>
      <c r="L81" s="565">
        <v>44927</v>
      </c>
      <c r="M81" s="565">
        <v>45291</v>
      </c>
      <c r="N81" s="699" t="s">
        <v>89</v>
      </c>
      <c r="O81" s="625">
        <f>1/3</f>
        <v>0.33333333333333331</v>
      </c>
      <c r="P81" s="147">
        <v>0</v>
      </c>
      <c r="Q81" s="763">
        <v>0.5</v>
      </c>
      <c r="R81" s="153"/>
      <c r="S81" s="720"/>
      <c r="T81" s="708"/>
      <c r="U81" s="660" t="s">
        <v>1323</v>
      </c>
      <c r="V81" s="720"/>
      <c r="W81" s="708"/>
      <c r="X81" s="660" t="s">
        <v>1466</v>
      </c>
      <c r="Y81" s="720"/>
      <c r="Z81" s="708"/>
      <c r="AA81" s="668"/>
      <c r="AB81" s="672"/>
      <c r="AC81" s="521"/>
      <c r="AD81" s="521"/>
      <c r="AE81" s="575"/>
      <c r="AF81" s="569"/>
      <c r="AG81" s="575"/>
      <c r="AH81" s="569"/>
      <c r="AI81" s="575"/>
      <c r="AJ81" s="569"/>
      <c r="AK81" s="521"/>
      <c r="AL81" s="521"/>
    </row>
    <row r="82" spans="1:38" ht="138" customHeight="1" thickBot="1" x14ac:dyDescent="0.4">
      <c r="A82" s="521"/>
      <c r="B82" s="521"/>
      <c r="C82" s="633"/>
      <c r="D82" s="642"/>
      <c r="E82" s="665"/>
      <c r="F82" s="481"/>
      <c r="G82" s="481"/>
      <c r="H82" s="481"/>
      <c r="I82" s="658"/>
      <c r="J82" s="573"/>
      <c r="K82" s="573"/>
      <c r="L82" s="564"/>
      <c r="M82" s="564"/>
      <c r="N82" s="700"/>
      <c r="O82" s="701"/>
      <c r="P82" s="167">
        <v>0</v>
      </c>
      <c r="Q82" s="168">
        <v>0.5</v>
      </c>
      <c r="R82" s="169">
        <v>0.5</v>
      </c>
      <c r="S82" s="721"/>
      <c r="T82" s="709"/>
      <c r="U82" s="697"/>
      <c r="V82" s="721"/>
      <c r="W82" s="709"/>
      <c r="X82" s="697"/>
      <c r="Y82" s="721"/>
      <c r="Z82" s="709"/>
      <c r="AA82" s="670"/>
      <c r="AB82" s="673"/>
      <c r="AC82" s="521"/>
      <c r="AD82" s="521"/>
      <c r="AE82" s="576"/>
      <c r="AF82" s="570"/>
      <c r="AG82" s="576"/>
      <c r="AH82" s="570"/>
      <c r="AI82" s="576"/>
      <c r="AJ82" s="570"/>
      <c r="AK82" s="521"/>
      <c r="AL82" s="521"/>
    </row>
    <row r="83" spans="1:38" ht="73.5" customHeight="1" x14ac:dyDescent="0.35">
      <c r="A83" s="521"/>
      <c r="B83" s="521"/>
      <c r="C83" s="632"/>
      <c r="D83" s="601">
        <v>23</v>
      </c>
      <c r="E83" s="690">
        <v>6</v>
      </c>
      <c r="F83" s="606" t="s">
        <v>92</v>
      </c>
      <c r="G83" s="606" t="s">
        <v>1324</v>
      </c>
      <c r="H83" s="606" t="s">
        <v>1325</v>
      </c>
      <c r="I83" s="114" t="s">
        <v>1326</v>
      </c>
      <c r="J83" s="609" t="s">
        <v>1327</v>
      </c>
      <c r="K83" s="609" t="s">
        <v>156</v>
      </c>
      <c r="L83" s="683">
        <v>44927</v>
      </c>
      <c r="M83" s="683">
        <v>45291</v>
      </c>
      <c r="N83" s="141" t="s">
        <v>86</v>
      </c>
      <c r="O83" s="696">
        <f>1/3</f>
        <v>0.33333333333333331</v>
      </c>
      <c r="P83" s="170">
        <f>1/3</f>
        <v>0.33333333333333331</v>
      </c>
      <c r="Q83" s="170">
        <v>0.33</v>
      </c>
      <c r="R83" s="171"/>
      <c r="S83" s="715">
        <f>($O$83*P84)+($O$85*P86)+($O$87*P88)</f>
        <v>0.22</v>
      </c>
      <c r="T83" s="676">
        <f>($O$83*P83)+($O$85*P85)+($O$87*P87)</f>
        <v>0.22111111111111109</v>
      </c>
      <c r="U83" s="679" t="s">
        <v>1328</v>
      </c>
      <c r="V83" s="715">
        <f>($O$83*Q84)+($O$85*Q86)+($O$87*Q88)</f>
        <v>0.38666666666666666</v>
      </c>
      <c r="W83" s="676">
        <f>($O$83*Q83)+($O$85*Q85)+($O$87*Q87)</f>
        <v>0.38666666666666666</v>
      </c>
      <c r="X83" s="681" t="s">
        <v>1328</v>
      </c>
      <c r="Y83" s="715">
        <f>($O$83*R84)+($O$85*R86)+($O$87*R88)</f>
        <v>0.39333333333333331</v>
      </c>
      <c r="Z83" s="676">
        <f>($O$83*R83)+($O$85*R85)+($O$87*R87)</f>
        <v>0</v>
      </c>
      <c r="AA83" s="674"/>
      <c r="AB83" s="675">
        <v>0.1</v>
      </c>
      <c r="AC83" s="521"/>
      <c r="AD83" s="539"/>
      <c r="AE83" s="574">
        <f>+S83</f>
        <v>0.22</v>
      </c>
      <c r="AF83" s="568">
        <f>+T83</f>
        <v>0.22111111111111109</v>
      </c>
      <c r="AG83" s="574">
        <f>+V83</f>
        <v>0.38666666666666666</v>
      </c>
      <c r="AH83" s="568">
        <f>+W83</f>
        <v>0.38666666666666666</v>
      </c>
      <c r="AI83" s="574">
        <f>+Y83</f>
        <v>0.39333333333333331</v>
      </c>
      <c r="AJ83" s="568">
        <f>+Z83</f>
        <v>0</v>
      </c>
      <c r="AK83" s="106"/>
      <c r="AL83" s="85"/>
    </row>
    <row r="84" spans="1:38" ht="73.5" customHeight="1" x14ac:dyDescent="0.35">
      <c r="A84" s="521"/>
      <c r="B84" s="521"/>
      <c r="C84" s="633"/>
      <c r="D84" s="602"/>
      <c r="E84" s="691"/>
      <c r="F84" s="495"/>
      <c r="G84" s="495"/>
      <c r="H84" s="495"/>
      <c r="I84" s="97" t="s">
        <v>1329</v>
      </c>
      <c r="J84" s="610"/>
      <c r="K84" s="610"/>
      <c r="L84" s="563"/>
      <c r="M84" s="563"/>
      <c r="N84" s="145" t="s">
        <v>89</v>
      </c>
      <c r="O84" s="625"/>
      <c r="P84" s="146">
        <v>0.33</v>
      </c>
      <c r="Q84" s="128">
        <v>0.33</v>
      </c>
      <c r="R84" s="129">
        <v>0.34</v>
      </c>
      <c r="S84" s="720"/>
      <c r="T84" s="677"/>
      <c r="U84" s="680"/>
      <c r="V84" s="720"/>
      <c r="W84" s="677"/>
      <c r="X84" s="682"/>
      <c r="Y84" s="720"/>
      <c r="Z84" s="677"/>
      <c r="AA84" s="643"/>
      <c r="AB84" s="589"/>
      <c r="AC84" s="521"/>
      <c r="AD84" s="539"/>
      <c r="AE84" s="575"/>
      <c r="AF84" s="569"/>
      <c r="AG84" s="575"/>
      <c r="AH84" s="569"/>
      <c r="AI84" s="575"/>
      <c r="AJ84" s="569"/>
      <c r="AK84" s="85"/>
      <c r="AL84" s="85"/>
    </row>
    <row r="85" spans="1:38" ht="73.5" customHeight="1" x14ac:dyDescent="0.35">
      <c r="A85" s="521"/>
      <c r="B85" s="521"/>
      <c r="C85" s="633"/>
      <c r="D85" s="602">
        <v>24</v>
      </c>
      <c r="E85" s="691"/>
      <c r="F85" s="495" t="s">
        <v>92</v>
      </c>
      <c r="G85" s="495" t="s">
        <v>1324</v>
      </c>
      <c r="H85" s="495" t="s">
        <v>1330</v>
      </c>
      <c r="I85" s="610" t="s">
        <v>1331</v>
      </c>
      <c r="J85" s="608" t="s">
        <v>1332</v>
      </c>
      <c r="K85" s="610" t="s">
        <v>156</v>
      </c>
      <c r="L85" s="564">
        <v>44927</v>
      </c>
      <c r="M85" s="564">
        <v>45291</v>
      </c>
      <c r="N85" s="137" t="s">
        <v>86</v>
      </c>
      <c r="O85" s="625">
        <f>1/3</f>
        <v>0.33333333333333331</v>
      </c>
      <c r="P85" s="150">
        <v>0.33</v>
      </c>
      <c r="Q85" s="150">
        <v>0.33</v>
      </c>
      <c r="R85" s="133"/>
      <c r="S85" s="720"/>
      <c r="T85" s="677"/>
      <c r="U85" s="680" t="s">
        <v>1333</v>
      </c>
      <c r="V85" s="720"/>
      <c r="W85" s="677"/>
      <c r="X85" s="643" t="s">
        <v>1334</v>
      </c>
      <c r="Y85" s="720"/>
      <c r="Z85" s="677"/>
      <c r="AA85" s="643"/>
      <c r="AB85" s="589"/>
      <c r="AC85" s="521"/>
      <c r="AD85" s="539"/>
      <c r="AE85" s="575"/>
      <c r="AF85" s="569"/>
      <c r="AG85" s="575"/>
      <c r="AH85" s="569"/>
      <c r="AI85" s="575"/>
      <c r="AJ85" s="569"/>
      <c r="AK85" s="106"/>
      <c r="AL85" s="85"/>
    </row>
    <row r="86" spans="1:38" ht="73.5" customHeight="1" x14ac:dyDescent="0.35">
      <c r="A86" s="521"/>
      <c r="B86" s="521"/>
      <c r="C86" s="633"/>
      <c r="D86" s="602"/>
      <c r="E86" s="691"/>
      <c r="F86" s="495"/>
      <c r="G86" s="495"/>
      <c r="H86" s="495"/>
      <c r="I86" s="610"/>
      <c r="J86" s="608"/>
      <c r="K86" s="610"/>
      <c r="L86" s="562"/>
      <c r="M86" s="562"/>
      <c r="N86" s="145" t="s">
        <v>89</v>
      </c>
      <c r="O86" s="625"/>
      <c r="P86" s="146">
        <v>0.33</v>
      </c>
      <c r="Q86" s="128">
        <v>0.33</v>
      </c>
      <c r="R86" s="129">
        <v>0.34</v>
      </c>
      <c r="S86" s="720"/>
      <c r="T86" s="677"/>
      <c r="U86" s="680"/>
      <c r="V86" s="720"/>
      <c r="W86" s="677"/>
      <c r="X86" s="643"/>
      <c r="Y86" s="720"/>
      <c r="Z86" s="677"/>
      <c r="AA86" s="643"/>
      <c r="AB86" s="589"/>
      <c r="AC86" s="521"/>
      <c r="AD86" s="539"/>
      <c r="AE86" s="575"/>
      <c r="AF86" s="569"/>
      <c r="AG86" s="575"/>
      <c r="AH86" s="569"/>
      <c r="AI86" s="575"/>
      <c r="AJ86" s="569"/>
      <c r="AK86" s="85"/>
      <c r="AL86" s="85"/>
    </row>
    <row r="87" spans="1:38" ht="73.5" customHeight="1" x14ac:dyDescent="0.35">
      <c r="A87" s="521"/>
      <c r="B87" s="521"/>
      <c r="C87" s="633"/>
      <c r="D87" s="602">
        <v>25</v>
      </c>
      <c r="E87" s="691"/>
      <c r="F87" s="495" t="s">
        <v>118</v>
      </c>
      <c r="G87" s="495" t="s">
        <v>1335</v>
      </c>
      <c r="H87" s="495" t="s">
        <v>1336</v>
      </c>
      <c r="I87" s="97" t="s">
        <v>1337</v>
      </c>
      <c r="J87" s="610" t="s">
        <v>1338</v>
      </c>
      <c r="K87" s="646" t="s">
        <v>156</v>
      </c>
      <c r="L87" s="564">
        <v>45108</v>
      </c>
      <c r="M87" s="703">
        <v>45291</v>
      </c>
      <c r="N87" s="137" t="s">
        <v>86</v>
      </c>
      <c r="O87" s="625">
        <f>1/3</f>
        <v>0.33333333333333331</v>
      </c>
      <c r="P87" s="172">
        <v>0</v>
      </c>
      <c r="Q87" s="767">
        <v>0.5</v>
      </c>
      <c r="R87" s="133"/>
      <c r="S87" s="720"/>
      <c r="T87" s="677"/>
      <c r="U87" s="659" t="s">
        <v>1461</v>
      </c>
      <c r="V87" s="720"/>
      <c r="W87" s="677"/>
      <c r="X87" s="765" t="s">
        <v>1461</v>
      </c>
      <c r="Y87" s="720"/>
      <c r="Z87" s="677"/>
      <c r="AA87" s="687"/>
      <c r="AB87" s="589"/>
      <c r="AC87" s="521"/>
      <c r="AD87" s="539"/>
      <c r="AE87" s="575"/>
      <c r="AF87" s="569"/>
      <c r="AG87" s="575"/>
      <c r="AH87" s="569"/>
      <c r="AI87" s="575"/>
      <c r="AJ87" s="569"/>
      <c r="AK87" s="85"/>
      <c r="AL87" s="85"/>
    </row>
    <row r="88" spans="1:38" ht="73.5" customHeight="1" thickBot="1" x14ac:dyDescent="0.4">
      <c r="A88" s="521"/>
      <c r="B88" s="521"/>
      <c r="C88" s="634"/>
      <c r="D88" s="693"/>
      <c r="E88" s="692"/>
      <c r="F88" s="705"/>
      <c r="G88" s="705"/>
      <c r="H88" s="705"/>
      <c r="I88" s="115" t="s">
        <v>1339</v>
      </c>
      <c r="J88" s="706"/>
      <c r="K88" s="684"/>
      <c r="L88" s="702"/>
      <c r="M88" s="704"/>
      <c r="N88" s="173" t="s">
        <v>89</v>
      </c>
      <c r="O88" s="685"/>
      <c r="P88" s="164">
        <v>0</v>
      </c>
      <c r="Q88" s="165">
        <v>0.5</v>
      </c>
      <c r="R88" s="157">
        <v>0.5</v>
      </c>
      <c r="S88" s="721"/>
      <c r="T88" s="678"/>
      <c r="U88" s="686"/>
      <c r="V88" s="721"/>
      <c r="W88" s="678"/>
      <c r="X88" s="766"/>
      <c r="Y88" s="721"/>
      <c r="Z88" s="678"/>
      <c r="AA88" s="688"/>
      <c r="AB88" s="590"/>
      <c r="AC88" s="521"/>
      <c r="AD88" s="539"/>
      <c r="AE88" s="575"/>
      <c r="AF88" s="569"/>
      <c r="AG88" s="575"/>
      <c r="AH88" s="569"/>
      <c r="AI88" s="575"/>
      <c r="AJ88" s="569"/>
      <c r="AK88" s="85"/>
      <c r="AL88" s="85"/>
    </row>
    <row r="89" spans="1:38" s="193" customFormat="1" ht="77.150000000000006" customHeight="1" thickBot="1" x14ac:dyDescent="0.65">
      <c r="A89" s="689"/>
      <c r="B89" s="689"/>
      <c r="C89" s="189"/>
      <c r="D89" s="189"/>
      <c r="E89" s="189"/>
      <c r="F89" s="189"/>
      <c r="G89" s="189"/>
      <c r="H89" s="189"/>
      <c r="I89" s="189"/>
      <c r="J89" s="189"/>
      <c r="K89" s="189"/>
      <c r="L89" s="189"/>
      <c r="M89" s="189"/>
      <c r="N89" s="190"/>
      <c r="O89" s="189"/>
      <c r="P89" s="189"/>
      <c r="Q89" s="189"/>
      <c r="R89" s="189"/>
      <c r="S89" s="190"/>
      <c r="T89" s="190"/>
      <c r="U89" s="191"/>
      <c r="V89" s="191"/>
      <c r="W89" s="191"/>
      <c r="X89" s="191"/>
      <c r="Y89" s="191"/>
      <c r="Z89" s="190"/>
      <c r="AA89" s="190"/>
      <c r="AB89" s="190"/>
      <c r="AC89" s="189"/>
      <c r="AD89" s="190"/>
      <c r="AE89" s="217">
        <f t="shared" ref="AE89:AJ89" si="0">+($AB$39*AE39)+($AB$47*AE47)+($AB$63*AE63)+($AB$77*AE77)+($AB$83*AE83)</f>
        <v>0.18789285714285714</v>
      </c>
      <c r="AF89" s="194">
        <f t="shared" si="0"/>
        <v>0.18800396825396826</v>
      </c>
      <c r="AG89" s="218">
        <f t="shared" si="0"/>
        <v>0.40495238095238095</v>
      </c>
      <c r="AH89" s="194">
        <f t="shared" si="0"/>
        <v>0.39145238095238094</v>
      </c>
      <c r="AI89" s="218">
        <f t="shared" si="0"/>
        <v>0.40715476190476191</v>
      </c>
      <c r="AJ89" s="194">
        <f t="shared" si="0"/>
        <v>3.3300000000000003E-2</v>
      </c>
      <c r="AK89" s="192"/>
      <c r="AL89" s="192"/>
    </row>
    <row r="90" spans="1:38" s="193" customFormat="1" ht="46.5" thickBot="1" x14ac:dyDescent="0.65">
      <c r="A90" s="689"/>
      <c r="B90" s="689"/>
      <c r="C90" s="189"/>
      <c r="D90" s="189"/>
      <c r="E90" s="189"/>
      <c r="F90" s="189"/>
      <c r="G90" s="189"/>
      <c r="H90" s="189"/>
      <c r="I90" s="189"/>
      <c r="J90" s="189"/>
      <c r="K90" s="189"/>
      <c r="L90" s="189"/>
      <c r="M90" s="189"/>
      <c r="N90" s="190"/>
      <c r="O90" s="189"/>
      <c r="P90" s="189"/>
      <c r="Q90" s="189"/>
      <c r="R90" s="189"/>
      <c r="S90" s="190"/>
      <c r="T90" s="190"/>
      <c r="U90" s="191"/>
      <c r="V90" s="191"/>
      <c r="W90" s="191"/>
      <c r="X90" s="191"/>
      <c r="Y90" s="191"/>
      <c r="Z90" s="190"/>
      <c r="AA90" s="190"/>
      <c r="AB90" s="190"/>
      <c r="AC90" s="189"/>
      <c r="AD90" s="190"/>
      <c r="AE90" s="190"/>
      <c r="AF90" s="195">
        <f>+AF89/AE89</f>
        <v>1.0005913535660733</v>
      </c>
      <c r="AG90" s="196"/>
      <c r="AH90" s="195">
        <f>+AH89/AG89</f>
        <v>0.96666274694261523</v>
      </c>
      <c r="AI90" s="196"/>
      <c r="AJ90" s="195">
        <f>+AJ89/AI89</f>
        <v>8.178708224905705E-2</v>
      </c>
      <c r="AK90" s="192"/>
      <c r="AL90" s="192"/>
    </row>
  </sheetData>
  <autoFilter ref="C38:AB88" xr:uid="{E7369476-1993-4393-BAC7-AF45F5018B0D}"/>
  <mergeCells count="536">
    <mergeCell ref="A90:B90"/>
    <mergeCell ref="S39:S46"/>
    <mergeCell ref="W77:W82"/>
    <mergeCell ref="Z77:Z82"/>
    <mergeCell ref="S47:S62"/>
    <mergeCell ref="S63:S76"/>
    <mergeCell ref="S77:S82"/>
    <mergeCell ref="S83:S88"/>
    <mergeCell ref="V39:V46"/>
    <mergeCell ref="V47:V62"/>
    <mergeCell ref="V63:V76"/>
    <mergeCell ref="V77:V82"/>
    <mergeCell ref="V83:V88"/>
    <mergeCell ref="Y39:Y46"/>
    <mergeCell ref="Y47:Y62"/>
    <mergeCell ref="Y63:Y76"/>
    <mergeCell ref="Y77:Y82"/>
    <mergeCell ref="Y83:Y88"/>
    <mergeCell ref="X41:X42"/>
    <mergeCell ref="I45:I46"/>
    <mergeCell ref="A83:B83"/>
    <mergeCell ref="M49:M50"/>
    <mergeCell ref="L51:L52"/>
    <mergeCell ref="M51:M52"/>
    <mergeCell ref="AA41:AA42"/>
    <mergeCell ref="J81:J82"/>
    <mergeCell ref="T47:T62"/>
    <mergeCell ref="T77:T82"/>
    <mergeCell ref="L55:L56"/>
    <mergeCell ref="M55:M56"/>
    <mergeCell ref="L57:L58"/>
    <mergeCell ref="M57:M58"/>
    <mergeCell ref="L59:L60"/>
    <mergeCell ref="M59:M60"/>
    <mergeCell ref="L61:L62"/>
    <mergeCell ref="M61:M62"/>
    <mergeCell ref="L75:L76"/>
    <mergeCell ref="M75:M76"/>
    <mergeCell ref="L77:L78"/>
    <mergeCell ref="M77:M78"/>
    <mergeCell ref="L79:L80"/>
    <mergeCell ref="M79:M80"/>
    <mergeCell ref="AA79:AA80"/>
    <mergeCell ref="AA75:AA76"/>
    <mergeCell ref="U41:U42"/>
    <mergeCell ref="U75:U76"/>
    <mergeCell ref="O75:O76"/>
    <mergeCell ref="L49:L50"/>
    <mergeCell ref="L53:L54"/>
    <mergeCell ref="M53:M54"/>
    <mergeCell ref="H61:H62"/>
    <mergeCell ref="G61:G62"/>
    <mergeCell ref="L87:L88"/>
    <mergeCell ref="M87:M88"/>
    <mergeCell ref="F87:F88"/>
    <mergeCell ref="G87:G88"/>
    <mergeCell ref="H87:H88"/>
    <mergeCell ref="J87:J88"/>
    <mergeCell ref="H73:H74"/>
    <mergeCell ref="I61:I62"/>
    <mergeCell ref="J61:J62"/>
    <mergeCell ref="K61:K62"/>
    <mergeCell ref="K57:K58"/>
    <mergeCell ref="L47:L48"/>
    <mergeCell ref="M47:M48"/>
    <mergeCell ref="O83:O84"/>
    <mergeCell ref="U81:U82"/>
    <mergeCell ref="K69:K70"/>
    <mergeCell ref="L69:L70"/>
    <mergeCell ref="M69:M70"/>
    <mergeCell ref="O69:O70"/>
    <mergeCell ref="I85:I86"/>
    <mergeCell ref="J77:J78"/>
    <mergeCell ref="K77:K78"/>
    <mergeCell ref="O77:O78"/>
    <mergeCell ref="N81:N82"/>
    <mergeCell ref="O81:O82"/>
    <mergeCell ref="U73:U74"/>
    <mergeCell ref="J73:J74"/>
    <mergeCell ref="K73:K74"/>
    <mergeCell ref="M67:M68"/>
    <mergeCell ref="O67:O68"/>
    <mergeCell ref="J63:J64"/>
    <mergeCell ref="K63:K64"/>
    <mergeCell ref="L63:L64"/>
    <mergeCell ref="M63:M64"/>
    <mergeCell ref="O63:O64"/>
    <mergeCell ref="A88:B88"/>
    <mergeCell ref="AC88:AD88"/>
    <mergeCell ref="A89:B89"/>
    <mergeCell ref="C83:C88"/>
    <mergeCell ref="D83:D84"/>
    <mergeCell ref="E83:E88"/>
    <mergeCell ref="F83:F84"/>
    <mergeCell ref="G83:G84"/>
    <mergeCell ref="H83:H84"/>
    <mergeCell ref="J83:J84"/>
    <mergeCell ref="K83:K84"/>
    <mergeCell ref="A86:B86"/>
    <mergeCell ref="AC86:AD86"/>
    <mergeCell ref="A87:B87"/>
    <mergeCell ref="D87:D88"/>
    <mergeCell ref="U85:U86"/>
    <mergeCell ref="G85:G86"/>
    <mergeCell ref="H85:H86"/>
    <mergeCell ref="J85:J86"/>
    <mergeCell ref="K85:K86"/>
    <mergeCell ref="L85:L86"/>
    <mergeCell ref="M85:M86"/>
    <mergeCell ref="A84:B84"/>
    <mergeCell ref="A85:B85"/>
    <mergeCell ref="AH83:AH88"/>
    <mergeCell ref="K87:K88"/>
    <mergeCell ref="O87:O88"/>
    <mergeCell ref="U87:U88"/>
    <mergeCell ref="X87:X88"/>
    <mergeCell ref="AA87:AA88"/>
    <mergeCell ref="AC87:AD87"/>
    <mergeCell ref="AI83:AI88"/>
    <mergeCell ref="AJ83:AJ88"/>
    <mergeCell ref="AC84:AD84"/>
    <mergeCell ref="D85:D86"/>
    <mergeCell ref="F85:F86"/>
    <mergeCell ref="AA83:AA84"/>
    <mergeCell ref="AB83:AB88"/>
    <mergeCell ref="AC83:AD83"/>
    <mergeCell ref="AE83:AE88"/>
    <mergeCell ref="AF83:AF88"/>
    <mergeCell ref="AG83:AG88"/>
    <mergeCell ref="AA85:AA86"/>
    <mergeCell ref="AC85:AD85"/>
    <mergeCell ref="T83:T88"/>
    <mergeCell ref="U83:U84"/>
    <mergeCell ref="W83:W88"/>
    <mergeCell ref="X83:X84"/>
    <mergeCell ref="Z83:Z88"/>
    <mergeCell ref="X85:X86"/>
    <mergeCell ref="L83:L84"/>
    <mergeCell ref="M83:M84"/>
    <mergeCell ref="O85:O86"/>
    <mergeCell ref="AK81:AK82"/>
    <mergeCell ref="AA81:AA82"/>
    <mergeCell ref="AC81:AC82"/>
    <mergeCell ref="AD81:AD82"/>
    <mergeCell ref="X81:X82"/>
    <mergeCell ref="AB77:AB82"/>
    <mergeCell ref="AE77:AE82"/>
    <mergeCell ref="AF77:AF82"/>
    <mergeCell ref="AG77:AG82"/>
    <mergeCell ref="AH77:AH82"/>
    <mergeCell ref="AI77:AI82"/>
    <mergeCell ref="AJ77:AJ82"/>
    <mergeCell ref="A77:B77"/>
    <mergeCell ref="C77:C80"/>
    <mergeCell ref="D77:D78"/>
    <mergeCell ref="E77:E82"/>
    <mergeCell ref="F77:F78"/>
    <mergeCell ref="G77:G78"/>
    <mergeCell ref="H77:H78"/>
    <mergeCell ref="AL81:AL82"/>
    <mergeCell ref="A78:B78"/>
    <mergeCell ref="AC78:AD78"/>
    <mergeCell ref="A79:B79"/>
    <mergeCell ref="D79:D80"/>
    <mergeCell ref="F79:F80"/>
    <mergeCell ref="G79:G80"/>
    <mergeCell ref="H79:H80"/>
    <mergeCell ref="J79:J80"/>
    <mergeCell ref="K79:K80"/>
    <mergeCell ref="X77:X78"/>
    <mergeCell ref="AA77:AA78"/>
    <mergeCell ref="AC77:AD77"/>
    <mergeCell ref="U77:U78"/>
    <mergeCell ref="K81:K82"/>
    <mergeCell ref="L81:L82"/>
    <mergeCell ref="M81:M82"/>
    <mergeCell ref="A76:B76"/>
    <mergeCell ref="AC76:AD76"/>
    <mergeCell ref="X75:X76"/>
    <mergeCell ref="AC75:AD75"/>
    <mergeCell ref="A80:B80"/>
    <mergeCell ref="AC80:AD80"/>
    <mergeCell ref="A81:B82"/>
    <mergeCell ref="C81:C82"/>
    <mergeCell ref="D81:D82"/>
    <mergeCell ref="F81:F82"/>
    <mergeCell ref="G81:G82"/>
    <mergeCell ref="H81:H82"/>
    <mergeCell ref="I81:I82"/>
    <mergeCell ref="O79:O80"/>
    <mergeCell ref="AC79:AD79"/>
    <mergeCell ref="X79:X80"/>
    <mergeCell ref="U79:U80"/>
    <mergeCell ref="A75:B75"/>
    <mergeCell ref="D75:D76"/>
    <mergeCell ref="F75:F76"/>
    <mergeCell ref="G75:G76"/>
    <mergeCell ref="H75:H76"/>
    <mergeCell ref="J75:J76"/>
    <mergeCell ref="K75:K76"/>
    <mergeCell ref="A70:B70"/>
    <mergeCell ref="AC70:AD70"/>
    <mergeCell ref="A69:B69"/>
    <mergeCell ref="U71:U72"/>
    <mergeCell ref="X71:X72"/>
    <mergeCell ref="AA71:AA72"/>
    <mergeCell ref="AC71:AD71"/>
    <mergeCell ref="L71:L72"/>
    <mergeCell ref="M71:M72"/>
    <mergeCell ref="O71:O72"/>
    <mergeCell ref="D69:D70"/>
    <mergeCell ref="F69:F70"/>
    <mergeCell ref="G69:G70"/>
    <mergeCell ref="H69:H70"/>
    <mergeCell ref="J69:J70"/>
    <mergeCell ref="AB63:AB76"/>
    <mergeCell ref="AC63:AD63"/>
    <mergeCell ref="AC68:AD68"/>
    <mergeCell ref="L67:L68"/>
    <mergeCell ref="U69:U70"/>
    <mergeCell ref="X69:X70"/>
    <mergeCell ref="AA69:AA70"/>
    <mergeCell ref="AC69:AD69"/>
    <mergeCell ref="AA73:AA74"/>
    <mergeCell ref="A74:B74"/>
    <mergeCell ref="A71:B71"/>
    <mergeCell ref="D71:D72"/>
    <mergeCell ref="F71:F72"/>
    <mergeCell ref="G71:G72"/>
    <mergeCell ref="H71:H72"/>
    <mergeCell ref="J71:J72"/>
    <mergeCell ref="K71:K72"/>
    <mergeCell ref="X73:X74"/>
    <mergeCell ref="A72:B72"/>
    <mergeCell ref="A73:B73"/>
    <mergeCell ref="D73:D74"/>
    <mergeCell ref="F73:F74"/>
    <mergeCell ref="G73:G74"/>
    <mergeCell ref="L73:L74"/>
    <mergeCell ref="M73:M74"/>
    <mergeCell ref="O73:O74"/>
    <mergeCell ref="A67:B67"/>
    <mergeCell ref="D67:D68"/>
    <mergeCell ref="F67:F68"/>
    <mergeCell ref="G67:G68"/>
    <mergeCell ref="H67:H68"/>
    <mergeCell ref="J67:J68"/>
    <mergeCell ref="K67:K68"/>
    <mergeCell ref="L65:L66"/>
    <mergeCell ref="M65:M66"/>
    <mergeCell ref="A68:B68"/>
    <mergeCell ref="H65:H66"/>
    <mergeCell ref="J65:J66"/>
    <mergeCell ref="K65:K66"/>
    <mergeCell ref="AE63:AE76"/>
    <mergeCell ref="T63:T76"/>
    <mergeCell ref="U63:U64"/>
    <mergeCell ref="W63:W76"/>
    <mergeCell ref="U65:U66"/>
    <mergeCell ref="AA67:AA68"/>
    <mergeCell ref="AC67:AD67"/>
    <mergeCell ref="AF63:AF76"/>
    <mergeCell ref="AG63:AG76"/>
    <mergeCell ref="AC73:AD73"/>
    <mergeCell ref="AC72:AD72"/>
    <mergeCell ref="AC74:AD74"/>
    <mergeCell ref="AC66:AD66"/>
    <mergeCell ref="X65:X66"/>
    <mergeCell ref="AA65:AA66"/>
    <mergeCell ref="AC65:AD65"/>
    <mergeCell ref="X67:X68"/>
    <mergeCell ref="AH63:AH76"/>
    <mergeCell ref="AI63:AI76"/>
    <mergeCell ref="AJ63:AJ76"/>
    <mergeCell ref="X63:X64"/>
    <mergeCell ref="Z63:Z76"/>
    <mergeCell ref="AA63:AA64"/>
    <mergeCell ref="U67:U68"/>
    <mergeCell ref="AC64:AD64"/>
    <mergeCell ref="A62:B62"/>
    <mergeCell ref="AC62:AD62"/>
    <mergeCell ref="A63:B63"/>
    <mergeCell ref="C63:C76"/>
    <mergeCell ref="D63:D64"/>
    <mergeCell ref="E63:E76"/>
    <mergeCell ref="F63:F64"/>
    <mergeCell ref="G63:G64"/>
    <mergeCell ref="H63:H64"/>
    <mergeCell ref="U61:U62"/>
    <mergeCell ref="X61:X62"/>
    <mergeCell ref="AC61:AD61"/>
    <mergeCell ref="O61:O62"/>
    <mergeCell ref="A61:B61"/>
    <mergeCell ref="D61:D62"/>
    <mergeCell ref="F61:F62"/>
    <mergeCell ref="A64:B64"/>
    <mergeCell ref="A65:B65"/>
    <mergeCell ref="D65:D66"/>
    <mergeCell ref="F65:F66"/>
    <mergeCell ref="G65:G66"/>
    <mergeCell ref="K59:K60"/>
    <mergeCell ref="O59:O60"/>
    <mergeCell ref="U59:U60"/>
    <mergeCell ref="X59:X60"/>
    <mergeCell ref="A66:B66"/>
    <mergeCell ref="O65:O66"/>
    <mergeCell ref="AA59:AA60"/>
    <mergeCell ref="AC59:AD59"/>
    <mergeCell ref="AC60:AD60"/>
    <mergeCell ref="A59:B59"/>
    <mergeCell ref="D59:D60"/>
    <mergeCell ref="F59:F60"/>
    <mergeCell ref="H59:H60"/>
    <mergeCell ref="I59:I60"/>
    <mergeCell ref="J59:J60"/>
    <mergeCell ref="A60:B60"/>
    <mergeCell ref="O57:O58"/>
    <mergeCell ref="U57:U58"/>
    <mergeCell ref="X57:X58"/>
    <mergeCell ref="AA57:AA58"/>
    <mergeCell ref="AC57:AD57"/>
    <mergeCell ref="AC58:AD58"/>
    <mergeCell ref="A57:B57"/>
    <mergeCell ref="D57:D58"/>
    <mergeCell ref="F57:F58"/>
    <mergeCell ref="H57:H58"/>
    <mergeCell ref="I57:I58"/>
    <mergeCell ref="J57:J58"/>
    <mergeCell ref="A58:B58"/>
    <mergeCell ref="O55:O56"/>
    <mergeCell ref="U55:U56"/>
    <mergeCell ref="X55:X56"/>
    <mergeCell ref="AA55:AA56"/>
    <mergeCell ref="AC55:AD55"/>
    <mergeCell ref="AC56:AD56"/>
    <mergeCell ref="A55:B55"/>
    <mergeCell ref="D55:D56"/>
    <mergeCell ref="F55:F56"/>
    <mergeCell ref="H55:H56"/>
    <mergeCell ref="I55:I56"/>
    <mergeCell ref="J55:J56"/>
    <mergeCell ref="A56:B56"/>
    <mergeCell ref="A54:B54"/>
    <mergeCell ref="AC54:AD54"/>
    <mergeCell ref="X51:X52"/>
    <mergeCell ref="AA51:AA52"/>
    <mergeCell ref="AC51:AD51"/>
    <mergeCell ref="A52:B52"/>
    <mergeCell ref="AC52:AD52"/>
    <mergeCell ref="A53:B53"/>
    <mergeCell ref="D53:D54"/>
    <mergeCell ref="F53:F54"/>
    <mergeCell ref="H53:H54"/>
    <mergeCell ref="I53:I54"/>
    <mergeCell ref="H51:H52"/>
    <mergeCell ref="I51:I52"/>
    <mergeCell ref="J51:J52"/>
    <mergeCell ref="K51:K52"/>
    <mergeCell ref="O51:O52"/>
    <mergeCell ref="W47:W62"/>
    <mergeCell ref="X47:X48"/>
    <mergeCell ref="Z47:Z62"/>
    <mergeCell ref="AA47:AA48"/>
    <mergeCell ref="AB47:AB62"/>
    <mergeCell ref="U49:U50"/>
    <mergeCell ref="K55:K56"/>
    <mergeCell ref="AA49:AA50"/>
    <mergeCell ref="U51:U52"/>
    <mergeCell ref="U53:U54"/>
    <mergeCell ref="X53:X54"/>
    <mergeCell ref="AA53:AA54"/>
    <mergeCell ref="AJ47:AJ62"/>
    <mergeCell ref="A48:B48"/>
    <mergeCell ref="AC48:AD48"/>
    <mergeCell ref="A49:B49"/>
    <mergeCell ref="D49:D50"/>
    <mergeCell ref="F49:F50"/>
    <mergeCell ref="H49:H50"/>
    <mergeCell ref="I49:I50"/>
    <mergeCell ref="J49:J50"/>
    <mergeCell ref="K49:K50"/>
    <mergeCell ref="AC47:AD47"/>
    <mergeCell ref="AE47:AE62"/>
    <mergeCell ref="AF47:AF62"/>
    <mergeCell ref="AG47:AG62"/>
    <mergeCell ref="AH47:AH62"/>
    <mergeCell ref="AI47:AI62"/>
    <mergeCell ref="AC49:AD49"/>
    <mergeCell ref="U47:U48"/>
    <mergeCell ref="AC53:AD53"/>
    <mergeCell ref="AA45:AA46"/>
    <mergeCell ref="AC45:AD45"/>
    <mergeCell ref="A46:B46"/>
    <mergeCell ref="AC46:AD46"/>
    <mergeCell ref="A47:B47"/>
    <mergeCell ref="C47:C62"/>
    <mergeCell ref="D47:D48"/>
    <mergeCell ref="E47:E62"/>
    <mergeCell ref="F47:F48"/>
    <mergeCell ref="H47:H48"/>
    <mergeCell ref="I47:I48"/>
    <mergeCell ref="J47:J48"/>
    <mergeCell ref="K47:K48"/>
    <mergeCell ref="O47:O48"/>
    <mergeCell ref="O49:O50"/>
    <mergeCell ref="J53:J54"/>
    <mergeCell ref="K53:K54"/>
    <mergeCell ref="O53:O54"/>
    <mergeCell ref="A50:B50"/>
    <mergeCell ref="AC50:AD50"/>
    <mergeCell ref="A51:B51"/>
    <mergeCell ref="D51:D52"/>
    <mergeCell ref="F51:F52"/>
    <mergeCell ref="X49:X50"/>
    <mergeCell ref="AC44:AD44"/>
    <mergeCell ref="A45:B45"/>
    <mergeCell ref="D45:D46"/>
    <mergeCell ref="F45:F46"/>
    <mergeCell ref="G45:G46"/>
    <mergeCell ref="H45:H46"/>
    <mergeCell ref="J45:J46"/>
    <mergeCell ref="K45:K46"/>
    <mergeCell ref="O45:O46"/>
    <mergeCell ref="G43:G44"/>
    <mergeCell ref="H43:H44"/>
    <mergeCell ref="I43:I44"/>
    <mergeCell ref="J43:J44"/>
    <mergeCell ref="K43:K44"/>
    <mergeCell ref="O43:O44"/>
    <mergeCell ref="AB39:AB46"/>
    <mergeCell ref="U43:U44"/>
    <mergeCell ref="X43:X44"/>
    <mergeCell ref="AA43:AA44"/>
    <mergeCell ref="U45:U46"/>
    <mergeCell ref="H39:H40"/>
    <mergeCell ref="I39:I40"/>
    <mergeCell ref="J39:J40"/>
    <mergeCell ref="X45:X46"/>
    <mergeCell ref="AJ39:AJ46"/>
    <mergeCell ref="A40:B40"/>
    <mergeCell ref="AC40:AD40"/>
    <mergeCell ref="A41:B41"/>
    <mergeCell ref="D41:D42"/>
    <mergeCell ref="F41:F42"/>
    <mergeCell ref="G41:G42"/>
    <mergeCell ref="H41:H42"/>
    <mergeCell ref="I41:I42"/>
    <mergeCell ref="J41:J42"/>
    <mergeCell ref="AC39:AD39"/>
    <mergeCell ref="AE39:AE46"/>
    <mergeCell ref="AF39:AF46"/>
    <mergeCell ref="AG39:AG46"/>
    <mergeCell ref="AH39:AH46"/>
    <mergeCell ref="AI39:AI46"/>
    <mergeCell ref="AC41:AD41"/>
    <mergeCell ref="AC42:AD42"/>
    <mergeCell ref="AC43:AD43"/>
    <mergeCell ref="U39:U40"/>
    <mergeCell ref="W39:W46"/>
    <mergeCell ref="X39:X40"/>
    <mergeCell ref="Z39:Z46"/>
    <mergeCell ref="AA39:AA40"/>
    <mergeCell ref="K39:K40"/>
    <mergeCell ref="O39:O40"/>
    <mergeCell ref="T39:T46"/>
    <mergeCell ref="K41:K42"/>
    <mergeCell ref="O41:O42"/>
    <mergeCell ref="A39:B39"/>
    <mergeCell ref="C39:C46"/>
    <mergeCell ref="D39:D40"/>
    <mergeCell ref="E39:E46"/>
    <mergeCell ref="F39:F40"/>
    <mergeCell ref="G39:G40"/>
    <mergeCell ref="A42:B42"/>
    <mergeCell ref="A43:B43"/>
    <mergeCell ref="D43:D44"/>
    <mergeCell ref="F43:F44"/>
    <mergeCell ref="A44:B44"/>
    <mergeCell ref="L39:L40"/>
    <mergeCell ref="M39:M40"/>
    <mergeCell ref="L41:L42"/>
    <mergeCell ref="M41:M42"/>
    <mergeCell ref="L43:L44"/>
    <mergeCell ref="M43:M44"/>
    <mergeCell ref="L45:L46"/>
    <mergeCell ref="M45:M46"/>
    <mergeCell ref="A37:B37"/>
    <mergeCell ref="AC37:AD37"/>
    <mergeCell ref="AE37:AF37"/>
    <mergeCell ref="AG37:AH37"/>
    <mergeCell ref="AI37:AJ37"/>
    <mergeCell ref="A38:B38"/>
    <mergeCell ref="AC38:AD38"/>
    <mergeCell ref="A34:B34"/>
    <mergeCell ref="AC34:AD34"/>
    <mergeCell ref="A35:B35"/>
    <mergeCell ref="AC35:AD35"/>
    <mergeCell ref="A36:B36"/>
    <mergeCell ref="AC36:AD36"/>
    <mergeCell ref="A32:B32"/>
    <mergeCell ref="AC32:AD32"/>
    <mergeCell ref="A33:B33"/>
    <mergeCell ref="AC33:AD33"/>
    <mergeCell ref="A28:B28"/>
    <mergeCell ref="AC28:AD28"/>
    <mergeCell ref="A29:B29"/>
    <mergeCell ref="AC29:AD29"/>
    <mergeCell ref="A30:B30"/>
    <mergeCell ref="AC30:AD30"/>
    <mergeCell ref="A27:B27"/>
    <mergeCell ref="AC27:AD27"/>
    <mergeCell ref="AC17:AD17"/>
    <mergeCell ref="AC18:AD18"/>
    <mergeCell ref="AC19:AD19"/>
    <mergeCell ref="AC20:AD20"/>
    <mergeCell ref="AC21:AD21"/>
    <mergeCell ref="AC22:AD22"/>
    <mergeCell ref="A31:B31"/>
    <mergeCell ref="AC31:AD31"/>
    <mergeCell ref="C1:E11"/>
    <mergeCell ref="AC1:AD1"/>
    <mergeCell ref="C12:E37"/>
    <mergeCell ref="F12:AB37"/>
    <mergeCell ref="AC12:AD12"/>
    <mergeCell ref="AC13:AD13"/>
    <mergeCell ref="AC14:AD14"/>
    <mergeCell ref="AC15:AD15"/>
    <mergeCell ref="AC16:AD16"/>
    <mergeCell ref="AC23:AD23"/>
    <mergeCell ref="AC24:AD24"/>
    <mergeCell ref="AC25:AD25"/>
    <mergeCell ref="AC26:AD26"/>
    <mergeCell ref="K10:AB11"/>
    <mergeCell ref="F1:AB9"/>
    <mergeCell ref="F10:G11"/>
    <mergeCell ref="H10:J11"/>
  </mergeCells>
  <pageMargins left="0.7" right="0.7" top="0.75" bottom="0.75" header="0.3" footer="0.3"/>
  <headerFooter>
    <oddFooter>&amp;C_x000D_&amp;1#&amp;"Calibri"&amp;10&amp;K008000 DOCUMENTO PÚBLICO</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9B60-9B0F-4174-8046-278B6D04FB75}">
  <dimension ref="A1:AJ39"/>
  <sheetViews>
    <sheetView showGridLines="0" view="pageBreakPreview" topLeftCell="A16" zoomScale="130" zoomScaleNormal="10" zoomScaleSheetLayoutView="130" zoomScalePageLayoutView="48" workbookViewId="0">
      <selection activeCell="AH18" sqref="AH18:AH19"/>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9" width="28.54296875" style="1" customWidth="1"/>
    <col min="10" max="10" width="37.54296875" style="1" customWidth="1"/>
    <col min="11" max="11" width="23.54296875" style="1" customWidth="1"/>
    <col min="12" max="12" width="19.54296875" style="1" customWidth="1"/>
    <col min="13" max="13" width="28.54296875" style="1" customWidth="1"/>
    <col min="14" max="16" width="18.26953125" style="1" customWidth="1"/>
    <col min="17" max="19" width="13.7265625" style="1" customWidth="1"/>
    <col min="20" max="32" width="9.54296875" style="1" customWidth="1"/>
    <col min="33" max="33" width="35.7265625" style="1" customWidth="1"/>
    <col min="34" max="36" width="42.54296875" style="1" customWidth="1"/>
    <col min="37" max="16384" width="12.54296875" style="1"/>
  </cols>
  <sheetData>
    <row r="1" spans="1:36" s="60" customFormat="1" ht="15" customHeight="1" x14ac:dyDescent="0.35">
      <c r="A1" s="293"/>
      <c r="B1" s="294"/>
      <c r="C1" s="295"/>
      <c r="D1" s="361" t="s">
        <v>1340</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row>
    <row r="2" spans="1:36"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row>
    <row r="3" spans="1:36"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row>
    <row r="4" spans="1:36"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c r="AH4" s="62"/>
    </row>
    <row r="5" spans="1:36"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c r="AH5" s="62"/>
    </row>
    <row r="6" spans="1:36" ht="20.149999999999999" customHeight="1" x14ac:dyDescent="0.35">
      <c r="A6" s="292" t="s">
        <v>28</v>
      </c>
      <c r="B6" s="292"/>
      <c r="C6" s="302" t="s">
        <v>1341</v>
      </c>
      <c r="D6" s="302"/>
      <c r="E6" s="303" t="s">
        <v>30</v>
      </c>
      <c r="F6" s="303"/>
      <c r="G6" s="324">
        <f>+R15+R17+R19+R21+R23+R25</f>
        <v>0.99999999999999989</v>
      </c>
      <c r="H6" s="303" t="s">
        <v>31</v>
      </c>
      <c r="I6" s="303"/>
      <c r="J6" s="414">
        <f>+R14+R16+R18+R20+R22+R24</f>
        <v>0.56533333333333335</v>
      </c>
      <c r="K6" s="286" t="s">
        <v>32</v>
      </c>
      <c r="L6" s="287"/>
      <c r="M6" s="330">
        <v>0.95</v>
      </c>
      <c r="N6" s="292" t="s">
        <v>33</v>
      </c>
      <c r="O6" s="292"/>
      <c r="P6" s="292"/>
      <c r="Q6" s="370">
        <f>(SUM(W14,W16,W18,W20,W22,W24)/SUM(W15,W17,W19,W21,W23,W25))/M6</f>
        <v>1.0352941176470589</v>
      </c>
      <c r="R6" s="370"/>
      <c r="S6" s="370"/>
      <c r="T6" s="306" t="s">
        <v>34</v>
      </c>
      <c r="U6" s="307"/>
      <c r="V6" s="307"/>
      <c r="W6" s="308"/>
      <c r="X6" s="315">
        <f>SUM(Z14,Z16,Z18,Z20,Z22,Z24)/SUM(Z15,Z17,Z19,Z21,Z23,Z25)/M6</f>
        <v>1.0650154798761611</v>
      </c>
      <c r="Y6" s="316"/>
      <c r="Z6" s="316"/>
      <c r="AA6" s="317"/>
      <c r="AB6" s="306" t="s">
        <v>35</v>
      </c>
      <c r="AC6" s="307"/>
      <c r="AD6" s="307"/>
      <c r="AE6" s="308"/>
      <c r="AF6" s="315">
        <f>SUM(AC14,AC16,AC18,AC20,AC22,AC24)/SUM(AC15,AC17,AC19,AC21,AC23,AC25)/M6</f>
        <v>0</v>
      </c>
      <c r="AG6" s="316"/>
      <c r="AH6" s="306" t="s">
        <v>36</v>
      </c>
      <c r="AI6" s="315">
        <f>SUM(AF14,AF16,AF18,AF20,AF22,AF24)/SUM(AF15,AF17,AF19,AF21,AF23,AF25)/M6</f>
        <v>0</v>
      </c>
    </row>
    <row r="7" spans="1:36" ht="15" customHeight="1" x14ac:dyDescent="0.35">
      <c r="A7" s="292"/>
      <c r="B7" s="292"/>
      <c r="C7" s="302"/>
      <c r="D7" s="302"/>
      <c r="E7" s="303"/>
      <c r="F7" s="303"/>
      <c r="G7" s="325"/>
      <c r="H7" s="303"/>
      <c r="I7" s="303"/>
      <c r="J7" s="415"/>
      <c r="K7" s="288"/>
      <c r="L7" s="289"/>
      <c r="M7" s="331"/>
      <c r="N7" s="292"/>
      <c r="O7" s="292"/>
      <c r="P7" s="292"/>
      <c r="Q7" s="370"/>
      <c r="R7" s="370"/>
      <c r="S7" s="370"/>
      <c r="T7" s="309"/>
      <c r="U7" s="310"/>
      <c r="V7" s="310"/>
      <c r="W7" s="311"/>
      <c r="X7" s="318"/>
      <c r="Y7" s="319"/>
      <c r="Z7" s="319"/>
      <c r="AA7" s="320"/>
      <c r="AB7" s="309"/>
      <c r="AC7" s="310"/>
      <c r="AD7" s="310"/>
      <c r="AE7" s="311"/>
      <c r="AF7" s="318"/>
      <c r="AG7" s="319"/>
      <c r="AH7" s="309"/>
      <c r="AI7" s="318"/>
    </row>
    <row r="8" spans="1:36" ht="25.15" hidden="1" customHeight="1" thickBot="1" x14ac:dyDescent="0.4">
      <c r="A8" s="292"/>
      <c r="B8" s="292"/>
      <c r="C8" s="302"/>
      <c r="D8" s="302"/>
      <c r="E8" s="303"/>
      <c r="F8" s="303"/>
      <c r="G8" s="325"/>
      <c r="H8" s="303"/>
      <c r="I8" s="303"/>
      <c r="J8" s="415"/>
      <c r="K8" s="288"/>
      <c r="L8" s="289"/>
      <c r="M8" s="331"/>
      <c r="N8" s="292"/>
      <c r="O8" s="292"/>
      <c r="P8" s="292"/>
      <c r="Q8" s="370"/>
      <c r="R8" s="370"/>
      <c r="S8" s="370"/>
      <c r="T8" s="309"/>
      <c r="U8" s="310"/>
      <c r="V8" s="310"/>
      <c r="W8" s="311"/>
      <c r="X8" s="318"/>
      <c r="Y8" s="319"/>
      <c r="Z8" s="319"/>
      <c r="AA8" s="320"/>
      <c r="AB8" s="309"/>
      <c r="AC8" s="310"/>
      <c r="AD8" s="310"/>
      <c r="AE8" s="311"/>
      <c r="AF8" s="318"/>
      <c r="AG8" s="319"/>
      <c r="AH8" s="309"/>
      <c r="AI8" s="318"/>
    </row>
    <row r="9" spans="1:36" ht="25.15" hidden="1" customHeight="1" thickBot="1" x14ac:dyDescent="0.4">
      <c r="A9" s="292"/>
      <c r="B9" s="292"/>
      <c r="C9" s="302"/>
      <c r="D9" s="302"/>
      <c r="E9" s="303"/>
      <c r="F9" s="303"/>
      <c r="G9" s="325"/>
      <c r="H9" s="303"/>
      <c r="I9" s="303"/>
      <c r="J9" s="415"/>
      <c r="K9" s="288"/>
      <c r="L9" s="289"/>
      <c r="M9" s="331"/>
      <c r="N9" s="292"/>
      <c r="O9" s="292"/>
      <c r="P9" s="292"/>
      <c r="Q9" s="370"/>
      <c r="R9" s="370"/>
      <c r="S9" s="370"/>
      <c r="T9" s="309"/>
      <c r="U9" s="310"/>
      <c r="V9" s="310"/>
      <c r="W9" s="311"/>
      <c r="X9" s="318"/>
      <c r="Y9" s="319"/>
      <c r="Z9" s="319"/>
      <c r="AA9" s="320"/>
      <c r="AB9" s="309"/>
      <c r="AC9" s="310"/>
      <c r="AD9" s="310"/>
      <c r="AE9" s="311"/>
      <c r="AF9" s="318"/>
      <c r="AG9" s="319"/>
      <c r="AH9" s="309"/>
      <c r="AI9" s="318"/>
    </row>
    <row r="10" spans="1:36" ht="15" customHeight="1" thickBot="1" x14ac:dyDescent="0.4">
      <c r="A10" s="292"/>
      <c r="B10" s="292"/>
      <c r="C10" s="302"/>
      <c r="D10" s="302"/>
      <c r="E10" s="303"/>
      <c r="F10" s="303"/>
      <c r="G10" s="326"/>
      <c r="H10" s="303"/>
      <c r="I10" s="303"/>
      <c r="J10" s="416"/>
      <c r="K10" s="290"/>
      <c r="L10" s="291"/>
      <c r="M10" s="332"/>
      <c r="N10" s="292"/>
      <c r="O10" s="292"/>
      <c r="P10" s="292"/>
      <c r="Q10" s="370"/>
      <c r="R10" s="370"/>
      <c r="S10" s="370"/>
      <c r="T10" s="312"/>
      <c r="U10" s="313"/>
      <c r="V10" s="313"/>
      <c r="W10" s="314"/>
      <c r="X10" s="321"/>
      <c r="Y10" s="322"/>
      <c r="Z10" s="322"/>
      <c r="AA10" s="323"/>
      <c r="AB10" s="312"/>
      <c r="AC10" s="313"/>
      <c r="AD10" s="313"/>
      <c r="AE10" s="314"/>
      <c r="AF10" s="321"/>
      <c r="AG10" s="322"/>
      <c r="AH10" s="312"/>
      <c r="AI10" s="321"/>
    </row>
    <row r="11" spans="1:36" s="12" customFormat="1" ht="40.15" customHeight="1" thickBot="1" x14ac:dyDescent="0.4">
      <c r="A11" s="268" t="s">
        <v>37</v>
      </c>
      <c r="B11" s="268"/>
      <c r="C11" s="268"/>
      <c r="D11" s="268"/>
      <c r="E11" s="268"/>
      <c r="F11" s="269"/>
      <c r="G11" s="270" t="s">
        <v>38</v>
      </c>
      <c r="H11" s="271"/>
      <c r="I11" s="271"/>
      <c r="J11" s="271"/>
      <c r="K11" s="271"/>
      <c r="L11" s="271"/>
      <c r="M11" s="271"/>
      <c r="N11" s="271"/>
      <c r="O11" s="271"/>
      <c r="P11" s="272"/>
      <c r="Q11" s="345" t="s">
        <v>39</v>
      </c>
      <c r="R11" s="346"/>
      <c r="S11" s="346"/>
      <c r="T11" s="346"/>
      <c r="U11" s="346"/>
      <c r="V11" s="346"/>
      <c r="W11" s="346"/>
      <c r="X11" s="346"/>
      <c r="Y11" s="346"/>
      <c r="Z11" s="346"/>
      <c r="AA11" s="346"/>
      <c r="AB11" s="346"/>
      <c r="AC11" s="346"/>
      <c r="AD11" s="346"/>
      <c r="AE11" s="346"/>
      <c r="AF11" s="347"/>
      <c r="AG11" s="345" t="s">
        <v>40</v>
      </c>
      <c r="AH11" s="346"/>
      <c r="AI11" s="346"/>
      <c r="AJ11" s="346"/>
    </row>
    <row r="12" spans="1:36" ht="39" customHeight="1" x14ac:dyDescent="0.35">
      <c r="A12" s="273" t="s">
        <v>41</v>
      </c>
      <c r="B12" s="275" t="s">
        <v>42</v>
      </c>
      <c r="C12" s="275" t="s">
        <v>43</v>
      </c>
      <c r="D12" s="275" t="s">
        <v>44</v>
      </c>
      <c r="E12" s="275" t="s">
        <v>45</v>
      </c>
      <c r="F12" s="275" t="s">
        <v>9</v>
      </c>
      <c r="G12" s="275" t="s">
        <v>1342</v>
      </c>
      <c r="H12" s="275" t="s">
        <v>1343</v>
      </c>
      <c r="I12" s="275" t="s">
        <v>1344</v>
      </c>
      <c r="J12" s="275" t="s">
        <v>1345</v>
      </c>
      <c r="K12" s="275" t="s">
        <v>1346</v>
      </c>
      <c r="L12" s="275" t="s">
        <v>50</v>
      </c>
      <c r="M12" s="275" t="s">
        <v>51</v>
      </c>
      <c r="N12" s="275" t="s">
        <v>52</v>
      </c>
      <c r="O12" s="275" t="s">
        <v>53</v>
      </c>
      <c r="P12" s="275" t="s">
        <v>54</v>
      </c>
      <c r="Q12" s="356" t="s">
        <v>55</v>
      </c>
      <c r="R12" s="357" t="s">
        <v>56</v>
      </c>
      <c r="S12" s="358" t="s">
        <v>57</v>
      </c>
      <c r="T12" s="354" t="s">
        <v>58</v>
      </c>
      <c r="U12" s="352" t="s">
        <v>59</v>
      </c>
      <c r="V12" s="350" t="s">
        <v>60</v>
      </c>
      <c r="W12" s="304" t="s">
        <v>61</v>
      </c>
      <c r="X12" s="359" t="s">
        <v>62</v>
      </c>
      <c r="Y12" s="304" t="s">
        <v>63</v>
      </c>
      <c r="Z12" s="350" t="s">
        <v>63</v>
      </c>
      <c r="AA12" s="352" t="s">
        <v>65</v>
      </c>
      <c r="AB12" s="354" t="s">
        <v>66</v>
      </c>
      <c r="AC12" s="352" t="s">
        <v>67</v>
      </c>
      <c r="AD12" s="350" t="s">
        <v>68</v>
      </c>
      <c r="AE12" s="304" t="s">
        <v>69</v>
      </c>
      <c r="AF12" s="348" t="s">
        <v>70</v>
      </c>
      <c r="AG12" s="344" t="s">
        <v>71</v>
      </c>
      <c r="AH12" s="344" t="s">
        <v>72</v>
      </c>
      <c r="AI12" s="344" t="s">
        <v>73</v>
      </c>
      <c r="AJ12" s="344" t="s">
        <v>74</v>
      </c>
    </row>
    <row r="13" spans="1:36" ht="60" customHeight="1" thickBot="1" x14ac:dyDescent="0.4">
      <c r="A13" s="274"/>
      <c r="B13" s="274"/>
      <c r="C13" s="274"/>
      <c r="D13" s="274"/>
      <c r="E13" s="274"/>
      <c r="F13" s="274"/>
      <c r="G13" s="274"/>
      <c r="H13" s="274"/>
      <c r="I13" s="274"/>
      <c r="J13" s="274"/>
      <c r="K13" s="274"/>
      <c r="L13" s="274"/>
      <c r="M13" s="274"/>
      <c r="N13" s="274"/>
      <c r="O13" s="274"/>
      <c r="P13" s="274"/>
      <c r="Q13" s="356"/>
      <c r="R13" s="357"/>
      <c r="S13" s="358"/>
      <c r="T13" s="355"/>
      <c r="U13" s="353"/>
      <c r="V13" s="351"/>
      <c r="W13" s="305"/>
      <c r="X13" s="360"/>
      <c r="Y13" s="305"/>
      <c r="Z13" s="351"/>
      <c r="AA13" s="353"/>
      <c r="AB13" s="355"/>
      <c r="AC13" s="353"/>
      <c r="AD13" s="351"/>
      <c r="AE13" s="305"/>
      <c r="AF13" s="349"/>
      <c r="AG13" s="344"/>
      <c r="AH13" s="344"/>
      <c r="AI13" s="344"/>
      <c r="AJ13" s="344"/>
    </row>
    <row r="14" spans="1:36" ht="40.15" customHeight="1" thickBot="1" x14ac:dyDescent="0.4">
      <c r="A14" s="259">
        <v>1</v>
      </c>
      <c r="B14" s="259" t="s">
        <v>192</v>
      </c>
      <c r="C14" s="259" t="s">
        <v>103</v>
      </c>
      <c r="D14" s="259" t="s">
        <v>77</v>
      </c>
      <c r="E14" s="259" t="s">
        <v>111</v>
      </c>
      <c r="F14" s="277" t="s">
        <v>79</v>
      </c>
      <c r="G14" s="259" t="s">
        <v>1347</v>
      </c>
      <c r="H14" s="259" t="s">
        <v>47</v>
      </c>
      <c r="I14" s="259" t="s">
        <v>1348</v>
      </c>
      <c r="J14" s="259" t="s">
        <v>1349</v>
      </c>
      <c r="K14" s="259" t="s">
        <v>1350</v>
      </c>
      <c r="L14" s="259" t="s">
        <v>1351</v>
      </c>
      <c r="M14" s="259" t="s">
        <v>1352</v>
      </c>
      <c r="N14" s="261" t="s">
        <v>85</v>
      </c>
      <c r="O14" s="263">
        <v>44958</v>
      </c>
      <c r="P14" s="263">
        <v>45291</v>
      </c>
      <c r="Q14" s="64" t="s">
        <v>86</v>
      </c>
      <c r="R14" s="53">
        <f>+(R15*S14)</f>
        <v>8.3333333333333329E-2</v>
      </c>
      <c r="S14" s="71">
        <f t="shared" ref="S14:S25" si="0">SUM(T14:AF14)</f>
        <v>0.5</v>
      </c>
      <c r="T14" s="43"/>
      <c r="U14" s="43"/>
      <c r="V14" s="43"/>
      <c r="W14" s="43">
        <v>0.24</v>
      </c>
      <c r="X14" s="43"/>
      <c r="Y14" s="43"/>
      <c r="Z14" s="43">
        <v>0.26</v>
      </c>
      <c r="AA14" s="43"/>
      <c r="AB14" s="44"/>
      <c r="AC14" s="44"/>
      <c r="AD14" s="44"/>
      <c r="AE14" s="44"/>
      <c r="AF14" s="44"/>
      <c r="AG14" s="724" t="s">
        <v>1353</v>
      </c>
      <c r="AH14" s="366" t="s">
        <v>1354</v>
      </c>
      <c r="AI14" s="342"/>
      <c r="AJ14" s="342"/>
    </row>
    <row r="15" spans="1:36" ht="59.65" customHeight="1" thickBot="1" x14ac:dyDescent="0.4">
      <c r="A15" s="260"/>
      <c r="B15" s="260"/>
      <c r="C15" s="260"/>
      <c r="D15" s="260"/>
      <c r="E15" s="260"/>
      <c r="F15" s="280"/>
      <c r="G15" s="260"/>
      <c r="H15" s="260"/>
      <c r="I15" s="260"/>
      <c r="J15" s="260"/>
      <c r="K15" s="260"/>
      <c r="L15" s="260"/>
      <c r="M15" s="260"/>
      <c r="N15" s="266"/>
      <c r="O15" s="267"/>
      <c r="P15" s="267"/>
      <c r="Q15" s="64" t="s">
        <v>89</v>
      </c>
      <c r="R15" s="52">
        <f>100%/6</f>
        <v>0.16666666666666666</v>
      </c>
      <c r="S15" s="71">
        <f t="shared" si="0"/>
        <v>1</v>
      </c>
      <c r="T15" s="42"/>
      <c r="U15" s="42"/>
      <c r="V15" s="42"/>
      <c r="W15" s="42">
        <v>0.25</v>
      </c>
      <c r="X15" s="42"/>
      <c r="Y15" s="42"/>
      <c r="Z15" s="42">
        <v>0.25</v>
      </c>
      <c r="AA15" s="42"/>
      <c r="AB15" s="42"/>
      <c r="AC15" s="42">
        <v>0.25</v>
      </c>
      <c r="AD15" s="42"/>
      <c r="AE15" s="42"/>
      <c r="AF15" s="42">
        <v>0.25</v>
      </c>
      <c r="AG15" s="258"/>
      <c r="AH15" s="367"/>
      <c r="AI15" s="343"/>
      <c r="AJ15" s="343"/>
    </row>
    <row r="16" spans="1:36" ht="37.15" customHeight="1" thickBot="1" x14ac:dyDescent="0.4">
      <c r="A16" s="259">
        <v>2</v>
      </c>
      <c r="B16" s="259" t="s">
        <v>192</v>
      </c>
      <c r="C16" s="259" t="s">
        <v>103</v>
      </c>
      <c r="D16" s="259" t="s">
        <v>77</v>
      </c>
      <c r="E16" s="259" t="s">
        <v>111</v>
      </c>
      <c r="F16" s="277" t="s">
        <v>79</v>
      </c>
      <c r="G16" s="259" t="s">
        <v>1355</v>
      </c>
      <c r="H16" s="283" t="s">
        <v>47</v>
      </c>
      <c r="I16" s="283" t="s">
        <v>1356</v>
      </c>
      <c r="J16" s="283" t="s">
        <v>1357</v>
      </c>
      <c r="K16" s="283" t="s">
        <v>1358</v>
      </c>
      <c r="L16" s="283" t="s">
        <v>1351</v>
      </c>
      <c r="M16" s="283" t="s">
        <v>1352</v>
      </c>
      <c r="N16" s="281" t="s">
        <v>85</v>
      </c>
      <c r="O16" s="282">
        <v>44958</v>
      </c>
      <c r="P16" s="282">
        <v>45291</v>
      </c>
      <c r="Q16" s="64" t="s">
        <v>86</v>
      </c>
      <c r="R16" s="53">
        <f>+(R17*S16)</f>
        <v>8.3333333333333329E-2</v>
      </c>
      <c r="S16" s="71">
        <f t="shared" si="0"/>
        <v>0.5</v>
      </c>
      <c r="T16" s="43"/>
      <c r="U16" s="43"/>
      <c r="V16" s="43"/>
      <c r="W16" s="43">
        <v>0.25</v>
      </c>
      <c r="X16" s="43"/>
      <c r="Y16" s="43"/>
      <c r="Z16" s="43">
        <v>0.25</v>
      </c>
      <c r="AA16" s="43"/>
      <c r="AB16" s="44"/>
      <c r="AC16" s="44"/>
      <c r="AD16" s="44"/>
      <c r="AE16" s="44"/>
      <c r="AF16" s="44"/>
      <c r="AG16" s="724" t="s">
        <v>1359</v>
      </c>
      <c r="AH16" s="366" t="s">
        <v>1360</v>
      </c>
      <c r="AI16" s="342"/>
      <c r="AJ16" s="342"/>
    </row>
    <row r="17" spans="1:36" ht="100.5" customHeight="1" thickBot="1" x14ac:dyDescent="0.4">
      <c r="A17" s="279"/>
      <c r="B17" s="279"/>
      <c r="C17" s="279"/>
      <c r="D17" s="279"/>
      <c r="E17" s="279"/>
      <c r="F17" s="278"/>
      <c r="G17" s="260"/>
      <c r="H17" s="283"/>
      <c r="I17" s="283"/>
      <c r="J17" s="283"/>
      <c r="K17" s="283"/>
      <c r="L17" s="283"/>
      <c r="M17" s="283"/>
      <c r="N17" s="281"/>
      <c r="O17" s="282"/>
      <c r="P17" s="282"/>
      <c r="Q17" s="64" t="s">
        <v>89</v>
      </c>
      <c r="R17" s="52">
        <f>100%/6</f>
        <v>0.16666666666666666</v>
      </c>
      <c r="S17" s="71">
        <f t="shared" si="0"/>
        <v>1</v>
      </c>
      <c r="T17" s="42"/>
      <c r="U17" s="42"/>
      <c r="V17" s="42"/>
      <c r="W17" s="42">
        <v>0.25</v>
      </c>
      <c r="X17" s="42"/>
      <c r="Y17" s="42"/>
      <c r="Z17" s="42">
        <v>0.25</v>
      </c>
      <c r="AA17" s="42"/>
      <c r="AB17" s="42"/>
      <c r="AC17" s="42">
        <v>0.25</v>
      </c>
      <c r="AD17" s="42"/>
      <c r="AE17" s="42"/>
      <c r="AF17" s="42">
        <v>0.25</v>
      </c>
      <c r="AG17" s="258"/>
      <c r="AH17" s="367"/>
      <c r="AI17" s="343"/>
      <c r="AJ17" s="343"/>
    </row>
    <row r="18" spans="1:36" ht="37.15" customHeight="1" thickBot="1" x14ac:dyDescent="0.4">
      <c r="A18" s="283">
        <v>3</v>
      </c>
      <c r="B18" s="283" t="s">
        <v>192</v>
      </c>
      <c r="C18" s="259" t="s">
        <v>103</v>
      </c>
      <c r="D18" s="283" t="s">
        <v>77</v>
      </c>
      <c r="E18" s="283" t="s">
        <v>111</v>
      </c>
      <c r="F18" s="58"/>
      <c r="G18" s="259" t="s">
        <v>1361</v>
      </c>
      <c r="H18" s="259" t="s">
        <v>47</v>
      </c>
      <c r="I18" s="259" t="s">
        <v>1362</v>
      </c>
      <c r="J18" s="259" t="s">
        <v>1363</v>
      </c>
      <c r="K18" s="259" t="s">
        <v>1364</v>
      </c>
      <c r="L18" s="259" t="s">
        <v>1365</v>
      </c>
      <c r="M18" s="259" t="s">
        <v>1352</v>
      </c>
      <c r="N18" s="261" t="s">
        <v>85</v>
      </c>
      <c r="O18" s="263">
        <v>44958</v>
      </c>
      <c r="P18" s="263">
        <v>45291</v>
      </c>
      <c r="Q18" s="64" t="s">
        <v>86</v>
      </c>
      <c r="R18" s="53">
        <f>+(R19*S18)</f>
        <v>8.3666666666666667E-2</v>
      </c>
      <c r="S18" s="71">
        <f t="shared" si="0"/>
        <v>0.502</v>
      </c>
      <c r="T18" s="43"/>
      <c r="U18" s="43"/>
      <c r="V18" s="43"/>
      <c r="W18" s="43">
        <v>0.24199999999999999</v>
      </c>
      <c r="X18" s="43"/>
      <c r="Y18" s="43"/>
      <c r="Z18" s="43">
        <v>0.26</v>
      </c>
      <c r="AA18" s="43"/>
      <c r="AB18" s="44"/>
      <c r="AC18" s="44"/>
      <c r="AD18" s="44"/>
      <c r="AE18" s="44"/>
      <c r="AF18" s="44"/>
      <c r="AG18" s="739" t="s">
        <v>1366</v>
      </c>
      <c r="AH18" s="737" t="s">
        <v>1367</v>
      </c>
      <c r="AI18" s="496"/>
      <c r="AJ18" s="496"/>
    </row>
    <row r="19" spans="1:36" ht="76.5" customHeight="1" thickBot="1" x14ac:dyDescent="0.4">
      <c r="A19" s="283"/>
      <c r="B19" s="283"/>
      <c r="C19" s="260"/>
      <c r="D19" s="283"/>
      <c r="E19" s="283"/>
      <c r="F19" s="56" t="s">
        <v>79</v>
      </c>
      <c r="G19" s="279"/>
      <c r="H19" s="279"/>
      <c r="I19" s="279"/>
      <c r="J19" s="279"/>
      <c r="K19" s="279"/>
      <c r="L19" s="279"/>
      <c r="M19" s="279"/>
      <c r="N19" s="262"/>
      <c r="O19" s="264"/>
      <c r="P19" s="264"/>
      <c r="Q19" s="64" t="s">
        <v>89</v>
      </c>
      <c r="R19" s="52">
        <f>100%/6</f>
        <v>0.16666666666666666</v>
      </c>
      <c r="S19" s="71">
        <f t="shared" si="0"/>
        <v>1</v>
      </c>
      <c r="T19" s="42"/>
      <c r="U19" s="42"/>
      <c r="V19" s="42"/>
      <c r="W19" s="42">
        <v>0.25</v>
      </c>
      <c r="X19" s="42"/>
      <c r="Y19" s="42"/>
      <c r="Z19" s="42">
        <v>0.25</v>
      </c>
      <c r="AA19" s="42"/>
      <c r="AB19" s="42"/>
      <c r="AC19" s="42">
        <v>0.25</v>
      </c>
      <c r="AD19" s="42"/>
      <c r="AE19" s="42"/>
      <c r="AF19" s="42">
        <v>0.25</v>
      </c>
      <c r="AG19" s="727"/>
      <c r="AH19" s="738"/>
      <c r="AI19" s="496"/>
      <c r="AJ19" s="496"/>
    </row>
    <row r="20" spans="1:36" ht="37.15" customHeight="1" thickBot="1" x14ac:dyDescent="0.4">
      <c r="A20" s="283">
        <v>4</v>
      </c>
      <c r="B20" s="283" t="s">
        <v>192</v>
      </c>
      <c r="C20" s="283" t="s">
        <v>103</v>
      </c>
      <c r="D20" s="283" t="s">
        <v>77</v>
      </c>
      <c r="E20" s="283" t="s">
        <v>111</v>
      </c>
      <c r="F20" s="284" t="s">
        <v>79</v>
      </c>
      <c r="G20" s="283" t="s">
        <v>1368</v>
      </c>
      <c r="H20" s="283" t="s">
        <v>47</v>
      </c>
      <c r="I20" s="283" t="s">
        <v>1369</v>
      </c>
      <c r="J20" s="281" t="s">
        <v>1370</v>
      </c>
      <c r="K20" s="740" t="s">
        <v>1371</v>
      </c>
      <c r="L20" s="283" t="s">
        <v>1365</v>
      </c>
      <c r="M20" s="283" t="s">
        <v>1352</v>
      </c>
      <c r="N20" s="281" t="s">
        <v>126</v>
      </c>
      <c r="O20" s="282">
        <v>44958</v>
      </c>
      <c r="P20" s="282">
        <v>45291</v>
      </c>
      <c r="Q20" s="64" t="s">
        <v>86</v>
      </c>
      <c r="R20" s="53">
        <f>+(R21*S20)</f>
        <v>8.1666666666666665E-2</v>
      </c>
      <c r="S20" s="71">
        <f t="shared" si="0"/>
        <v>0.49</v>
      </c>
      <c r="T20" s="63"/>
      <c r="U20" s="63"/>
      <c r="V20" s="63"/>
      <c r="W20" s="43">
        <v>0.25</v>
      </c>
      <c r="X20" s="43"/>
      <c r="Y20" s="43"/>
      <c r="Z20" s="43">
        <v>0.24</v>
      </c>
      <c r="AA20" s="43"/>
      <c r="AB20" s="44"/>
      <c r="AC20" s="44"/>
      <c r="AD20" s="44"/>
      <c r="AE20" s="44"/>
      <c r="AF20" s="44"/>
      <c r="AG20" s="731" t="s">
        <v>1372</v>
      </c>
      <c r="AH20" s="733" t="s">
        <v>1373</v>
      </c>
      <c r="AI20" s="342"/>
      <c r="AJ20" s="342"/>
    </row>
    <row r="21" spans="1:36" ht="150.65" customHeight="1" thickBot="1" x14ac:dyDescent="0.4">
      <c r="A21" s="283"/>
      <c r="B21" s="283"/>
      <c r="C21" s="283"/>
      <c r="D21" s="283"/>
      <c r="E21" s="283"/>
      <c r="F21" s="284"/>
      <c r="G21" s="283"/>
      <c r="H21" s="283"/>
      <c r="I21" s="283"/>
      <c r="J21" s="281"/>
      <c r="K21" s="740"/>
      <c r="L21" s="283"/>
      <c r="M21" s="283"/>
      <c r="N21" s="281"/>
      <c r="O21" s="282"/>
      <c r="P21" s="282"/>
      <c r="Q21" s="64" t="s">
        <v>89</v>
      </c>
      <c r="R21" s="52">
        <f>100%/6</f>
        <v>0.16666666666666666</v>
      </c>
      <c r="S21" s="71">
        <f t="shared" si="0"/>
        <v>1</v>
      </c>
      <c r="T21" s="42"/>
      <c r="U21" s="42"/>
      <c r="V21" s="42"/>
      <c r="W21" s="42">
        <v>0.25</v>
      </c>
      <c r="X21" s="42"/>
      <c r="Y21" s="42"/>
      <c r="Z21" s="42">
        <v>0.25</v>
      </c>
      <c r="AA21" s="42"/>
      <c r="AB21" s="42"/>
      <c r="AC21" s="42">
        <v>0.25</v>
      </c>
      <c r="AD21" s="42"/>
      <c r="AE21" s="42"/>
      <c r="AF21" s="42">
        <v>0.25</v>
      </c>
      <c r="AG21" s="732"/>
      <c r="AH21" s="734"/>
      <c r="AI21" s="343"/>
      <c r="AJ21" s="343"/>
    </row>
    <row r="22" spans="1:36" ht="37.15" customHeight="1" thickBot="1" x14ac:dyDescent="0.4">
      <c r="A22" s="259">
        <v>5</v>
      </c>
      <c r="B22" s="400" t="s">
        <v>192</v>
      </c>
      <c r="C22" s="400" t="s">
        <v>110</v>
      </c>
      <c r="D22" s="400" t="s">
        <v>90</v>
      </c>
      <c r="E22" s="400" t="s">
        <v>111</v>
      </c>
      <c r="F22" s="284" t="s">
        <v>79</v>
      </c>
      <c r="G22" s="400" t="s">
        <v>1368</v>
      </c>
      <c r="H22" s="400" t="s">
        <v>1374</v>
      </c>
      <c r="I22" s="400" t="s">
        <v>1375</v>
      </c>
      <c r="J22" s="400" t="s">
        <v>1376</v>
      </c>
      <c r="K22" s="400" t="s">
        <v>1377</v>
      </c>
      <c r="L22" s="79" t="s">
        <v>1378</v>
      </c>
      <c r="M22" s="729" t="s">
        <v>1379</v>
      </c>
      <c r="N22" s="729" t="s">
        <v>126</v>
      </c>
      <c r="O22" s="725">
        <v>44923</v>
      </c>
      <c r="P22" s="725">
        <v>45134</v>
      </c>
      <c r="Q22" s="64" t="s">
        <v>86</v>
      </c>
      <c r="R22" s="53">
        <f>+(R23*S22)</f>
        <v>0.15</v>
      </c>
      <c r="S22" s="71">
        <f t="shared" si="0"/>
        <v>0.9</v>
      </c>
      <c r="T22" s="45"/>
      <c r="U22" s="45"/>
      <c r="V22" s="45"/>
      <c r="W22" s="43">
        <v>0.45</v>
      </c>
      <c r="X22" s="45"/>
      <c r="Y22" s="45"/>
      <c r="Z22" s="43">
        <v>0.45</v>
      </c>
      <c r="AA22" s="45"/>
      <c r="AB22" s="45"/>
      <c r="AC22" s="45"/>
      <c r="AD22" s="45"/>
      <c r="AE22" s="45"/>
      <c r="AF22" s="45"/>
      <c r="AG22" s="257" t="s">
        <v>1380</v>
      </c>
      <c r="AH22" s="366" t="s">
        <v>1381</v>
      </c>
      <c r="AI22" s="342"/>
      <c r="AJ22" s="342"/>
    </row>
    <row r="23" spans="1:36" ht="84.65" customHeight="1" thickBot="1" x14ac:dyDescent="0.4">
      <c r="A23" s="260"/>
      <c r="B23" s="402"/>
      <c r="C23" s="402"/>
      <c r="D23" s="402"/>
      <c r="E23" s="402"/>
      <c r="F23" s="284"/>
      <c r="G23" s="402"/>
      <c r="H23" s="402"/>
      <c r="I23" s="402"/>
      <c r="J23" s="402"/>
      <c r="K23" s="402"/>
      <c r="L23" s="98" t="s">
        <v>1382</v>
      </c>
      <c r="M23" s="730"/>
      <c r="N23" s="730"/>
      <c r="O23" s="726"/>
      <c r="P23" s="726"/>
      <c r="Q23" s="64" t="s">
        <v>89</v>
      </c>
      <c r="R23" s="52">
        <f>100%/6</f>
        <v>0.16666666666666666</v>
      </c>
      <c r="S23" s="71">
        <f t="shared" si="0"/>
        <v>1</v>
      </c>
      <c r="T23" s="42"/>
      <c r="U23" s="42"/>
      <c r="V23" s="42"/>
      <c r="W23" s="42">
        <v>0.45</v>
      </c>
      <c r="X23" s="42"/>
      <c r="Y23" s="42"/>
      <c r="Z23" s="42">
        <v>0.45</v>
      </c>
      <c r="AA23" s="42"/>
      <c r="AB23" s="42"/>
      <c r="AC23" s="42">
        <v>0.1</v>
      </c>
      <c r="AD23" s="42"/>
      <c r="AE23" s="42"/>
      <c r="AF23" s="42"/>
      <c r="AG23" s="258"/>
      <c r="AH23" s="367"/>
      <c r="AI23" s="343"/>
      <c r="AJ23" s="343"/>
    </row>
    <row r="24" spans="1:36" ht="37.15" customHeight="1" thickBot="1" x14ac:dyDescent="0.4">
      <c r="A24" s="283">
        <v>6</v>
      </c>
      <c r="B24" s="283" t="s">
        <v>192</v>
      </c>
      <c r="C24" s="283" t="s">
        <v>103</v>
      </c>
      <c r="D24" s="283" t="s">
        <v>77</v>
      </c>
      <c r="E24" s="283" t="s">
        <v>111</v>
      </c>
      <c r="F24" s="284" t="s">
        <v>79</v>
      </c>
      <c r="G24" s="400" t="s">
        <v>1383</v>
      </c>
      <c r="H24" s="400" t="s">
        <v>47</v>
      </c>
      <c r="I24" s="400" t="s">
        <v>1384</v>
      </c>
      <c r="J24" s="400" t="s">
        <v>1385</v>
      </c>
      <c r="K24" s="400" t="s">
        <v>1385</v>
      </c>
      <c r="L24" s="400" t="s">
        <v>1365</v>
      </c>
      <c r="M24" s="400" t="s">
        <v>1352</v>
      </c>
      <c r="N24" s="729" t="s">
        <v>126</v>
      </c>
      <c r="O24" s="725">
        <v>44958</v>
      </c>
      <c r="P24" s="725">
        <v>45291</v>
      </c>
      <c r="Q24" s="64" t="s">
        <v>86</v>
      </c>
      <c r="R24" s="53">
        <f>+(R25*S24)</f>
        <v>8.3333333333333329E-2</v>
      </c>
      <c r="S24" s="71">
        <f t="shared" si="0"/>
        <v>0.5</v>
      </c>
      <c r="T24" s="45"/>
      <c r="U24" s="45"/>
      <c r="V24" s="45"/>
      <c r="W24" s="219">
        <v>0.24</v>
      </c>
      <c r="X24" s="45"/>
      <c r="Y24" s="45"/>
      <c r="Z24" s="219">
        <v>0.26</v>
      </c>
      <c r="AA24" s="45"/>
      <c r="AB24" s="45"/>
      <c r="AC24" s="45"/>
      <c r="AD24" s="45"/>
      <c r="AE24" s="45"/>
      <c r="AF24" s="45"/>
      <c r="AG24" s="727" t="s">
        <v>1386</v>
      </c>
      <c r="AH24" s="368" t="s">
        <v>1387</v>
      </c>
      <c r="AI24" s="342"/>
      <c r="AJ24" s="342"/>
    </row>
    <row r="25" spans="1:36" ht="210.65" customHeight="1" x14ac:dyDescent="0.35">
      <c r="A25" s="283"/>
      <c r="B25" s="283"/>
      <c r="C25" s="283"/>
      <c r="D25" s="283"/>
      <c r="E25" s="283"/>
      <c r="F25" s="284"/>
      <c r="G25" s="402"/>
      <c r="H25" s="402"/>
      <c r="I25" s="402"/>
      <c r="J25" s="402"/>
      <c r="K25" s="402"/>
      <c r="L25" s="402"/>
      <c r="M25" s="402"/>
      <c r="N25" s="730"/>
      <c r="O25" s="726"/>
      <c r="P25" s="726"/>
      <c r="Q25" s="64" t="s">
        <v>89</v>
      </c>
      <c r="R25" s="52">
        <f>100%/6</f>
        <v>0.16666666666666666</v>
      </c>
      <c r="S25" s="71">
        <f t="shared" si="0"/>
        <v>1</v>
      </c>
      <c r="T25" s="42"/>
      <c r="U25" s="42"/>
      <c r="V25" s="42"/>
      <c r="W25" s="42">
        <v>0.25</v>
      </c>
      <c r="X25" s="42"/>
      <c r="Y25" s="42"/>
      <c r="Z25" s="42">
        <v>0.25</v>
      </c>
      <c r="AA25" s="42"/>
      <c r="AB25" s="42"/>
      <c r="AC25" s="42">
        <v>0.25</v>
      </c>
      <c r="AD25" s="42"/>
      <c r="AE25" s="42"/>
      <c r="AF25" s="42">
        <v>0.25</v>
      </c>
      <c r="AG25" s="728"/>
      <c r="AH25" s="368"/>
      <c r="AI25" s="342"/>
      <c r="AJ25" s="342"/>
    </row>
    <row r="26" spans="1:36" s="13" customFormat="1" ht="14.15" hidden="1" customHeight="1" thickBot="1" x14ac:dyDescent="0.4">
      <c r="A26" s="259">
        <v>7</v>
      </c>
      <c r="B26" s="735" t="s">
        <v>192</v>
      </c>
      <c r="C26" s="735" t="s">
        <v>103</v>
      </c>
      <c r="D26" s="735" t="s">
        <v>986</v>
      </c>
      <c r="E26" s="735" t="s">
        <v>111</v>
      </c>
      <c r="H26" s="81"/>
      <c r="I26" s="20" t="s">
        <v>138</v>
      </c>
      <c r="J26" s="19"/>
      <c r="K26" s="35"/>
      <c r="L26" s="35"/>
      <c r="M26" s="35"/>
      <c r="N26" s="35"/>
      <c r="O26" s="35"/>
      <c r="P26" s="35"/>
      <c r="Q26" s="35"/>
      <c r="R26" s="38"/>
      <c r="S26" s="35"/>
      <c r="T26" s="35"/>
      <c r="U26" s="28"/>
      <c r="V26" s="29"/>
      <c r="W26" s="29"/>
      <c r="X26" s="29"/>
      <c r="Y26" s="29"/>
      <c r="Z26" s="29"/>
      <c r="AA26" s="29"/>
      <c r="AB26" s="29"/>
      <c r="AC26" s="29" t="e">
        <f>+#REF!+#REF!</f>
        <v>#REF!</v>
      </c>
      <c r="AD26" s="40"/>
      <c r="AE26" s="41"/>
      <c r="AF26" s="67"/>
    </row>
    <row r="27" spans="1:36" ht="14.15" hidden="1" customHeight="1" x14ac:dyDescent="0.35">
      <c r="A27" s="260"/>
      <c r="B27" s="736"/>
      <c r="C27" s="736"/>
      <c r="D27" s="736"/>
      <c r="E27" s="736"/>
      <c r="H27" s="24"/>
      <c r="I27" s="251" t="s">
        <v>139</v>
      </c>
      <c r="J27" s="251"/>
      <c r="K27" s="46"/>
      <c r="L27" s="46"/>
      <c r="M27" s="46"/>
      <c r="N27" s="46"/>
      <c r="O27" s="46"/>
      <c r="P27" s="46" t="e">
        <f>+#REF!/#REF!</f>
        <v>#REF!</v>
      </c>
      <c r="Q27" s="47" t="e">
        <f>+(#REF!+#REF!+#REF!+#REF!+#REF!+#REF!+#REF!+#REF!)/(#REF!+#REF!+#REF!+#REF!+#REF!+#REF!+#REF!+#REF!)</f>
        <v>#REF!</v>
      </c>
      <c r="R27" s="48" t="e">
        <f>+(#REF!+#REF!+#REF!+#REF!+#REF!+#REF!+#REF!+#REF!+#REF!)/(#REF!+#REF!+#REF!+#REF!+#REF!+#REF!+#REF!+#REF!+#REF!)</f>
        <v>#REF!</v>
      </c>
      <c r="S27" s="46" t="e">
        <f>+(#REF!+#REF!+#REF!+#REF!+#REF!+#REF!+#REF!+#REF!+#REF!+#REF!)/(#REF!+#REF!+#REF!+#REF!+#REF!+#REF!+#REF!+#REF!+#REF!+#REF!)</f>
        <v>#REF!</v>
      </c>
      <c r="T27" s="46" t="e">
        <f>+(#REF!+#REF!+#REF!+#REF!+#REF!+#REF!+#REF!+#REF!+#REF!+#REF!+#REF!)/(#REF!+#REF!+#REF!+#REF!+#REF!+#REF!+#REF!+#REF!+#REF!+#REF!+#REF!)</f>
        <v>#REF!</v>
      </c>
      <c r="U27" s="47" t="e">
        <f>+(#REF!+#REF!+#REF!+#REF!+#REF!+#REF!+#REF!+#REF!+#REF!+#REF!+#REF!+#REF!)/(#REF!+#REF!+#REF!+#REF!+#REF!+#REF!+#REF!+#REF!+#REF!+#REF!+#REF!+#REF!)</f>
        <v>#REF!</v>
      </c>
      <c r="V27" s="46" t="e">
        <f>+(#REF!+#REF!+#REF!+#REF!+#REF!+#REF!+#REF!+#REF!+#REF!+#REF!+#REF!+#REF!+#REF!)/(#REF!+#REF!+#REF!+#REF!+#REF!+#REF!+#REF!+#REF!+#REF!+#REF!+#REF!+#REF!+#REF!)</f>
        <v>#REF!</v>
      </c>
      <c r="W27" s="46" t="e">
        <f>+(#REF!+#REF!+#REF!+#REF!+#REF!+#REF!+#REF!+#REF!+#REF!+#REF!+#REF!+#REF!+#REF!+#REF!)/(#REF!+#REF!+#REF!+#REF!+#REF!+#REF!+#REF!+#REF!+#REF!+#REF!+#REF!+#REF!+#REF!+#REF!)</f>
        <v>#REF!</v>
      </c>
      <c r="X27" s="46" t="e">
        <f>+(#REF!+#REF!+#REF!+#REF!+#REF!+#REF!+#REF!+#REF!+#REF!+#REF!+#REF!+#REF!+#REF!+#REF!+#REF!)/(#REF!+#REF!+#REF!+#REF!+#REF!+#REF!+#REF!+#REF!+#REF!+#REF!+#REF!+#REF!+#REF!+#REF!+#REF!)</f>
        <v>#REF!</v>
      </c>
      <c r="Y27" s="47" t="e">
        <f>+(#REF!+#REF!+#REF!+#REF!+#REF!+#REF!+#REF!+#REF!+#REF!+#REF!+#REF!+#REF!+#REF!+#REF!+#REF!+#REF!)/(#REF!+#REF!+#REF!+#REF!+#REF!+#REF!+#REF!+#REF!+#REF!+#REF!+#REF!+#REF!+#REF!+#REF!+#REF!+#REF!)</f>
        <v>#REF!</v>
      </c>
      <c r="Z27" s="46" t="e">
        <f>+(#REF!+#REF!+#REF!+#REF!+#REF!+#REF!+#REF!+#REF!+#REF!+#REF!+#REF!+#REF!+#REF!+#REF!+#REF!+#REF!+#REF!)/(#REF!+#REF!+#REF!+#REF!+#REF!+#REF!+#REF!+#REF!+#REF!+#REF!+#REF!+#REF!+#REF!+#REF!+#REF!+#REF!+#REF!)</f>
        <v>#REF!</v>
      </c>
      <c r="AA27" s="46" t="e">
        <f>+(#REF!+#REF!+#REF!+#REF!+#REF!+#REF!+#REF!+#REF!+#REF!+#REF!+#REF!+#REF!+#REF!+#REF!+#REF!+#REF!+#REF!+#REF!)/(#REF!+#REF!+#REF!+#REF!+#REF!+#REF!+#REF!+#REF!+#REF!+#REF!+#REF!+#REF!+#REF!+#REF!+#REF!+#REF!+#REF!+#REF!)</f>
        <v>#REF!</v>
      </c>
      <c r="AB27" s="46" t="e">
        <f>+(#REF!+#REF!+#REF!+#REF!+#REF!+#REF!+#REF!+#REF!+#REF!+#REF!+#REF!+#REF!+#REF!+#REF!+#REF!+#REF!+#REF!+#REF!+#REF!)/(#REF!+#REF!+#REF!+#REF!+#REF!+#REF!+#REF!+#REF!+#REF!+#REF!+#REF!+#REF!+#REF!+#REF!+#REF!+#REF!+#REF!+#REF!+#REF!)</f>
        <v>#REF!</v>
      </c>
      <c r="AC27" s="47" t="e">
        <f>+(#REF!+#REF!+#REF!+#REF!+#REF!+#REF!+#REF!+#REF!+#REF!+#REF!+#REF!+#REF!+#REF!+#REF!+#REF!+#REF!+#REF!+#REF!+#REF!+#REF!)/(#REF!+#REF!+#REF!+#REF!+#REF!+#REF!+#REF!+#REF!+#REF!+#REF!+#REF!+#REF!+#REF!+#REF!+#REF!+#REF!+#REF!+#REF!+#REF!+#REF!)</f>
        <v>#REF!</v>
      </c>
      <c r="AD27" s="48" t="e">
        <f>+(#REF!+#REF!+#REF!+#REF!+#REF!+#REF!+#REF!+#REF!+#REF!+#REF!+#REF!+#REF!+#REF!+#REF!+#REF!+#REF!+#REF!+#REF!+#REF!+#REF!+#REF!)/(#REF!+#REF!+#REF!+#REF!+#REF!+#REF!+#REF!+#REF!+#REF!+#REF!+#REF!+#REF!+#REF!+#REF!+#REF!+#REF!+#REF!+#REF!+#REF!+#REF!+#REF!)</f>
        <v>#REF!</v>
      </c>
      <c r="AE27" s="46" t="e">
        <f>+(#REF!+#REF!+#REF!+#REF!+#REF!+#REF!+#REF!+#REF!+#REF!+#REF!+#REF!+#REF!+#REF!+#REF!+#REF!+#REF!+#REF!+#REF!+#REF!+#REF!+#REF!+#REF!)/(#REF!+#REF!+#REF!+#REF!+#REF!+#REF!+#REF!+#REF!+#REF!+#REF!+#REF!+#REF!+#REF!+#REF!+#REF!+#REF!+#REF!+#REF!+#REF!+#REF!+#REF!+#REF!)</f>
        <v>#REF!</v>
      </c>
      <c r="AF27" s="68"/>
    </row>
    <row r="28" spans="1:36" ht="14.15" hidden="1" customHeight="1" x14ac:dyDescent="0.35">
      <c r="I28" s="252" t="s">
        <v>140</v>
      </c>
      <c r="J28" s="252"/>
      <c r="L28" s="47"/>
      <c r="M28" s="47"/>
      <c r="N28" s="47"/>
      <c r="O28" s="47"/>
      <c r="P28" s="47" t="e">
        <f>+#REF!/#REF!</f>
        <v>#REF!</v>
      </c>
      <c r="Q28" s="47" t="e">
        <f>+(#REF!+#REF!+#REF!+#REF!+#REF!+#REF!+#REF!+#REF!)/#REF!</f>
        <v>#REF!</v>
      </c>
      <c r="R28" s="49" t="e">
        <f>+(#REF!+#REF!+#REF!+#REF!+#REF!+#REF!+#REF!+#REF!+#REF!)/#REF!</f>
        <v>#REF!</v>
      </c>
      <c r="S28" s="47" t="e">
        <f>+(#REF!+#REF!+#REF!+#REF!+#REF!+#REF!+#REF!+#REF!+#REF!+#REF!)/#REF!</f>
        <v>#REF!</v>
      </c>
      <c r="T28" s="47" t="e">
        <f>+(#REF!+#REF!+#REF!+#REF!+#REF!+#REF!+#REF!+#REF!+#REF!+#REF!+#REF!)/#REF!</f>
        <v>#REF!</v>
      </c>
      <c r="U28" s="47" t="e">
        <f>+(#REF!+#REF!+#REF!+#REF!+#REF!+#REF!+#REF!+#REF!+#REF!+#REF!+#REF!+#REF!)/#REF!</f>
        <v>#REF!</v>
      </c>
      <c r="V28" s="47" t="e">
        <f>+(#REF!+#REF!+#REF!+#REF!+#REF!+#REF!+#REF!+#REF!+#REF!+#REF!+#REF!+#REF!+#REF!)/#REF!</f>
        <v>#REF!</v>
      </c>
      <c r="W28" s="47" t="e">
        <f>+(#REF!+#REF!+#REF!+#REF!+#REF!+#REF!+#REF!+#REF!+#REF!+#REF!+#REF!+#REF!+#REF!+#REF!)/#REF!</f>
        <v>#REF!</v>
      </c>
      <c r="X28" s="47" t="e">
        <f>+(#REF!+#REF!+#REF!+#REF!+#REF!+#REF!+#REF!+#REF!+#REF!+#REF!+#REF!+#REF!+#REF!+#REF!+#REF!)/#REF!</f>
        <v>#REF!</v>
      </c>
      <c r="Y28" s="47" t="e">
        <f>+(#REF!+#REF!+#REF!+#REF!+#REF!+#REF!+#REF!+#REF!+#REF!+#REF!+#REF!+#REF!+#REF!+#REF!+#REF!+#REF!)/#REF!</f>
        <v>#REF!</v>
      </c>
      <c r="Z28" s="47" t="e">
        <f>+(#REF!+#REF!+#REF!+#REF!+#REF!+#REF!+#REF!+#REF!+#REF!+#REF!+#REF!+#REF!+#REF!+#REF!+#REF!+#REF!+#REF!)/#REF!</f>
        <v>#REF!</v>
      </c>
      <c r="AA28" s="47" t="e">
        <f>+(#REF!+#REF!+#REF!+#REF!+#REF!+#REF!+#REF!+#REF!+#REF!+#REF!+#REF!+#REF!+#REF!+#REF!+#REF!+#REF!+#REF!+#REF!)/#REF!</f>
        <v>#REF!</v>
      </c>
      <c r="AB28" s="47" t="e">
        <f>+(#REF!+#REF!+#REF!+#REF!+#REF!+#REF!+#REF!+#REF!+#REF!+#REF!+#REF!+#REF!+#REF!+#REF!+#REF!+#REF!+#REF!+#REF!+#REF!)/#REF!</f>
        <v>#REF!</v>
      </c>
      <c r="AC28" s="47" t="e">
        <f>+(#REF!+#REF!+#REF!+#REF!+#REF!+#REF!+#REF!+#REF!+#REF!+#REF!+#REF!+#REF!+#REF!+#REF!+#REF!+#REF!+#REF!+#REF!+#REF!+#REF!)/#REF!</f>
        <v>#REF!</v>
      </c>
      <c r="AD28" s="49" t="e">
        <f>+(#REF!+#REF!+#REF!+#REF!+#REF!+#REF!+#REF!+#REF!+#REF!+#REF!+#REF!+#REF!+#REF!+#REF!+#REF!+#REF!+#REF!+#REF!+#REF!+#REF!+#REF!)/#REF!</f>
        <v>#REF!</v>
      </c>
      <c r="AE28" s="47" t="e">
        <f>+(#REF!+#REF!+#REF!+#REF!+#REF!+#REF!+#REF!+#REF!+#REF!+#REF!+#REF!+#REF!+#REF!+#REF!+#REF!+#REF!+#REF!+#REF!+#REF!+#REF!+#REF!+#REF!)/#REF!</f>
        <v>#REF!</v>
      </c>
      <c r="AF28" s="69"/>
    </row>
    <row r="29" spans="1:36" ht="14.15" hidden="1" customHeight="1" x14ac:dyDescent="0.35">
      <c r="I29" s="251" t="s">
        <v>141</v>
      </c>
      <c r="J29" s="251"/>
      <c r="K29" s="50"/>
      <c r="L29" s="50"/>
      <c r="M29" s="50"/>
      <c r="N29" s="50"/>
      <c r="O29" s="50"/>
      <c r="P29" s="50"/>
      <c r="Q29" s="47" t="e">
        <f>+#REF!/#REF!</f>
        <v>#REF!</v>
      </c>
      <c r="R29" s="51"/>
      <c r="S29" s="50"/>
      <c r="T29" s="50"/>
      <c r="U29" s="47" t="e">
        <f>+#REF!/#REF!</f>
        <v>#REF!</v>
      </c>
      <c r="V29" s="50"/>
      <c r="W29" s="50"/>
      <c r="X29" s="50"/>
      <c r="Y29" s="47" t="e">
        <f>+#REF!/#REF!</f>
        <v>#REF!</v>
      </c>
      <c r="Z29" s="50"/>
      <c r="AA29" s="50"/>
      <c r="AB29" s="50"/>
      <c r="AC29" s="47" t="e">
        <f>+#REF!/#REF!</f>
        <v>#REF!</v>
      </c>
      <c r="AD29" s="51"/>
      <c r="AE29" s="50"/>
      <c r="AF29" s="70"/>
    </row>
    <row r="30" spans="1:36" ht="5.15" hidden="1" customHeight="1" x14ac:dyDescent="0.35">
      <c r="I30" s="252" t="s">
        <v>142</v>
      </c>
      <c r="J30" s="252"/>
      <c r="K30" s="50"/>
      <c r="L30" s="50"/>
      <c r="M30" s="50"/>
      <c r="N30" s="50"/>
      <c r="O30" s="50"/>
      <c r="P30" s="50"/>
      <c r="Q30" s="47" t="e">
        <f>+(#REF!+#REF!)/#REF!</f>
        <v>#REF!</v>
      </c>
      <c r="R30" s="51"/>
      <c r="S30" s="50"/>
      <c r="T30" s="50"/>
      <c r="U30" s="47" t="e">
        <f>+(#REF!+#REF!+#REF!)/#REF!</f>
        <v>#REF!</v>
      </c>
      <c r="V30" s="50"/>
      <c r="W30" s="50"/>
      <c r="X30" s="50"/>
      <c r="Y30" s="47" t="e">
        <f>+(#REF!+#REF!+#REF!+#REF!)/#REF!</f>
        <v>#REF!</v>
      </c>
      <c r="Z30" s="50"/>
      <c r="AA30" s="50"/>
      <c r="AB30" s="50"/>
      <c r="AC30" s="47" t="e">
        <f>+(#REF!+#REF!+#REF!+#REF!+#REF!)/#REF!</f>
        <v>#REF!</v>
      </c>
      <c r="AD30" s="51"/>
      <c r="AE30" s="50"/>
      <c r="AF30" s="70"/>
    </row>
    <row r="31" spans="1:36" ht="14.15" hidden="1" customHeight="1" x14ac:dyDescent="0.35">
      <c r="I31" s="251" t="s">
        <v>143</v>
      </c>
      <c r="J31" s="251"/>
      <c r="K31" s="50"/>
      <c r="L31" s="50"/>
      <c r="M31" s="50"/>
      <c r="N31" s="50"/>
      <c r="O31" s="50"/>
      <c r="P31" s="50"/>
      <c r="Q31" s="47" t="e">
        <f>+(#REF!+#REF!)/(#REF!+#REF!)</f>
        <v>#REF!</v>
      </c>
      <c r="R31" s="51"/>
      <c r="S31" s="50"/>
      <c r="T31" s="50"/>
      <c r="U31" s="50"/>
      <c r="V31" s="50"/>
      <c r="W31" s="50"/>
      <c r="X31" s="50"/>
      <c r="Y31" s="50"/>
      <c r="Z31" s="50"/>
      <c r="AA31" s="50"/>
      <c r="AB31" s="50"/>
      <c r="AC31" s="47" t="e">
        <f>+(#REF!+#REF!+#REF!+#REF!+#REF!)/(#REF!+#REF!+#REF!+#REF!+#REF!)</f>
        <v>#REF!</v>
      </c>
      <c r="AD31" s="51"/>
      <c r="AE31" s="50"/>
      <c r="AF31" s="70"/>
    </row>
    <row r="32" spans="1:36" ht="14.15" hidden="1" customHeight="1" x14ac:dyDescent="0.35">
      <c r="I32" s="251" t="s">
        <v>144</v>
      </c>
      <c r="J32" s="251"/>
      <c r="K32" s="50"/>
      <c r="L32" s="50"/>
      <c r="M32" s="50"/>
      <c r="N32" s="50"/>
      <c r="O32" s="50"/>
      <c r="P32" s="50"/>
      <c r="Q32" s="47" t="e">
        <f>+(#REF!+#REF!)/#REF!</f>
        <v>#REF!</v>
      </c>
      <c r="R32" s="51"/>
      <c r="S32" s="50"/>
      <c r="T32" s="50"/>
      <c r="U32" s="50"/>
      <c r="V32" s="50"/>
      <c r="W32" s="50"/>
      <c r="X32" s="50"/>
      <c r="Y32" s="50"/>
      <c r="Z32" s="50"/>
      <c r="AA32" s="50"/>
      <c r="AB32" s="50"/>
      <c r="AC32" s="47" t="e">
        <f>+(+#REF!+#REF!+#REF!+#REF!+#REF!)/#REF!</f>
        <v>#REF!</v>
      </c>
      <c r="AD32" s="51"/>
      <c r="AE32" s="50"/>
      <c r="AF32" s="70"/>
    </row>
    <row r="33" spans="8:16" ht="14.15" hidden="1" customHeight="1" x14ac:dyDescent="0.35"/>
    <row r="34" spans="8:16" ht="14.15" hidden="1" customHeight="1" x14ac:dyDescent="0.35">
      <c r="H34" s="250" t="s">
        <v>145</v>
      </c>
      <c r="I34" s="250"/>
      <c r="J34" s="30" t="e">
        <f>+#REF!</f>
        <v>#REF!</v>
      </c>
      <c r="K34" s="32"/>
      <c r="L34" s="32"/>
      <c r="M34" s="32"/>
      <c r="N34" s="32"/>
      <c r="O34" s="32"/>
      <c r="P34" s="32"/>
    </row>
    <row r="35" spans="8:16" ht="14.15" hidden="1" customHeight="1" thickBot="1" x14ac:dyDescent="0.4">
      <c r="H35" s="250" t="s">
        <v>146</v>
      </c>
      <c r="I35" s="250"/>
      <c r="J35" s="25" t="e">
        <f>+#REF!</f>
        <v>#REF!</v>
      </c>
      <c r="K35" s="32"/>
      <c r="L35" s="32"/>
      <c r="M35" s="32"/>
      <c r="N35" s="32"/>
      <c r="O35" s="32"/>
      <c r="P35" s="32"/>
    </row>
    <row r="36" spans="8:16" ht="35.15" hidden="1" customHeight="1" thickBot="1" x14ac:dyDescent="0.4">
      <c r="H36" s="250" t="s">
        <v>147</v>
      </c>
      <c r="I36" s="250"/>
      <c r="J36" s="31" t="e">
        <f>+J34/J35</f>
        <v>#REF!</v>
      </c>
      <c r="K36" s="32"/>
      <c r="L36" s="32"/>
      <c r="M36" s="32"/>
      <c r="N36" s="32"/>
      <c r="O36" s="32"/>
      <c r="P36" s="32"/>
    </row>
    <row r="37" spans="8:16" ht="15" customHeight="1" x14ac:dyDescent="0.35">
      <c r="K37" s="32"/>
      <c r="L37" s="32"/>
      <c r="M37" s="32"/>
      <c r="N37" s="32"/>
      <c r="O37" s="32"/>
      <c r="P37" s="32"/>
    </row>
    <row r="38" spans="8:16" ht="15" customHeight="1" x14ac:dyDescent="0.35">
      <c r="K38" s="32"/>
      <c r="L38" s="32"/>
      <c r="M38" s="32"/>
      <c r="N38" s="32"/>
      <c r="O38" s="32"/>
      <c r="P38" s="32"/>
    </row>
    <row r="39" spans="8:16" ht="15" customHeight="1" x14ac:dyDescent="0.35">
      <c r="K39" s="32"/>
      <c r="L39" s="32"/>
      <c r="M39" s="32"/>
      <c r="N39" s="32"/>
      <c r="O39" s="32"/>
      <c r="P39" s="32"/>
    </row>
  </sheetData>
  <mergeCells count="192">
    <mergeCell ref="AH18:AH19"/>
    <mergeCell ref="AI18:AI19"/>
    <mergeCell ref="AJ18:AJ19"/>
    <mergeCell ref="A22:A23"/>
    <mergeCell ref="B22:B23"/>
    <mergeCell ref="C22:C23"/>
    <mergeCell ref="D22:D23"/>
    <mergeCell ref="E22:E23"/>
    <mergeCell ref="F20:F21"/>
    <mergeCell ref="G20:G21"/>
    <mergeCell ref="H20:H21"/>
    <mergeCell ref="AG18:AG19"/>
    <mergeCell ref="AI22:AI23"/>
    <mergeCell ref="AJ22:AJ23"/>
    <mergeCell ref="I20:I21"/>
    <mergeCell ref="J20:J21"/>
    <mergeCell ref="K20:K21"/>
    <mergeCell ref="P18:P19"/>
    <mergeCell ref="A20:A21"/>
    <mergeCell ref="B20:B21"/>
    <mergeCell ref="C20:C21"/>
    <mergeCell ref="D20:D21"/>
    <mergeCell ref="E20:E21"/>
    <mergeCell ref="L18:L19"/>
    <mergeCell ref="F24:F25"/>
    <mergeCell ref="F22:F23"/>
    <mergeCell ref="G24:G25"/>
    <mergeCell ref="H24:H25"/>
    <mergeCell ref="I24:I25"/>
    <mergeCell ref="J24:J25"/>
    <mergeCell ref="G22:G23"/>
    <mergeCell ref="H22:H23"/>
    <mergeCell ref="I22:I23"/>
    <mergeCell ref="J22:J23"/>
    <mergeCell ref="A26:A27"/>
    <mergeCell ref="B26:B27"/>
    <mergeCell ref="C26:C27"/>
    <mergeCell ref="D26:D27"/>
    <mergeCell ref="E26:E27"/>
    <mergeCell ref="A24:A25"/>
    <mergeCell ref="B24:B25"/>
    <mergeCell ref="C24:C25"/>
    <mergeCell ref="D24:D25"/>
    <mergeCell ref="E24:E25"/>
    <mergeCell ref="H34:I34"/>
    <mergeCell ref="H35:I35"/>
    <mergeCell ref="H36:I36"/>
    <mergeCell ref="I27:J27"/>
    <mergeCell ref="I28:J28"/>
    <mergeCell ref="I29:J29"/>
    <mergeCell ref="I30:J30"/>
    <mergeCell ref="I31:J31"/>
    <mergeCell ref="I32:J32"/>
    <mergeCell ref="K24:K25"/>
    <mergeCell ref="M22:M23"/>
    <mergeCell ref="N22:N23"/>
    <mergeCell ref="P22:P23"/>
    <mergeCell ref="AG22:AG23"/>
    <mergeCell ref="AH22:AH23"/>
    <mergeCell ref="O22:O23"/>
    <mergeCell ref="O24:O25"/>
    <mergeCell ref="K22:K23"/>
    <mergeCell ref="AH24:AH25"/>
    <mergeCell ref="AI24:AI25"/>
    <mergeCell ref="AJ24:AJ25"/>
    <mergeCell ref="P24:P25"/>
    <mergeCell ref="AG24:AG25"/>
    <mergeCell ref="L24:L25"/>
    <mergeCell ref="M24:M25"/>
    <mergeCell ref="N24:N25"/>
    <mergeCell ref="AG20:AG21"/>
    <mergeCell ref="AH20:AH21"/>
    <mergeCell ref="AI20:AI21"/>
    <mergeCell ref="AJ20:AJ21"/>
    <mergeCell ref="L20:L21"/>
    <mergeCell ref="M20:M21"/>
    <mergeCell ref="N20:N21"/>
    <mergeCell ref="P20:P21"/>
    <mergeCell ref="O20:O21"/>
    <mergeCell ref="M18:M19"/>
    <mergeCell ref="N18:N19"/>
    <mergeCell ref="O18:O19"/>
    <mergeCell ref="G18:G19"/>
    <mergeCell ref="H18:H19"/>
    <mergeCell ref="I18:I19"/>
    <mergeCell ref="J18:J19"/>
    <mergeCell ref="K18:K19"/>
    <mergeCell ref="A18:A19"/>
    <mergeCell ref="B18:B19"/>
    <mergeCell ref="C18:C19"/>
    <mergeCell ref="D18:D19"/>
    <mergeCell ref="E18:E19"/>
    <mergeCell ref="P16:P17"/>
    <mergeCell ref="AG16:AG17"/>
    <mergeCell ref="AH16:AH17"/>
    <mergeCell ref="AI16:AI17"/>
    <mergeCell ref="AJ16:AJ17"/>
    <mergeCell ref="I16:I17"/>
    <mergeCell ref="J16:J17"/>
    <mergeCell ref="K16:K17"/>
    <mergeCell ref="L16:L17"/>
    <mergeCell ref="M16:M17"/>
    <mergeCell ref="N16:N17"/>
    <mergeCell ref="O16:O17"/>
    <mergeCell ref="N14:N15"/>
    <mergeCell ref="P14:P15"/>
    <mergeCell ref="AG14:AG15"/>
    <mergeCell ref="AH14:AH15"/>
    <mergeCell ref="O14:O15"/>
    <mergeCell ref="F14:F15"/>
    <mergeCell ref="G14:G15"/>
    <mergeCell ref="H14:H15"/>
    <mergeCell ref="I14:I15"/>
    <mergeCell ref="J14:J15"/>
    <mergeCell ref="K14:K15"/>
    <mergeCell ref="A16:A17"/>
    <mergeCell ref="B16:B17"/>
    <mergeCell ref="C16:C17"/>
    <mergeCell ref="D16:D17"/>
    <mergeCell ref="E16:E17"/>
    <mergeCell ref="F16:F17"/>
    <mergeCell ref="G16:G17"/>
    <mergeCell ref="H16:H17"/>
    <mergeCell ref="L14:L15"/>
    <mergeCell ref="AI12:AI13"/>
    <mergeCell ref="AJ12:AJ13"/>
    <mergeCell ref="A14:A15"/>
    <mergeCell ref="B14:B15"/>
    <mergeCell ref="C14:C15"/>
    <mergeCell ref="D14:D15"/>
    <mergeCell ref="E14:E15"/>
    <mergeCell ref="Z12:Z13"/>
    <mergeCell ref="AA12:AA13"/>
    <mergeCell ref="AB12:AB13"/>
    <mergeCell ref="AC12:AC13"/>
    <mergeCell ref="AD12:AD13"/>
    <mergeCell ref="AE12:AE13"/>
    <mergeCell ref="T12:T13"/>
    <mergeCell ref="U12:U13"/>
    <mergeCell ref="V12:V13"/>
    <mergeCell ref="W12:W13"/>
    <mergeCell ref="X12:X13"/>
    <mergeCell ref="Y12:Y13"/>
    <mergeCell ref="M12:M13"/>
    <mergeCell ref="N12:N13"/>
    <mergeCell ref="AI14:AI15"/>
    <mergeCell ref="AJ14:AJ15"/>
    <mergeCell ref="M14:M15"/>
    <mergeCell ref="A12:A13"/>
    <mergeCell ref="B12:B13"/>
    <mergeCell ref="C12:C13"/>
    <mergeCell ref="D12:D13"/>
    <mergeCell ref="E12:E13"/>
    <mergeCell ref="F12:F13"/>
    <mergeCell ref="AB6:AE10"/>
    <mergeCell ref="AF6:AG10"/>
    <mergeCell ref="AH6:AH10"/>
    <mergeCell ref="P12:P13"/>
    <mergeCell ref="Q12:Q13"/>
    <mergeCell ref="R12:R13"/>
    <mergeCell ref="S12:S13"/>
    <mergeCell ref="O12:O13"/>
    <mergeCell ref="G12:G13"/>
    <mergeCell ref="H12:H13"/>
    <mergeCell ref="I12:I13"/>
    <mergeCell ref="J12:J13"/>
    <mergeCell ref="K12:K13"/>
    <mergeCell ref="L12:L13"/>
    <mergeCell ref="AF12:AF13"/>
    <mergeCell ref="AG12:AG13"/>
    <mergeCell ref="AH12:AH13"/>
    <mergeCell ref="A11:F11"/>
    <mergeCell ref="G11:P11"/>
    <mergeCell ref="Q11:AF11"/>
    <mergeCell ref="AG11:AJ11"/>
    <mergeCell ref="K6:L10"/>
    <mergeCell ref="M6:M10"/>
    <mergeCell ref="N6:P10"/>
    <mergeCell ref="Q6:S10"/>
    <mergeCell ref="T6:W10"/>
    <mergeCell ref="X6:AA10"/>
    <mergeCell ref="A1:C3"/>
    <mergeCell ref="D1:AJ3"/>
    <mergeCell ref="A4:A5"/>
    <mergeCell ref="G4:G5"/>
    <mergeCell ref="A6:B10"/>
    <mergeCell ref="C6:D10"/>
    <mergeCell ref="E6:F10"/>
    <mergeCell ref="G6:G10"/>
    <mergeCell ref="H6:I10"/>
    <mergeCell ref="J6:J10"/>
    <mergeCell ref="AI6:AI10"/>
  </mergeCells>
  <conditionalFormatting sqref="I4">
    <cfRule type="cellIs" dxfId="50" priority="16" operator="lessThanOrEqual">
      <formula>$C$4</formula>
    </cfRule>
  </conditionalFormatting>
  <conditionalFormatting sqref="J6 S14:S25">
    <cfRule type="cellIs" dxfId="49" priority="17" operator="greaterThanOrEqual">
      <formula>$C$5</formula>
    </cfRule>
    <cfRule type="cellIs" dxfId="48" priority="18" operator="lessThanOrEqual">
      <formula>$C$4</formula>
    </cfRule>
    <cfRule type="cellIs" dxfId="47" priority="19" operator="between">
      <formula>$C$5</formula>
      <formula>$C$4</formula>
    </cfRule>
  </conditionalFormatting>
  <conditionalFormatting sqref="Q6">
    <cfRule type="cellIs" dxfId="46" priority="13" operator="greaterThanOrEqual">
      <formula>$I$5</formula>
    </cfRule>
    <cfRule type="cellIs" dxfId="45" priority="14" operator="lessThanOrEqual">
      <formula>$I$4</formula>
    </cfRule>
    <cfRule type="cellIs" dxfId="44" priority="15" operator="between">
      <formula>$I$5</formula>
      <formula>$I$4</formula>
    </cfRule>
  </conditionalFormatting>
  <conditionalFormatting sqref="U27:U30 Y27:Y30 Q27:Q32 AC27:AC32 K28:P28 R28:T28 V28:X28 Z28:AB28 AD28:AF28 J36">
    <cfRule type="cellIs" dxfId="43" priority="20" operator="greaterThanOrEqual">
      <formula>$D$9</formula>
    </cfRule>
    <cfRule type="cellIs" dxfId="42" priority="21" operator="lessThanOrEqual">
      <formula>$C$6</formula>
    </cfRule>
    <cfRule type="cellIs" dxfId="41" priority="22" operator="between">
      <formula>$C$6</formula>
      <formula>$D$9</formula>
    </cfRule>
  </conditionalFormatting>
  <conditionalFormatting sqref="X6">
    <cfRule type="cellIs" dxfId="40" priority="7" operator="greaterThanOrEqual">
      <formula>$I$5</formula>
    </cfRule>
    <cfRule type="cellIs" dxfId="39" priority="8" operator="lessThanOrEqual">
      <formula>$I$4</formula>
    </cfRule>
    <cfRule type="cellIs" dxfId="38" priority="9" operator="between">
      <formula>$I$5</formula>
      <formula>$I$4</formula>
    </cfRule>
  </conditionalFormatting>
  <conditionalFormatting sqref="AF6">
    <cfRule type="cellIs" dxfId="37" priority="4" operator="greaterThanOrEqual">
      <formula>$I$5</formula>
    </cfRule>
    <cfRule type="cellIs" dxfId="36" priority="5" operator="lessThanOrEqual">
      <formula>$I$4</formula>
    </cfRule>
    <cfRule type="cellIs" dxfId="35" priority="6" operator="between">
      <formula>$I$5</formula>
      <formula>$I$4</formula>
    </cfRule>
  </conditionalFormatting>
  <conditionalFormatting sqref="AI6">
    <cfRule type="cellIs" dxfId="34" priority="1" operator="greaterThanOrEqual">
      <formula>$I$5</formula>
    </cfRule>
    <cfRule type="cellIs" dxfId="33" priority="2" operator="lessThanOrEqual">
      <formula>$I$4</formula>
    </cfRule>
    <cfRule type="cellIs" dxfId="32" priority="3" operator="between">
      <formula>$I$5</formula>
      <formula>$I$4</formula>
    </cfRule>
  </conditionalFormatting>
  <dataValidations count="4">
    <dataValidation type="decimal" allowBlank="1" showInputMessage="1" showErrorMessage="1" prompt="% de avance en la actividad - indique el % programado de avance durante esta semana_x000a_" sqref="T14:AF19 T21:V25 W20:AF25" xr:uid="{249CB5E0-301F-4A6F-ACEB-2AE759A3540E}">
      <formula1>0</formula1>
      <formula2>1</formula2>
    </dataValidation>
    <dataValidation type="decimal" allowBlank="1" showInputMessage="1" showErrorMessage="1" prompt="campo calculado  - indica el % de avance  que aporta la activadad a todo el proyecto" sqref="R19 R15 R21 R17 R23 R25" xr:uid="{6640CB10-7F3F-4B26-9E45-DAFDF6E0F7A8}">
      <formula1>0</formula1>
      <formula2>1</formula2>
    </dataValidation>
    <dataValidation type="decimal" allowBlank="1" showInputMessage="1" showErrorMessage="1" prompt="valor porcentual de la activida - Indique el peso porcentual de la actividad dentro del proyecto" sqref="R14 R24 R18 R20 R16 R22" xr:uid="{6F41FEC4-B056-4405-B917-4B8D9D3DED88}">
      <formula1>0</formula1>
      <formula2>1</formula2>
    </dataValidation>
    <dataValidation allowBlank="1" showErrorMessage="1" sqref="S14:S25" xr:uid="{DB867728-6281-4C1D-99AE-8633421F4615}"/>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6701-085D-444A-91F9-1254BD03F842}">
  <dimension ref="A1:AH41"/>
  <sheetViews>
    <sheetView showGridLines="0" view="pageBreakPreview" topLeftCell="A11" zoomScale="60" zoomScaleNormal="10" zoomScalePageLayoutView="48" workbookViewId="0">
      <selection activeCell="O11" sqref="O11:AD11"/>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4" width="18.26953125" style="1" customWidth="1"/>
    <col min="15" max="17" width="13.7265625" style="1" customWidth="1"/>
    <col min="18" max="30" width="9.54296875" style="1" customWidth="1"/>
    <col min="31" max="31" width="35.7265625" style="1" customWidth="1"/>
    <col min="32" max="34" width="42.54296875" style="1" customWidth="1"/>
    <col min="35" max="16384" width="12.54296875" style="1"/>
  </cols>
  <sheetData>
    <row r="1" spans="1:34" s="60" customFormat="1" ht="15" customHeight="1" x14ac:dyDescent="0.35">
      <c r="A1" s="293"/>
      <c r="B1" s="294"/>
      <c r="C1" s="295"/>
      <c r="D1" s="361" t="s">
        <v>1388</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1:34"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1:34"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row>
    <row r="4" spans="1:34" s="60" customFormat="1" ht="60" hidden="1" customHeight="1" thickBot="1" x14ac:dyDescent="0.4">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row>
    <row r="5" spans="1:34" s="60" customFormat="1" ht="60" hidden="1" customHeight="1" x14ac:dyDescent="0.35">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row>
    <row r="6" spans="1:34" ht="20.149999999999999" customHeight="1" x14ac:dyDescent="0.35">
      <c r="A6" s="292" t="s">
        <v>28</v>
      </c>
      <c r="B6" s="292"/>
      <c r="C6" s="302" t="s">
        <v>1232</v>
      </c>
      <c r="D6" s="302"/>
      <c r="E6" s="303" t="s">
        <v>30</v>
      </c>
      <c r="F6" s="303"/>
      <c r="G6" s="324">
        <f>+P15+P17+P19</f>
        <v>1</v>
      </c>
      <c r="H6" s="303" t="s">
        <v>31</v>
      </c>
      <c r="I6" s="303"/>
      <c r="J6" s="414">
        <f>+P14+P16+P18</f>
        <v>0.4443333333333333</v>
      </c>
      <c r="K6" s="286" t="s">
        <v>32</v>
      </c>
      <c r="L6" s="287"/>
      <c r="M6" s="330">
        <v>0.95</v>
      </c>
      <c r="N6" s="425" t="s">
        <v>1389</v>
      </c>
      <c r="O6" s="429"/>
      <c r="P6" s="333">
        <f>(SUM(AD14,AD16,AD18)/SUM(AD15,AD17,AD19))/M6</f>
        <v>0</v>
      </c>
      <c r="Q6" s="335"/>
      <c r="R6" s="419"/>
      <c r="S6" s="420"/>
      <c r="T6" s="420"/>
      <c r="U6" s="420"/>
      <c r="V6" s="420"/>
      <c r="W6" s="420"/>
      <c r="X6" s="420"/>
      <c r="Y6" s="420"/>
      <c r="Z6" s="420"/>
      <c r="AA6" s="420"/>
      <c r="AB6" s="420"/>
      <c r="AC6" s="420"/>
      <c r="AD6" s="420"/>
      <c r="AE6" s="420"/>
      <c r="AF6" s="420"/>
      <c r="AG6" s="420"/>
      <c r="AH6" s="420"/>
    </row>
    <row r="7" spans="1:34" ht="15" customHeight="1" x14ac:dyDescent="0.35">
      <c r="A7" s="292"/>
      <c r="B7" s="292"/>
      <c r="C7" s="302"/>
      <c r="D7" s="302"/>
      <c r="E7" s="303"/>
      <c r="F7" s="303"/>
      <c r="G7" s="325"/>
      <c r="H7" s="303"/>
      <c r="I7" s="303"/>
      <c r="J7" s="415"/>
      <c r="K7" s="288"/>
      <c r="L7" s="289"/>
      <c r="M7" s="331"/>
      <c r="N7" s="425"/>
      <c r="O7" s="429"/>
      <c r="P7" s="336"/>
      <c r="Q7" s="338"/>
      <c r="R7" s="419"/>
      <c r="S7" s="420"/>
      <c r="T7" s="420"/>
      <c r="U7" s="420"/>
      <c r="V7" s="420"/>
      <c r="W7" s="420"/>
      <c r="X7" s="420"/>
      <c r="Y7" s="420"/>
      <c r="Z7" s="420"/>
      <c r="AA7" s="420"/>
      <c r="AB7" s="420"/>
      <c r="AC7" s="420"/>
      <c r="AD7" s="420"/>
      <c r="AE7" s="420"/>
      <c r="AF7" s="420"/>
      <c r="AG7" s="420"/>
      <c r="AH7" s="420"/>
    </row>
    <row r="8" spans="1:34" ht="25.15" hidden="1" customHeight="1" x14ac:dyDescent="0.35">
      <c r="A8" s="292"/>
      <c r="B8" s="292"/>
      <c r="C8" s="302"/>
      <c r="D8" s="302"/>
      <c r="E8" s="303"/>
      <c r="F8" s="303"/>
      <c r="G8" s="325"/>
      <c r="H8" s="303"/>
      <c r="I8" s="303"/>
      <c r="J8" s="415"/>
      <c r="K8" s="288"/>
      <c r="L8" s="289"/>
      <c r="M8" s="331"/>
      <c r="N8" s="425"/>
      <c r="O8" s="429"/>
      <c r="P8" s="336"/>
      <c r="Q8" s="338"/>
      <c r="R8" s="419"/>
      <c r="S8" s="420"/>
      <c r="T8" s="420"/>
      <c r="U8" s="420"/>
      <c r="V8" s="420"/>
      <c r="W8" s="420"/>
      <c r="X8" s="420"/>
      <c r="Y8" s="420"/>
      <c r="Z8" s="420"/>
      <c r="AA8" s="420"/>
      <c r="AB8" s="420"/>
      <c r="AC8" s="420"/>
      <c r="AD8" s="420"/>
      <c r="AE8" s="420"/>
      <c r="AF8" s="420"/>
      <c r="AG8" s="420"/>
      <c r="AH8" s="420"/>
    </row>
    <row r="9" spans="1:34" ht="25.15" hidden="1" customHeight="1" thickBot="1" x14ac:dyDescent="0.4">
      <c r="A9" s="292"/>
      <c r="B9" s="292"/>
      <c r="C9" s="302"/>
      <c r="D9" s="302"/>
      <c r="E9" s="303"/>
      <c r="F9" s="303"/>
      <c r="G9" s="325"/>
      <c r="H9" s="303"/>
      <c r="I9" s="303"/>
      <c r="J9" s="415"/>
      <c r="K9" s="288"/>
      <c r="L9" s="289"/>
      <c r="M9" s="331"/>
      <c r="N9" s="425"/>
      <c r="O9" s="429"/>
      <c r="P9" s="336"/>
      <c r="Q9" s="338"/>
      <c r="R9" s="419"/>
      <c r="S9" s="420"/>
      <c r="T9" s="420"/>
      <c r="U9" s="420"/>
      <c r="V9" s="420"/>
      <c r="W9" s="420"/>
      <c r="X9" s="420"/>
      <c r="Y9" s="420"/>
      <c r="Z9" s="420"/>
      <c r="AA9" s="420"/>
      <c r="AB9" s="420"/>
      <c r="AC9" s="420"/>
      <c r="AD9" s="420"/>
      <c r="AE9" s="420"/>
      <c r="AF9" s="420"/>
      <c r="AG9" s="420"/>
      <c r="AH9" s="420"/>
    </row>
    <row r="10" spans="1:34" ht="15" customHeight="1" thickBot="1" x14ac:dyDescent="0.4">
      <c r="A10" s="292"/>
      <c r="B10" s="292"/>
      <c r="C10" s="302"/>
      <c r="D10" s="302"/>
      <c r="E10" s="303"/>
      <c r="F10" s="303"/>
      <c r="G10" s="326"/>
      <c r="H10" s="303"/>
      <c r="I10" s="303"/>
      <c r="J10" s="416"/>
      <c r="K10" s="290"/>
      <c r="L10" s="291"/>
      <c r="M10" s="332"/>
      <c r="N10" s="425"/>
      <c r="O10" s="429"/>
      <c r="P10" s="339"/>
      <c r="Q10" s="341"/>
      <c r="R10" s="419"/>
      <c r="S10" s="420"/>
      <c r="T10" s="420"/>
      <c r="U10" s="420"/>
      <c r="V10" s="420"/>
      <c r="W10" s="420"/>
      <c r="X10" s="420"/>
      <c r="Y10" s="420"/>
      <c r="Z10" s="420"/>
      <c r="AA10" s="420"/>
      <c r="AB10" s="420"/>
      <c r="AC10" s="420"/>
      <c r="AD10" s="420"/>
      <c r="AE10" s="420"/>
      <c r="AF10" s="420"/>
      <c r="AG10" s="420"/>
      <c r="AH10" s="420"/>
    </row>
    <row r="11" spans="1:34" s="12" customFormat="1" ht="40.15" customHeight="1" thickBot="1" x14ac:dyDescent="0.4">
      <c r="A11" s="268" t="s">
        <v>37</v>
      </c>
      <c r="B11" s="268"/>
      <c r="C11" s="268"/>
      <c r="D11" s="268"/>
      <c r="E11" s="268"/>
      <c r="F11" s="269"/>
      <c r="G11" s="270" t="s">
        <v>38</v>
      </c>
      <c r="H11" s="271"/>
      <c r="I11" s="271"/>
      <c r="J11" s="271"/>
      <c r="K11" s="271"/>
      <c r="L11" s="271"/>
      <c r="M11" s="271"/>
      <c r="N11" s="271"/>
      <c r="O11" s="345" t="s">
        <v>39</v>
      </c>
      <c r="P11" s="346"/>
      <c r="Q11" s="346"/>
      <c r="R11" s="346"/>
      <c r="S11" s="346"/>
      <c r="T11" s="346"/>
      <c r="U11" s="346"/>
      <c r="V11" s="346"/>
      <c r="W11" s="346"/>
      <c r="X11" s="346"/>
      <c r="Y11" s="346"/>
      <c r="Z11" s="346"/>
      <c r="AA11" s="346"/>
      <c r="AB11" s="346"/>
      <c r="AC11" s="346"/>
      <c r="AD11" s="347"/>
      <c r="AE11" s="345" t="s">
        <v>40</v>
      </c>
      <c r="AF11" s="346"/>
      <c r="AG11" s="346"/>
      <c r="AH11" s="346"/>
    </row>
    <row r="12" spans="1:34" ht="39" customHeight="1" x14ac:dyDescent="0.35">
      <c r="A12" s="273" t="s">
        <v>41</v>
      </c>
      <c r="B12" s="275" t="s">
        <v>42</v>
      </c>
      <c r="C12" s="275" t="s">
        <v>43</v>
      </c>
      <c r="D12" s="275" t="s">
        <v>44</v>
      </c>
      <c r="E12" s="275" t="s">
        <v>45</v>
      </c>
      <c r="F12" s="275" t="s">
        <v>9</v>
      </c>
      <c r="G12" s="275" t="s">
        <v>46</v>
      </c>
      <c r="H12" s="275" t="s">
        <v>218</v>
      </c>
      <c r="I12" s="275" t="s">
        <v>49</v>
      </c>
      <c r="J12" s="275" t="s">
        <v>50</v>
      </c>
      <c r="K12" s="275" t="s">
        <v>51</v>
      </c>
      <c r="L12" s="275" t="s">
        <v>52</v>
      </c>
      <c r="M12" s="275" t="s">
        <v>53</v>
      </c>
      <c r="N12" s="275" t="s">
        <v>54</v>
      </c>
      <c r="O12" s="356" t="s">
        <v>55</v>
      </c>
      <c r="P12" s="357" t="s">
        <v>56</v>
      </c>
      <c r="Q12" s="358" t="s">
        <v>57</v>
      </c>
      <c r="R12" s="354" t="s">
        <v>58</v>
      </c>
      <c r="S12" s="352" t="s">
        <v>59</v>
      </c>
      <c r="T12" s="350" t="s">
        <v>60</v>
      </c>
      <c r="U12" s="304" t="s">
        <v>61</v>
      </c>
      <c r="V12" s="359" t="s">
        <v>62</v>
      </c>
      <c r="W12" s="304" t="s">
        <v>63</v>
      </c>
      <c r="X12" s="350" t="s">
        <v>63</v>
      </c>
      <c r="Y12" s="352" t="s">
        <v>65</v>
      </c>
      <c r="Z12" s="354" t="s">
        <v>66</v>
      </c>
      <c r="AA12" s="352" t="s">
        <v>67</v>
      </c>
      <c r="AB12" s="350" t="s">
        <v>68</v>
      </c>
      <c r="AC12" s="304" t="s">
        <v>69</v>
      </c>
      <c r="AD12" s="348" t="s">
        <v>70</v>
      </c>
      <c r="AE12" s="344" t="s">
        <v>71</v>
      </c>
      <c r="AF12" s="344" t="s">
        <v>72</v>
      </c>
      <c r="AG12" s="344" t="s">
        <v>73</v>
      </c>
      <c r="AH12" s="344" t="s">
        <v>74</v>
      </c>
    </row>
    <row r="13" spans="1:34" ht="60" customHeight="1" thickBot="1" x14ac:dyDescent="0.4">
      <c r="A13" s="274"/>
      <c r="B13" s="274"/>
      <c r="C13" s="274"/>
      <c r="D13" s="274"/>
      <c r="E13" s="274"/>
      <c r="F13" s="274"/>
      <c r="G13" s="274"/>
      <c r="H13" s="274"/>
      <c r="I13" s="274"/>
      <c r="J13" s="274"/>
      <c r="K13" s="274"/>
      <c r="L13" s="274"/>
      <c r="M13" s="274"/>
      <c r="N13" s="274"/>
      <c r="O13" s="356"/>
      <c r="P13" s="357"/>
      <c r="Q13" s="358"/>
      <c r="R13" s="355"/>
      <c r="S13" s="353"/>
      <c r="T13" s="351"/>
      <c r="U13" s="305"/>
      <c r="V13" s="360"/>
      <c r="W13" s="305"/>
      <c r="X13" s="351"/>
      <c r="Y13" s="353"/>
      <c r="Z13" s="355"/>
      <c r="AA13" s="353"/>
      <c r="AB13" s="351"/>
      <c r="AC13" s="305"/>
      <c r="AD13" s="349"/>
      <c r="AE13" s="344"/>
      <c r="AF13" s="344"/>
      <c r="AG13" s="344"/>
      <c r="AH13" s="344"/>
    </row>
    <row r="14" spans="1:34" ht="40.15" customHeight="1" thickBot="1" x14ac:dyDescent="0.4">
      <c r="A14" s="259">
        <v>1</v>
      </c>
      <c r="B14" s="259" t="s">
        <v>150</v>
      </c>
      <c r="C14" s="259" t="s">
        <v>103</v>
      </c>
      <c r="D14" s="259" t="s">
        <v>986</v>
      </c>
      <c r="E14" s="259" t="s">
        <v>1390</v>
      </c>
      <c r="F14" s="277" t="s">
        <v>79</v>
      </c>
      <c r="G14" s="259" t="s">
        <v>1391</v>
      </c>
      <c r="H14" s="259" t="s">
        <v>1392</v>
      </c>
      <c r="I14" s="259" t="s">
        <v>1393</v>
      </c>
      <c r="J14" s="261" t="s">
        <v>84</v>
      </c>
      <c r="K14" s="261" t="s">
        <v>84</v>
      </c>
      <c r="L14" s="261" t="s">
        <v>272</v>
      </c>
      <c r="M14" s="263">
        <v>44958</v>
      </c>
      <c r="N14" s="263">
        <v>45199</v>
      </c>
      <c r="O14" s="64" t="s">
        <v>86</v>
      </c>
      <c r="P14" s="53">
        <f>+(P15*Q14)</f>
        <v>0.33333333333333331</v>
      </c>
      <c r="Q14" s="71">
        <f t="shared" ref="Q14:Q19" si="0">SUM(R14:AD14)</f>
        <v>1</v>
      </c>
      <c r="R14" s="43"/>
      <c r="S14" s="43"/>
      <c r="T14" s="43"/>
      <c r="U14" s="43"/>
      <c r="V14" s="43"/>
      <c r="W14" s="43">
        <v>1</v>
      </c>
      <c r="X14" s="43"/>
      <c r="Y14" s="43"/>
      <c r="Z14" s="44"/>
      <c r="AA14" s="44"/>
      <c r="AB14" s="44"/>
      <c r="AC14" s="44"/>
      <c r="AD14" s="44"/>
      <c r="AE14" s="257" t="s">
        <v>1394</v>
      </c>
      <c r="AF14" s="257" t="s">
        <v>1394</v>
      </c>
      <c r="AG14" s="342"/>
      <c r="AH14" s="342"/>
    </row>
    <row r="15" spans="1:34" ht="37.15" customHeight="1" thickBot="1" x14ac:dyDescent="0.4">
      <c r="A15" s="260"/>
      <c r="B15" s="260"/>
      <c r="C15" s="260"/>
      <c r="D15" s="260"/>
      <c r="E15" s="260"/>
      <c r="F15" s="280"/>
      <c r="G15" s="260"/>
      <c r="H15" s="260"/>
      <c r="I15" s="260"/>
      <c r="J15" s="266"/>
      <c r="K15" s="266"/>
      <c r="L15" s="266"/>
      <c r="M15" s="267"/>
      <c r="N15" s="267"/>
      <c r="O15" s="64" t="s">
        <v>89</v>
      </c>
      <c r="P15" s="52">
        <f>100%/3</f>
        <v>0.33333333333333331</v>
      </c>
      <c r="Q15" s="71">
        <f t="shared" si="0"/>
        <v>1</v>
      </c>
      <c r="R15" s="42"/>
      <c r="S15" s="42"/>
      <c r="T15" s="42"/>
      <c r="U15" s="42"/>
      <c r="V15" s="42"/>
      <c r="W15" s="42"/>
      <c r="X15" s="42"/>
      <c r="Y15" s="42"/>
      <c r="Z15" s="42"/>
      <c r="AA15" s="42"/>
      <c r="AB15" s="42"/>
      <c r="AC15" s="42"/>
      <c r="AD15" s="42">
        <v>1</v>
      </c>
      <c r="AE15" s="258"/>
      <c r="AF15" s="258"/>
      <c r="AG15" s="343"/>
      <c r="AH15" s="343"/>
    </row>
    <row r="16" spans="1:34" ht="50.15" customHeight="1" thickBot="1" x14ac:dyDescent="0.4">
      <c r="A16" s="259">
        <v>2</v>
      </c>
      <c r="B16" s="259" t="s">
        <v>150</v>
      </c>
      <c r="C16" s="259" t="s">
        <v>103</v>
      </c>
      <c r="D16" s="259" t="s">
        <v>986</v>
      </c>
      <c r="E16" s="259" t="s">
        <v>1390</v>
      </c>
      <c r="F16" s="277" t="s">
        <v>79</v>
      </c>
      <c r="G16" s="259" t="s">
        <v>1391</v>
      </c>
      <c r="H16" s="259" t="s">
        <v>1395</v>
      </c>
      <c r="I16" s="259" t="s">
        <v>1396</v>
      </c>
      <c r="J16" s="261" t="s">
        <v>84</v>
      </c>
      <c r="K16" s="261" t="s">
        <v>84</v>
      </c>
      <c r="L16" s="261" t="s">
        <v>272</v>
      </c>
      <c r="M16" s="263">
        <v>44927</v>
      </c>
      <c r="N16" s="263">
        <v>45275</v>
      </c>
      <c r="O16" s="64" t="s">
        <v>86</v>
      </c>
      <c r="P16" s="53">
        <f>+(P17*Q16)</f>
        <v>0.111</v>
      </c>
      <c r="Q16" s="71">
        <f t="shared" si="0"/>
        <v>0.33300000000000002</v>
      </c>
      <c r="R16" s="43"/>
      <c r="S16" s="43"/>
      <c r="T16" s="43"/>
      <c r="U16" s="43"/>
      <c r="V16" s="43"/>
      <c r="W16" s="43">
        <v>0.33300000000000002</v>
      </c>
      <c r="X16" s="43"/>
      <c r="Y16" s="43"/>
      <c r="Z16" s="44"/>
      <c r="AA16" s="44"/>
      <c r="AB16" s="44"/>
      <c r="AC16" s="44"/>
      <c r="AD16" s="44"/>
      <c r="AE16" s="362"/>
      <c r="AF16" s="366" t="s">
        <v>1467</v>
      </c>
      <c r="AG16" s="342" t="s">
        <v>1469</v>
      </c>
      <c r="AH16" s="342"/>
    </row>
    <row r="17" spans="1:34" ht="37.15" customHeight="1" thickBot="1" x14ac:dyDescent="0.4">
      <c r="A17" s="260"/>
      <c r="B17" s="260"/>
      <c r="C17" s="260"/>
      <c r="D17" s="260"/>
      <c r="E17" s="260"/>
      <c r="F17" s="278"/>
      <c r="G17" s="260"/>
      <c r="H17" s="260"/>
      <c r="I17" s="260"/>
      <c r="J17" s="266"/>
      <c r="K17" s="266"/>
      <c r="L17" s="266"/>
      <c r="M17" s="267"/>
      <c r="N17" s="267"/>
      <c r="O17" s="64" t="s">
        <v>89</v>
      </c>
      <c r="P17" s="52">
        <f>100%/3</f>
        <v>0.33333333333333331</v>
      </c>
      <c r="Q17" s="71">
        <f t="shared" si="0"/>
        <v>1</v>
      </c>
      <c r="R17" s="42"/>
      <c r="S17" s="42"/>
      <c r="T17" s="42"/>
      <c r="U17" s="42"/>
      <c r="V17" s="42"/>
      <c r="W17" s="42"/>
      <c r="X17" s="42"/>
      <c r="Y17" s="42"/>
      <c r="Z17" s="42"/>
      <c r="AA17" s="42"/>
      <c r="AB17" s="42"/>
      <c r="AC17" s="42"/>
      <c r="AD17" s="42">
        <v>1</v>
      </c>
      <c r="AE17" s="363"/>
      <c r="AF17" s="367"/>
      <c r="AG17" s="343"/>
      <c r="AH17" s="343"/>
    </row>
    <row r="18" spans="1:34" ht="37.15" customHeight="1" thickBot="1" x14ac:dyDescent="0.4">
      <c r="A18" s="259">
        <v>3</v>
      </c>
      <c r="B18" s="259" t="s">
        <v>150</v>
      </c>
      <c r="C18" s="259" t="s">
        <v>103</v>
      </c>
      <c r="D18" s="259" t="s">
        <v>986</v>
      </c>
      <c r="E18" s="259" t="s">
        <v>1390</v>
      </c>
      <c r="F18" s="277" t="s">
        <v>79</v>
      </c>
      <c r="G18" s="259" t="s">
        <v>1397</v>
      </c>
      <c r="H18" s="259" t="s">
        <v>1398</v>
      </c>
      <c r="I18" s="259" t="s">
        <v>1396</v>
      </c>
      <c r="J18" s="261" t="s">
        <v>84</v>
      </c>
      <c r="K18" s="261" t="s">
        <v>84</v>
      </c>
      <c r="L18" s="261" t="s">
        <v>272</v>
      </c>
      <c r="M18" s="263">
        <v>45108</v>
      </c>
      <c r="N18" s="263">
        <v>45275</v>
      </c>
      <c r="O18" s="64" t="s">
        <v>86</v>
      </c>
      <c r="P18" s="53">
        <f>+(P19*Q18)</f>
        <v>0</v>
      </c>
      <c r="Q18" s="71">
        <f t="shared" si="0"/>
        <v>0</v>
      </c>
      <c r="R18" s="43"/>
      <c r="S18" s="43"/>
      <c r="T18" s="43"/>
      <c r="U18" s="43"/>
      <c r="V18" s="43"/>
      <c r="W18" s="43"/>
      <c r="X18" s="43"/>
      <c r="Y18" s="43"/>
      <c r="Z18" s="44"/>
      <c r="AA18" s="44"/>
      <c r="AB18" s="44"/>
      <c r="AC18" s="44"/>
      <c r="AD18" s="44"/>
      <c r="AE18" s="362"/>
      <c r="AF18" s="366"/>
      <c r="AG18" s="342" t="s">
        <v>1468</v>
      </c>
      <c r="AH18" s="342"/>
    </row>
    <row r="19" spans="1:34" ht="37.15" customHeight="1" x14ac:dyDescent="0.35">
      <c r="A19" s="260"/>
      <c r="B19" s="260"/>
      <c r="C19" s="260"/>
      <c r="D19" s="260"/>
      <c r="E19" s="260"/>
      <c r="F19" s="278"/>
      <c r="G19" s="260"/>
      <c r="H19" s="260"/>
      <c r="I19" s="260"/>
      <c r="J19" s="266"/>
      <c r="K19" s="266"/>
      <c r="L19" s="266"/>
      <c r="M19" s="267"/>
      <c r="N19" s="267"/>
      <c r="O19" s="64" t="s">
        <v>89</v>
      </c>
      <c r="P19" s="52">
        <f>100%/3</f>
        <v>0.33333333333333331</v>
      </c>
      <c r="Q19" s="71">
        <f t="shared" si="0"/>
        <v>1</v>
      </c>
      <c r="R19" s="42"/>
      <c r="S19" s="42"/>
      <c r="T19" s="42"/>
      <c r="U19" s="42"/>
      <c r="V19" s="42"/>
      <c r="W19" s="42"/>
      <c r="X19" s="42"/>
      <c r="Y19" s="42"/>
      <c r="Z19" s="42"/>
      <c r="AA19" s="42"/>
      <c r="AB19" s="42"/>
      <c r="AC19" s="42"/>
      <c r="AD19" s="42">
        <v>1</v>
      </c>
      <c r="AE19" s="363"/>
      <c r="AF19" s="367"/>
      <c r="AG19" s="343"/>
      <c r="AH19" s="343"/>
    </row>
    <row r="21" spans="1:34" s="13" customFormat="1" ht="30" hidden="1" customHeight="1" x14ac:dyDescent="0.35">
      <c r="D21" s="249" t="s">
        <v>32</v>
      </c>
      <c r="E21" s="249"/>
      <c r="F21" s="21">
        <v>1</v>
      </c>
      <c r="H21" s="253" t="s">
        <v>129</v>
      </c>
      <c r="I21" s="22" t="s">
        <v>130</v>
      </c>
      <c r="J21" s="54" t="e">
        <f>SUM(O21:AC21)</f>
        <v>#REF!</v>
      </c>
      <c r="K21" s="33"/>
      <c r="L21" s="33"/>
      <c r="M21" s="33"/>
      <c r="N21" s="33"/>
      <c r="O21" s="33" t="e">
        <f>+(AC14*$P$15)+(AC16*$P$17)+(AC18*$P$19)+(#REF!*#REF!)+(#REF!*#REF!)+(#REF!*#REF!)+(#REF!*#REF!)+(#REF!*#REF!)+(#REF!*#REF!)+(#REF!*#REF!)+(#REF!*#REF!)+(#REF!*#REF!)+(#REF!*#REF!)</f>
        <v>#REF!</v>
      </c>
      <c r="P21" s="36" t="e">
        <f>+(#REF!*$P$15)+(#REF!*$P$17)+(#REF!*$P$19)+(#REF!*#REF!)+(#REF!*#REF!)+(#REF!*#REF!)+(#REF!*#REF!)+(#REF!*#REF!)+(#REF!*#REF!)+(#REF!*#REF!)+(#REF!*#REF!)+(#REF!*#REF!)+(#REF!*#REF!)</f>
        <v>#REF!</v>
      </c>
      <c r="Q21" s="33" t="e">
        <f>+(#REF!*$P$15)+(#REF!*$P$17)+(#REF!*$P$19)+(#REF!*#REF!)+(#REF!*#REF!)+(#REF!*#REF!)+(#REF!*#REF!)+(#REF!*#REF!)+(#REF!*#REF!)+(#REF!*#REF!)+(#REF!*#REF!)+(#REF!*#REF!)+(#REF!*#REF!)</f>
        <v>#REF!</v>
      </c>
      <c r="R21" s="33" t="e">
        <f>+(#REF!*$P$15)+(#REF!*$P$17)+(#REF!*$P$19)+(#REF!*#REF!)+(#REF!*#REF!)+(#REF!*#REF!)+(#REF!*#REF!)+(#REF!*#REF!)+(#REF!*#REF!)+(#REF!*#REF!)+(#REF!*#REF!)+(#REF!*#REF!)+(#REF!*#REF!)</f>
        <v>#REF!</v>
      </c>
      <c r="S21" s="33" t="e">
        <f>+(#REF!*$P$15)+(#REF!*$P$17)+(#REF!*$P$19)+(#REF!*#REF!)+(#REF!*#REF!)+(#REF!*#REF!)+(#REF!*#REF!)+(#REF!*#REF!)+(#REF!*#REF!)+(#REF!*#REF!)+(#REF!*#REF!)+(#REF!*#REF!)+(#REF!*#REF!)</f>
        <v>#REF!</v>
      </c>
      <c r="T21" s="33" t="e">
        <f>+(#REF!*$P$15)+(#REF!*$P$17)+(#REF!*$P$19)+(#REF!*#REF!)+(#REF!*#REF!)+(#REF!*#REF!)+(#REF!*#REF!)+(#REF!*#REF!)+(#REF!*#REF!)+(#REF!*#REF!)+(#REF!*#REF!)+(#REF!*#REF!)+(#REF!*#REF!)</f>
        <v>#REF!</v>
      </c>
      <c r="U21" s="33" t="e">
        <f>+(#REF!*$P$15)+(#REF!*$P$17)+(#REF!*$P$19)+(#REF!*#REF!)+(#REF!*#REF!)+(#REF!*#REF!)+(#REF!*#REF!)+(#REF!*#REF!)+(#REF!*#REF!)+(#REF!*#REF!)+(#REF!*#REF!)+(#REF!*#REF!)+(#REF!*#REF!)</f>
        <v>#REF!</v>
      </c>
      <c r="V21" s="33" t="e">
        <f>+(#REF!*$P$15)+(#REF!*$P$17)+(#REF!*$P$19)+(#REF!*#REF!)+(#REF!*#REF!)+(#REF!*#REF!)+(#REF!*#REF!)+(#REF!*#REF!)+(#REF!*#REF!)+(#REF!*#REF!)+(#REF!*#REF!)+(#REF!*#REF!)+(#REF!*#REF!)</f>
        <v>#REF!</v>
      </c>
      <c r="W21" s="33" t="e">
        <f>+(#REF!*$P$15)+(#REF!*$P$17)+(#REF!*$P$19)+(#REF!*#REF!)+(#REF!*#REF!)+(#REF!*#REF!)+(#REF!*#REF!)+(#REF!*#REF!)+(#REF!*#REF!)+(#REF!*#REF!)+(#REF!*#REF!)+(#REF!*#REF!)+(#REF!*#REF!)</f>
        <v>#REF!</v>
      </c>
      <c r="X21" s="33" t="e">
        <f>+(#REF!*$P$15)+(#REF!*$P$17)+(#REF!*$P$19)+(#REF!*#REF!)+(#REF!*#REF!)+(#REF!*#REF!)+(#REF!*#REF!)+(#REF!*#REF!)+(#REF!*#REF!)+(#REF!*#REF!)+(#REF!*#REF!)+(#REF!*#REF!)+(#REF!*#REF!)</f>
        <v>#REF!</v>
      </c>
      <c r="Y21" s="33" t="e">
        <f>+(#REF!*$P$15)+(#REF!*$P$17)+(#REF!*$P$19)+(#REF!*#REF!)+(#REF!*#REF!)+(#REF!*#REF!)+(#REF!*#REF!)+(#REF!*#REF!)+(#REF!*#REF!)+(#REF!*#REF!)+(#REF!*#REF!)+(#REF!*#REF!)+(#REF!*#REF!)</f>
        <v>#REF!</v>
      </c>
      <c r="Z21" s="33" t="e">
        <f>+(#REF!*$P$15)+(#REF!*$P$17)+(#REF!*$P$19)+(#REF!*#REF!)+(#REF!*#REF!)+(#REF!*#REF!)+(#REF!*#REF!)+(#REF!*#REF!)+(#REF!*#REF!)+(#REF!*#REF!)+(#REF!*#REF!)+(#REF!*#REF!)+(#REF!*#REF!)</f>
        <v>#REF!</v>
      </c>
      <c r="AA21" s="33" t="e">
        <f>+(#REF!*$P$15)+(#REF!*$P$17)+(#REF!*$P$19)+(#REF!*#REF!)+(#REF!*#REF!)+(#REF!*#REF!)+(#REF!*#REF!)+(#REF!*#REF!)+(#REF!*#REF!)+(#REF!*#REF!)+(#REF!*#REF!)+(#REF!*#REF!)+(#REF!*#REF!)</f>
        <v>#REF!</v>
      </c>
      <c r="AB21" s="36" t="e">
        <f>+(#REF!*$P$15)+(#REF!*$P$17)+(#REF!*$P$19)+(#REF!*#REF!)+(#REF!*#REF!)+(#REF!*#REF!)+(#REF!*#REF!)+(#REF!*#REF!)+(#REF!*#REF!)+(#REF!*#REF!)+(#REF!*#REF!)+(#REF!*#REF!)+(#REF!*#REF!)</f>
        <v>#REF!</v>
      </c>
      <c r="AC21" s="33" t="e">
        <f>+(#REF!*$P$15)+(#REF!*$P$17)+(#REF!*$P$19)+(#REF!*#REF!)+(#REF!*#REF!)+(#REF!*#REF!)+(#REF!*#REF!)+(#REF!*#REF!)+(#REF!*#REF!)+(#REF!*#REF!)+(#REF!*#REF!)+(#REF!*#REF!)+(#REF!*#REF!)</f>
        <v>#REF!</v>
      </c>
      <c r="AD21" s="66"/>
    </row>
    <row r="22" spans="1:34" s="13" customFormat="1" ht="30" hidden="1" customHeight="1" x14ac:dyDescent="0.35">
      <c r="D22" s="249"/>
      <c r="E22" s="249"/>
      <c r="F22" s="21"/>
      <c r="H22" s="254"/>
      <c r="I22" s="15" t="s">
        <v>131</v>
      </c>
      <c r="J22" s="17"/>
      <c r="K22" s="34"/>
      <c r="L22" s="34"/>
      <c r="M22" s="34"/>
      <c r="N22" s="34"/>
      <c r="O22" s="34" t="e">
        <f>SUM(O21:O21)</f>
        <v>#REF!</v>
      </c>
      <c r="P22" s="37"/>
      <c r="Q22" s="34"/>
      <c r="R22" s="34"/>
      <c r="S22" s="27" t="e">
        <f>SUM(P21:S21)</f>
        <v>#REF!</v>
      </c>
      <c r="T22" s="27"/>
      <c r="U22" s="27"/>
      <c r="V22" s="27"/>
      <c r="W22" s="27" t="e">
        <f>SUM(T21:W21)</f>
        <v>#REF!</v>
      </c>
      <c r="X22" s="27"/>
      <c r="Y22" s="27"/>
      <c r="Z22" s="27"/>
      <c r="AA22" s="27" t="e">
        <f>SUM(X21:AA21)</f>
        <v>#REF!</v>
      </c>
      <c r="AB22" s="39"/>
      <c r="AC22" s="27"/>
      <c r="AD22" s="67"/>
    </row>
    <row r="23" spans="1:34" s="13" customFormat="1" ht="30" hidden="1" customHeight="1" x14ac:dyDescent="0.35">
      <c r="H23" s="254"/>
      <c r="I23" s="15" t="s">
        <v>132</v>
      </c>
      <c r="J23" s="14"/>
      <c r="K23" s="34"/>
      <c r="L23" s="34"/>
      <c r="M23" s="34"/>
      <c r="N23" s="34"/>
      <c r="O23" s="34" t="e">
        <f>+#REF!+O22</f>
        <v>#REF!</v>
      </c>
      <c r="P23" s="37"/>
      <c r="Q23" s="34"/>
      <c r="R23" s="34"/>
      <c r="S23" s="26"/>
      <c r="T23" s="27"/>
      <c r="U23" s="27"/>
      <c r="V23" s="27"/>
      <c r="W23" s="27"/>
      <c r="X23" s="27"/>
      <c r="Y23" s="27"/>
      <c r="Z23" s="27"/>
      <c r="AA23" s="27" t="e">
        <f>+S22+W22+AA22</f>
        <v>#REF!</v>
      </c>
      <c r="AB23" s="39"/>
      <c r="AC23" s="27"/>
      <c r="AD23" s="67"/>
    </row>
    <row r="24" spans="1:34" s="13" customFormat="1" ht="30" hidden="1" customHeight="1" x14ac:dyDescent="0.35">
      <c r="H24" s="255"/>
      <c r="I24" s="18" t="s">
        <v>133</v>
      </c>
      <c r="J24" s="19"/>
      <c r="K24" s="35"/>
      <c r="L24" s="35"/>
      <c r="M24" s="35"/>
      <c r="N24" s="35"/>
      <c r="O24" s="35"/>
      <c r="P24" s="38"/>
      <c r="Q24" s="35"/>
      <c r="R24" s="35"/>
      <c r="S24" s="28"/>
      <c r="T24" s="29"/>
      <c r="U24" s="29"/>
      <c r="V24" s="29"/>
      <c r="W24" s="29"/>
      <c r="X24" s="29"/>
      <c r="Y24" s="29"/>
      <c r="Z24" s="29"/>
      <c r="AA24" s="29" t="e">
        <f>+O23+AA23</f>
        <v>#REF!</v>
      </c>
      <c r="AB24" s="40"/>
      <c r="AC24" s="29"/>
      <c r="AD24" s="67"/>
    </row>
    <row r="25" spans="1:34" s="13" customFormat="1" ht="30" hidden="1" customHeight="1" x14ac:dyDescent="0.35">
      <c r="H25" s="256" t="s">
        <v>134</v>
      </c>
      <c r="I25" s="15" t="s">
        <v>135</v>
      </c>
      <c r="J25" s="23" t="e">
        <f>SUM(O25:AC25)</f>
        <v>#REF!</v>
      </c>
      <c r="K25" s="34"/>
      <c r="L25" s="34"/>
      <c r="M25" s="34"/>
      <c r="N25" s="34"/>
      <c r="O25" s="34" t="e">
        <f>+(AC15*$P$15)+(AC17*$P$17)+(AC19*$P$19)+(#REF!*#REF!)+(#REF!*#REF!)+(#REF!*#REF!)+(#REF!*#REF!)+(#REF!*#REF!)+(#REF!*#REF!)+(#REF!*#REF!)+(#REF!*#REF!)+(#REF!*#REF!)+(#REF!*#REF!)</f>
        <v>#REF!</v>
      </c>
      <c r="P25" s="37" t="e">
        <f>+(#REF!*$P$15)+(#REF!*$P$17)+(#REF!*$P$19)+(#REF!*#REF!)+(#REF!*#REF!)+(#REF!*#REF!)+(#REF!*#REF!)+(#REF!*#REF!)+(#REF!*#REF!)+(#REF!*#REF!)+(#REF!*#REF!)+(#REF!*#REF!)+(#REF!*#REF!)</f>
        <v>#REF!</v>
      </c>
      <c r="Q25" s="34" t="e">
        <f>+(#REF!*$P$15)+(#REF!*$P$17)+(#REF!*$P$19)+(#REF!*#REF!)+(#REF!*#REF!)+(#REF!*#REF!)+(#REF!*#REF!)+(#REF!*#REF!)+(#REF!*#REF!)+(#REF!*#REF!)+(#REF!*#REF!)+(#REF!*#REF!)+(#REF!*#REF!)</f>
        <v>#REF!</v>
      </c>
      <c r="R25" s="34" t="e">
        <f>+(#REF!*$P$15)+(#REF!*$P$17)+(#REF!*$P$19)+(#REF!*#REF!)+(#REF!*#REF!)+(#REF!*#REF!)+(#REF!*#REF!)+(#REF!*#REF!)+(#REF!*#REF!)+(#REF!*#REF!)+(#REF!*#REF!)+(#REF!*#REF!)+(#REF!*#REF!)</f>
        <v>#REF!</v>
      </c>
      <c r="S25" s="34" t="e">
        <f>+(#REF!*$P$15)+(#REF!*$P$17)+(#REF!*$P$19)+(#REF!*#REF!)+(#REF!*#REF!)+(#REF!*#REF!)+(#REF!*#REF!)+(#REF!*#REF!)+(#REF!*#REF!)+(#REF!*#REF!)+(#REF!*#REF!)+(#REF!*#REF!)+(#REF!*#REF!)</f>
        <v>#REF!</v>
      </c>
      <c r="T25" s="34" t="e">
        <f>+(#REF!*$P$15)+(#REF!*$P$17)+(#REF!*$P$19)+(#REF!*#REF!)+(#REF!*#REF!)+(#REF!*#REF!)+(#REF!*#REF!)+(#REF!*#REF!)+(#REF!*#REF!)+(#REF!*#REF!)+(#REF!*#REF!)+(#REF!*#REF!)+(#REF!*#REF!)</f>
        <v>#REF!</v>
      </c>
      <c r="U25" s="34" t="e">
        <f>+(#REF!*$P$15)+(#REF!*$P$17)+(#REF!*$P$19)+(#REF!*#REF!)+(#REF!*#REF!)+(#REF!*#REF!)+(#REF!*#REF!)+(#REF!*#REF!)+(#REF!*#REF!)+(#REF!*#REF!)+(#REF!*#REF!)+(#REF!*#REF!)+(#REF!*#REF!)</f>
        <v>#REF!</v>
      </c>
      <c r="V25" s="34" t="e">
        <f>+(#REF!*$P$15)+(#REF!*$P$17)+(#REF!*$P$19)+(#REF!*#REF!)+(#REF!*#REF!)+(#REF!*#REF!)+(#REF!*#REF!)+(#REF!*#REF!)+(#REF!*#REF!)+(#REF!*#REF!)+(#REF!*#REF!)+(#REF!*#REF!)+(#REF!*#REF!)</f>
        <v>#REF!</v>
      </c>
      <c r="W25" s="34" t="e">
        <f>+(#REF!*$P$15)+(#REF!*$P$17)+(#REF!*$P$19)+(#REF!*#REF!)+(#REF!*#REF!)+(#REF!*#REF!)+(#REF!*#REF!)+(#REF!*#REF!)+(#REF!*#REF!)+(#REF!*#REF!)+(#REF!*#REF!)+(#REF!*#REF!)+(#REF!*#REF!)</f>
        <v>#REF!</v>
      </c>
      <c r="X25" s="34" t="e">
        <f>+(#REF!*$P$15)+(#REF!*$P$17)+(#REF!*$P$19)+(#REF!*#REF!)+(#REF!*#REF!)+(#REF!*#REF!)+(#REF!*#REF!)+(#REF!*#REF!)+(#REF!*#REF!)+(#REF!*#REF!)+(#REF!*#REF!)+(#REF!*#REF!)+(#REF!*#REF!)</f>
        <v>#REF!</v>
      </c>
      <c r="Y25" s="34" t="e">
        <f>+(#REF!*$P$15)+(#REF!*$P$17)+(#REF!*$P$19)+(#REF!*#REF!)+(#REF!*#REF!)+(#REF!*#REF!)+(#REF!*#REF!)+(#REF!*#REF!)+(#REF!*#REF!)+(#REF!*#REF!)+(#REF!*#REF!)+(#REF!*#REF!)+(#REF!*#REF!)</f>
        <v>#REF!</v>
      </c>
      <c r="Z25" s="34" t="e">
        <f>+(#REF!*$P$15)+(#REF!*$P$17)+(#REF!*$P$19)+(#REF!*#REF!)+(#REF!*#REF!)+(#REF!*#REF!)+(#REF!*#REF!)+(#REF!*#REF!)+(#REF!*#REF!)+(#REF!*#REF!)+(#REF!*#REF!)+(#REF!*#REF!)+(#REF!*#REF!)</f>
        <v>#REF!</v>
      </c>
      <c r="AA25" s="34" t="e">
        <f>+(#REF!*$P$15)+(#REF!*$P$17)+(#REF!*$P$19)+(#REF!*#REF!)+(#REF!*#REF!)+(#REF!*#REF!)+(#REF!*#REF!)+(#REF!*#REF!)+(#REF!*#REF!)+(#REF!*#REF!)+(#REF!*#REF!)+(#REF!*#REF!)+(#REF!*#REF!)</f>
        <v>#REF!</v>
      </c>
      <c r="AB25" s="37" t="e">
        <f>+(#REF!*$P$15)+(#REF!*$P$17)+(#REF!*$P$19)+(#REF!*#REF!)+(#REF!*#REF!)+(#REF!*#REF!)+(#REF!*#REF!)+(#REF!*#REF!)+(#REF!*#REF!)+(#REF!*#REF!)+(#REF!*#REF!)+(#REF!*#REF!)+(#REF!*#REF!)</f>
        <v>#REF!</v>
      </c>
      <c r="AC25" s="34" t="e">
        <f>+(#REF!*$P$15)+(#REF!*$P$17)+(#REF!*$P$19)+(#REF!*#REF!)+(#REF!*#REF!)+(#REF!*#REF!)+(#REF!*#REF!)+(#REF!*#REF!)+(#REF!*#REF!)+(#REF!*#REF!)+(#REF!*#REF!)+(#REF!*#REF!)+(#REF!*#REF!)</f>
        <v>#REF!</v>
      </c>
      <c r="AD25" s="66"/>
    </row>
    <row r="26" spans="1:34" s="13" customFormat="1" ht="30" hidden="1" customHeight="1" x14ac:dyDescent="0.35">
      <c r="H26" s="254"/>
      <c r="I26" s="15" t="s">
        <v>136</v>
      </c>
      <c r="J26" s="16"/>
      <c r="K26" s="34"/>
      <c r="L26" s="34"/>
      <c r="M26" s="34"/>
      <c r="N26" s="34"/>
      <c r="O26" s="34" t="e">
        <f>SUM(O25:O25)</f>
        <v>#REF!</v>
      </c>
      <c r="P26" s="37"/>
      <c r="Q26" s="34"/>
      <c r="R26" s="34"/>
      <c r="S26" s="34" t="e">
        <f>SUM(P25:S25)</f>
        <v>#REF!</v>
      </c>
      <c r="T26" s="34"/>
      <c r="U26" s="34"/>
      <c r="V26" s="34"/>
      <c r="W26" s="34" t="e">
        <f>SUM(T25:W25)</f>
        <v>#REF!</v>
      </c>
      <c r="X26" s="34"/>
      <c r="Y26" s="34"/>
      <c r="Z26" s="34"/>
      <c r="AA26" s="34" t="e">
        <f>SUM(X25:AA25)</f>
        <v>#REF!</v>
      </c>
      <c r="AB26" s="37"/>
      <c r="AC26" s="34"/>
      <c r="AD26" s="66"/>
    </row>
    <row r="27" spans="1:34" s="13" customFormat="1" ht="30" hidden="1" customHeight="1" x14ac:dyDescent="0.35">
      <c r="H27" s="254"/>
      <c r="I27" s="15" t="s">
        <v>137</v>
      </c>
      <c r="J27" s="14"/>
      <c r="K27" s="34"/>
      <c r="L27" s="34"/>
      <c r="M27" s="34"/>
      <c r="N27" s="34"/>
      <c r="O27" s="34" t="e">
        <f>+#REF!+O26</f>
        <v>#REF!</v>
      </c>
      <c r="P27" s="37"/>
      <c r="Q27" s="34"/>
      <c r="R27" s="34"/>
      <c r="S27" s="26"/>
      <c r="T27" s="27"/>
      <c r="U27" s="27"/>
      <c r="V27" s="27"/>
      <c r="W27" s="27"/>
      <c r="X27" s="27"/>
      <c r="Y27" s="27"/>
      <c r="Z27" s="27"/>
      <c r="AA27" s="27" t="e">
        <f>+S26+W26+AA26</f>
        <v>#REF!</v>
      </c>
      <c r="AB27" s="39"/>
      <c r="AC27" s="27"/>
      <c r="AD27" s="67"/>
    </row>
    <row r="28" spans="1:34" s="13" customFormat="1" ht="30" hidden="1" customHeight="1" x14ac:dyDescent="0.35">
      <c r="H28" s="255"/>
      <c r="I28" s="20" t="s">
        <v>138</v>
      </c>
      <c r="J28" s="19"/>
      <c r="K28" s="35"/>
      <c r="L28" s="35"/>
      <c r="M28" s="35"/>
      <c r="N28" s="35"/>
      <c r="O28" s="35"/>
      <c r="P28" s="38"/>
      <c r="Q28" s="35"/>
      <c r="R28" s="35"/>
      <c r="S28" s="28"/>
      <c r="T28" s="29"/>
      <c r="U28" s="29"/>
      <c r="V28" s="29"/>
      <c r="W28" s="29"/>
      <c r="X28" s="29"/>
      <c r="Y28" s="29"/>
      <c r="Z28" s="29"/>
      <c r="AA28" s="29" t="e">
        <f>+O27+AA27</f>
        <v>#REF!</v>
      </c>
      <c r="AB28" s="40"/>
      <c r="AC28" s="41"/>
      <c r="AD28" s="67"/>
    </row>
    <row r="29" spans="1:34" ht="30" hidden="1" customHeight="1" x14ac:dyDescent="0.35">
      <c r="H29" s="24"/>
      <c r="I29" s="251" t="s">
        <v>139</v>
      </c>
      <c r="J29" s="251"/>
      <c r="K29" s="46"/>
      <c r="L29" s="46"/>
      <c r="M29" s="46"/>
      <c r="N29" s="46"/>
      <c r="O29" s="47" t="e">
        <f>+(#REF!+#REF!+#REF!+#REF!+#REF!+#REF!+#REF!+O21)/(#REF!+#REF!+#REF!+#REF!+#REF!+#REF!+#REF!+O25)</f>
        <v>#REF!</v>
      </c>
      <c r="P29" s="48" t="e">
        <f>+(#REF!+#REF!+#REF!+#REF!+#REF!+#REF!+#REF!+O21+P21)/(#REF!+#REF!+#REF!+#REF!+#REF!+#REF!+#REF!+O25+P25)</f>
        <v>#REF!</v>
      </c>
      <c r="Q29" s="46" t="e">
        <f>+(#REF!+#REF!+#REF!+#REF!+#REF!+#REF!+#REF!+O21+P21+Q21)/(#REF!+#REF!+#REF!+#REF!+#REF!+#REF!+#REF!+O25+P25+Q25)</f>
        <v>#REF!</v>
      </c>
      <c r="R29" s="46" t="e">
        <f>+(#REF!+#REF!+#REF!+#REF!+#REF!+#REF!+#REF!+O21+P21+Q21+R21)/(#REF!+#REF!+#REF!+#REF!+#REF!+#REF!+#REF!+O25+P25+Q25+R25)</f>
        <v>#REF!</v>
      </c>
      <c r="S29" s="47" t="e">
        <f>+(#REF!+#REF!+#REF!+#REF!+#REF!+#REF!+#REF!+O21+P21+Q21+R21+S21)/(#REF!+#REF!+#REF!+#REF!+#REF!+#REF!+#REF!+O25+P25+Q25+R25+S25)</f>
        <v>#REF!</v>
      </c>
      <c r="T29" s="46" t="e">
        <f>+(#REF!+#REF!+#REF!+#REF!+#REF!+#REF!+#REF!+O21+P21+Q21+R21+S21+T21)/(#REF!+#REF!+#REF!+#REF!+#REF!+#REF!+#REF!+O25+P25+Q25+R25+S25+T25)</f>
        <v>#REF!</v>
      </c>
      <c r="U29" s="46" t="e">
        <f>+(#REF!+#REF!+#REF!+#REF!+#REF!+#REF!+#REF!+O21+P21+Q21+R21+S21+T21+U21)/(#REF!+#REF!+#REF!+#REF!+#REF!+#REF!+#REF!+O25+P25+Q25+R25+S25+T25+U25)</f>
        <v>#REF!</v>
      </c>
      <c r="V29" s="46" t="e">
        <f>+(#REF!+#REF!+#REF!+#REF!+#REF!+#REF!+#REF!+O21+P21+Q21+R21+S21+T21+U21+V21)/(#REF!+#REF!+#REF!+#REF!+#REF!+#REF!+#REF!+O25+P25+Q25+R25+S25+T25+U25+V25)</f>
        <v>#REF!</v>
      </c>
      <c r="W29" s="47" t="e">
        <f>+(#REF!+#REF!+#REF!+#REF!+#REF!+#REF!+#REF!+O21+P21+Q21+R21+S21+T21+U21+V21+W21)/(#REF!+#REF!+#REF!+#REF!+#REF!+#REF!+#REF!+O25+P25+Q25+R25+S25+T25+U25+V25+W25)</f>
        <v>#REF!</v>
      </c>
      <c r="X29" s="46" t="e">
        <f>+(#REF!+#REF!+#REF!+#REF!+#REF!+#REF!+#REF!+O21+P21+Q21+R21+S21+T21+U21+V21+W21+X21)/(#REF!+#REF!+#REF!+#REF!+#REF!+#REF!+#REF!+O25+P25+Q25+R25+S25+T25+U25+V25+W25+X25)</f>
        <v>#REF!</v>
      </c>
      <c r="Y29" s="46" t="e">
        <f>+(#REF!+#REF!+#REF!+#REF!+#REF!+#REF!+#REF!+O21+P21+Q21+R21+S21+T21+U21+V21+W21+X21+Y21)/(#REF!+#REF!+#REF!+#REF!+#REF!+#REF!+#REF!+O25+P25+Q25+R25+S25+T25+U25+V25+W25+X25+Y25)</f>
        <v>#REF!</v>
      </c>
      <c r="Z29" s="46" t="e">
        <f>+(#REF!+#REF!+#REF!+#REF!+#REF!+#REF!+#REF!+O21+P21+Q21+R21+S21+T21+U21+V21+W21+X21+Y21+Z21)/(#REF!+#REF!+#REF!+#REF!+#REF!+#REF!+#REF!+O25+P25+Q25+R25+S25+T25+U25+V25+W25+X25+Y25+Z25)</f>
        <v>#REF!</v>
      </c>
      <c r="AA29" s="47" t="e">
        <f>+(#REF!+#REF!+#REF!+#REF!+#REF!+#REF!+#REF!+O21+P21+Q21+R21+S21+T21+U21+V21+W21+X21+Y21+Z21+AA21)/(#REF!+#REF!+#REF!+#REF!+#REF!+#REF!+#REF!+O25+P25+Q25+R25+S25+T25+U25+V25+W25+X25+Y25+Z25+AA25)</f>
        <v>#REF!</v>
      </c>
      <c r="AB29" s="48" t="e">
        <f>+(#REF!+#REF!+#REF!+#REF!+#REF!+#REF!+#REF!+O21+P21+Q21+R21+S21+T21+U21+V21+W21+X21+Y21+Z21+AA21+AB21)/(#REF!+#REF!+#REF!+#REF!+#REF!+#REF!+#REF!+O25+P25+Q25+R25+S25+T25+U25+V25+W25+X25+Y25+Z25+AA25+AB25)</f>
        <v>#REF!</v>
      </c>
      <c r="AC29" s="46" t="e">
        <f>+(#REF!+#REF!+#REF!+#REF!+#REF!+#REF!+#REF!+O21+P21+Q21+R21+S21+T21+U21+V21+W21+X21+Y21+Z21+AA21+AB21+AC21)/(#REF!+#REF!+#REF!+#REF!+#REF!+#REF!+#REF!+O25+P25+Q25+R25+S25+T25+U25+V25+W25+X25+Y25+Z25+AA25+AB25+AC25)</f>
        <v>#REF!</v>
      </c>
      <c r="AD29" s="68"/>
    </row>
    <row r="30" spans="1:34" ht="30" hidden="1" customHeight="1" x14ac:dyDescent="0.35">
      <c r="H30" s="24"/>
      <c r="I30" s="252" t="s">
        <v>140</v>
      </c>
      <c r="J30" s="252"/>
      <c r="K30" s="47"/>
      <c r="L30" s="47"/>
      <c r="M30" s="47"/>
      <c r="N30" s="47"/>
      <c r="O30" s="47" t="e">
        <f>+(#REF!+#REF!+#REF!+#REF!+#REF!+#REF!+#REF!+O21)/$F$21</f>
        <v>#REF!</v>
      </c>
      <c r="P30" s="49" t="e">
        <f>+(#REF!+#REF!+#REF!+#REF!+#REF!+#REF!+#REF!+O21+P21)/$F$21</f>
        <v>#REF!</v>
      </c>
      <c r="Q30" s="47" t="e">
        <f>+(#REF!+#REF!+#REF!+#REF!+#REF!+#REF!+#REF!+O21+P21+Q21)/$F$21</f>
        <v>#REF!</v>
      </c>
      <c r="R30" s="47" t="e">
        <f>+(#REF!+#REF!+#REF!+#REF!+#REF!+#REF!+#REF!+O21+P21+Q21+R21)/$F$21</f>
        <v>#REF!</v>
      </c>
      <c r="S30" s="47" t="e">
        <f>+(#REF!+#REF!+#REF!+#REF!+#REF!+#REF!+#REF!+O21+P21+Q21+R21+S21)/$F$21</f>
        <v>#REF!</v>
      </c>
      <c r="T30" s="47" t="e">
        <f>+(#REF!+#REF!+#REF!+#REF!+#REF!+#REF!+#REF!+O21+P21+Q21+R21+S21+T21)/$F$21</f>
        <v>#REF!</v>
      </c>
      <c r="U30" s="47" t="e">
        <f>+(#REF!+#REF!+#REF!+#REF!+#REF!+#REF!+#REF!+O21+P21+Q21+R21+S21+T21+U21)/$F$21</f>
        <v>#REF!</v>
      </c>
      <c r="V30" s="47" t="e">
        <f>+(#REF!+#REF!+#REF!+#REF!+#REF!+#REF!+#REF!+O21+P21+Q21+R21+S21+T21+U21+V21)/$F$21</f>
        <v>#REF!</v>
      </c>
      <c r="W30" s="47" t="e">
        <f>+(#REF!+#REF!+#REF!+#REF!+#REF!+#REF!+#REF!+O21+P21+Q21+R21+S21+T21+U21+V21+W21)/$F$21</f>
        <v>#REF!</v>
      </c>
      <c r="X30" s="47" t="e">
        <f>+(#REF!+#REF!+#REF!+#REF!+#REF!+#REF!+#REF!+O21+P21+Q21+R21+S21+T21+U21+V21+W21+X21)/$F$21</f>
        <v>#REF!</v>
      </c>
      <c r="Y30" s="47" t="e">
        <f>+(#REF!+#REF!+#REF!+#REF!+#REF!+#REF!+#REF!+O21+P21+Q21+R21+S21+T21+U21+V21+W21+X21+Y21)/$F$21</f>
        <v>#REF!</v>
      </c>
      <c r="Z30" s="47" t="e">
        <f>+(#REF!+#REF!+#REF!+#REF!+#REF!+#REF!+#REF!+O21+P21+Q21+R21+S21+T21+U21+V21+W21+X21+Y21+Z21)/$F$21</f>
        <v>#REF!</v>
      </c>
      <c r="AA30" s="47" t="e">
        <f>+(#REF!+#REF!+#REF!+#REF!+#REF!+#REF!+#REF!+O21+P21+Q21+R21+S21+T21+U21+V21+W21+X21+Y21+Z21+AA21)/$F$21</f>
        <v>#REF!</v>
      </c>
      <c r="AB30" s="49" t="e">
        <f>+(#REF!+#REF!+#REF!+#REF!+#REF!+#REF!+#REF!+O21+P21+Q21+R21+S21+T21+U21+V21+W21+X21+Y21+Z21+AA21+AB21)/$F$21</f>
        <v>#REF!</v>
      </c>
      <c r="AC30" s="47" t="e">
        <f>+(#REF!+#REF!+#REF!+#REF!+#REF!+#REF!+#REF!+O21+P21+Q21+R21+S21+T21+U21+V21+W21+X21+Y21+Z21+AA21+AB21+AC21)/$F$21</f>
        <v>#REF!</v>
      </c>
      <c r="AD30" s="69"/>
    </row>
    <row r="31" spans="1:34" ht="30" hidden="1" customHeight="1" x14ac:dyDescent="0.35">
      <c r="I31" s="251" t="s">
        <v>141</v>
      </c>
      <c r="J31" s="251"/>
      <c r="K31" s="50"/>
      <c r="L31" s="50"/>
      <c r="M31" s="50"/>
      <c r="N31" s="50"/>
      <c r="O31" s="47" t="e">
        <f>+O22/O26</f>
        <v>#REF!</v>
      </c>
      <c r="P31" s="51"/>
      <c r="Q31" s="50"/>
      <c r="R31" s="50"/>
      <c r="S31" s="47" t="e">
        <f>+S22/S26</f>
        <v>#REF!</v>
      </c>
      <c r="T31" s="50"/>
      <c r="U31" s="50"/>
      <c r="V31" s="50"/>
      <c r="W31" s="47" t="e">
        <f>+W22/W26</f>
        <v>#REF!</v>
      </c>
      <c r="X31" s="50"/>
      <c r="Y31" s="50"/>
      <c r="Z31" s="50"/>
      <c r="AA31" s="47" t="e">
        <f>+AA22/AA26</f>
        <v>#REF!</v>
      </c>
      <c r="AB31" s="51"/>
      <c r="AC31" s="50"/>
      <c r="AD31" s="70"/>
    </row>
    <row r="32" spans="1:34" ht="30" hidden="1" customHeight="1" x14ac:dyDescent="0.35">
      <c r="I32" s="252" t="s">
        <v>142</v>
      </c>
      <c r="J32" s="252"/>
      <c r="K32" s="50"/>
      <c r="L32" s="50"/>
      <c r="M32" s="50"/>
      <c r="N32" s="50"/>
      <c r="O32" s="47" t="e">
        <f>+(#REF!+O22)/$F$21</f>
        <v>#REF!</v>
      </c>
      <c r="P32" s="51"/>
      <c r="Q32" s="50"/>
      <c r="R32" s="50"/>
      <c r="S32" s="47" t="e">
        <f>+(#REF!+O22+S22)/$F$21</f>
        <v>#REF!</v>
      </c>
      <c r="T32" s="50"/>
      <c r="U32" s="50"/>
      <c r="V32" s="50"/>
      <c r="W32" s="47" t="e">
        <f>+(#REF!+O22+S22+W22)/$F$21</f>
        <v>#REF!</v>
      </c>
      <c r="X32" s="50"/>
      <c r="Y32" s="50"/>
      <c r="Z32" s="50"/>
      <c r="AA32" s="47" t="e">
        <f>+(#REF!+O22+S22+W22+AA22)/$F$21</f>
        <v>#REF!</v>
      </c>
      <c r="AB32" s="51"/>
      <c r="AC32" s="50"/>
      <c r="AD32" s="70"/>
    </row>
    <row r="33" spans="8:30" ht="30" hidden="1" customHeight="1" x14ac:dyDescent="0.35">
      <c r="I33" s="251" t="s">
        <v>143</v>
      </c>
      <c r="J33" s="251"/>
      <c r="K33" s="50"/>
      <c r="L33" s="50"/>
      <c r="M33" s="50"/>
      <c r="N33" s="50"/>
      <c r="O33" s="47" t="e">
        <f>+(#REF!+O22)/(#REF!+O26)</f>
        <v>#REF!</v>
      </c>
      <c r="P33" s="51"/>
      <c r="Q33" s="50"/>
      <c r="R33" s="50"/>
      <c r="S33" s="50"/>
      <c r="T33" s="50"/>
      <c r="U33" s="50"/>
      <c r="V33" s="50"/>
      <c r="W33" s="50"/>
      <c r="X33" s="50"/>
      <c r="Y33" s="50"/>
      <c r="Z33" s="50"/>
      <c r="AA33" s="47" t="e">
        <f>+(#REF!+O22+S22+W22+AA22)/(#REF!+O26+S26+W26+AA26)</f>
        <v>#REF!</v>
      </c>
      <c r="AB33" s="51"/>
      <c r="AC33" s="50"/>
      <c r="AD33" s="70"/>
    </row>
    <row r="34" spans="8:30" ht="30" hidden="1" customHeight="1" x14ac:dyDescent="0.35">
      <c r="I34" s="251" t="s">
        <v>144</v>
      </c>
      <c r="J34" s="251"/>
      <c r="K34" s="50"/>
      <c r="L34" s="50"/>
      <c r="M34" s="50"/>
      <c r="N34" s="50"/>
      <c r="O34" s="47" t="e">
        <f>+(#REF!+O22)/$F$21</f>
        <v>#REF!</v>
      </c>
      <c r="P34" s="51"/>
      <c r="Q34" s="50"/>
      <c r="R34" s="50"/>
      <c r="S34" s="50"/>
      <c r="T34" s="50"/>
      <c r="U34" s="50"/>
      <c r="V34" s="50"/>
      <c r="W34" s="50"/>
      <c r="X34" s="50"/>
      <c r="Y34" s="50"/>
      <c r="Z34" s="50"/>
      <c r="AA34" s="47" t="e">
        <f>+(+#REF!+O22+S22+W22+AA22)/$F$21</f>
        <v>#REF!</v>
      </c>
      <c r="AB34" s="51"/>
      <c r="AC34" s="50"/>
      <c r="AD34" s="70"/>
    </row>
    <row r="35" spans="8:30" ht="15" hidden="1" customHeight="1" x14ac:dyDescent="0.35"/>
    <row r="36" spans="8:30" ht="35.15" hidden="1" customHeight="1" x14ac:dyDescent="0.35">
      <c r="H36" s="250" t="s">
        <v>145</v>
      </c>
      <c r="I36" s="250"/>
      <c r="J36" s="30" t="e">
        <f>+#REF!</f>
        <v>#REF!</v>
      </c>
      <c r="K36" s="32"/>
      <c r="L36" s="32"/>
      <c r="M36" s="32"/>
      <c r="N36" s="32"/>
    </row>
    <row r="37" spans="8:30" ht="35.15" hidden="1" customHeight="1" x14ac:dyDescent="0.35">
      <c r="H37" s="250" t="s">
        <v>146</v>
      </c>
      <c r="I37" s="250"/>
      <c r="J37" s="25">
        <f>+F21</f>
        <v>1</v>
      </c>
      <c r="K37" s="32"/>
      <c r="L37" s="32"/>
      <c r="M37" s="32"/>
      <c r="N37" s="32"/>
    </row>
    <row r="38" spans="8:30" ht="35.15" hidden="1" customHeight="1" x14ac:dyDescent="0.35">
      <c r="H38" s="250" t="s">
        <v>147</v>
      </c>
      <c r="I38" s="250"/>
      <c r="J38" s="31" t="e">
        <f>+J36/J37</f>
        <v>#REF!</v>
      </c>
      <c r="K38" s="32"/>
      <c r="L38" s="32"/>
      <c r="M38" s="32"/>
      <c r="N38" s="32"/>
    </row>
    <row r="39" spans="8:30" ht="15" customHeight="1" x14ac:dyDescent="0.35">
      <c r="K39" s="32"/>
      <c r="L39" s="32"/>
      <c r="M39" s="32"/>
      <c r="N39" s="32"/>
    </row>
    <row r="40" spans="8:30" ht="15" customHeight="1" x14ac:dyDescent="0.35">
      <c r="K40" s="32"/>
      <c r="L40" s="32"/>
      <c r="M40" s="32"/>
      <c r="N40" s="32"/>
    </row>
    <row r="41" spans="8:30" ht="15" customHeight="1" x14ac:dyDescent="0.35">
      <c r="K41" s="32"/>
      <c r="L41" s="32"/>
      <c r="M41" s="32"/>
      <c r="N41" s="32"/>
    </row>
  </sheetData>
  <mergeCells count="120">
    <mergeCell ref="H36:I36"/>
    <mergeCell ref="H37:I37"/>
    <mergeCell ref="H38:I38"/>
    <mergeCell ref="N6:O10"/>
    <mergeCell ref="P6:Q10"/>
    <mergeCell ref="R6:AH10"/>
    <mergeCell ref="I29:J29"/>
    <mergeCell ref="I30:J30"/>
    <mergeCell ref="I31:J31"/>
    <mergeCell ref="I32:J32"/>
    <mergeCell ref="I33:J33"/>
    <mergeCell ref="I34:J34"/>
    <mergeCell ref="AE16:AE17"/>
    <mergeCell ref="AF16:AF17"/>
    <mergeCell ref="AG16:AG17"/>
    <mergeCell ref="AH16:AH17"/>
    <mergeCell ref="M16:M17"/>
    <mergeCell ref="N16:N17"/>
    <mergeCell ref="AG14:AG15"/>
    <mergeCell ref="AH14:AH15"/>
    <mergeCell ref="L14:L15"/>
    <mergeCell ref="M14:M15"/>
    <mergeCell ref="N14:N15"/>
    <mergeCell ref="AE14:AE15"/>
    <mergeCell ref="D21:E21"/>
    <mergeCell ref="H21:H24"/>
    <mergeCell ref="D22:E22"/>
    <mergeCell ref="H25:H28"/>
    <mergeCell ref="AG18:AG19"/>
    <mergeCell ref="AH18:AH19"/>
    <mergeCell ref="L18:L19"/>
    <mergeCell ref="M18:M19"/>
    <mergeCell ref="N18:N19"/>
    <mergeCell ref="AE18:AE19"/>
    <mergeCell ref="AF18:AF19"/>
    <mergeCell ref="F18:F19"/>
    <mergeCell ref="G18:G19"/>
    <mergeCell ref="H18:H19"/>
    <mergeCell ref="I18:I19"/>
    <mergeCell ref="J18:J19"/>
    <mergeCell ref="K18:K19"/>
    <mergeCell ref="A18:A19"/>
    <mergeCell ref="B18:B19"/>
    <mergeCell ref="C18:C19"/>
    <mergeCell ref="D18:D19"/>
    <mergeCell ref="E18:E19"/>
    <mergeCell ref="I16:I17"/>
    <mergeCell ref="J16:J17"/>
    <mergeCell ref="K16:K17"/>
    <mergeCell ref="L16:L17"/>
    <mergeCell ref="A16:A17"/>
    <mergeCell ref="B16:B17"/>
    <mergeCell ref="C16:C17"/>
    <mergeCell ref="D16:D17"/>
    <mergeCell ref="E16:E17"/>
    <mergeCell ref="F16:F17"/>
    <mergeCell ref="G16:G17"/>
    <mergeCell ref="H16:H17"/>
    <mergeCell ref="AF14:AF15"/>
    <mergeCell ref="F14:F15"/>
    <mergeCell ref="G14:G15"/>
    <mergeCell ref="H14:H15"/>
    <mergeCell ref="I14:I15"/>
    <mergeCell ref="J14:J15"/>
    <mergeCell ref="K14:K15"/>
    <mergeCell ref="AD12:AD13"/>
    <mergeCell ref="AE12:AE13"/>
    <mergeCell ref="AF12:AF13"/>
    <mergeCell ref="G12:G13"/>
    <mergeCell ref="H12:H13"/>
    <mergeCell ref="I12:I13"/>
    <mergeCell ref="J12:J13"/>
    <mergeCell ref="K12:K13"/>
    <mergeCell ref="L12:L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O12:O13"/>
    <mergeCell ref="P12:P13"/>
    <mergeCell ref="Q12:Q13"/>
    <mergeCell ref="A12:A13"/>
    <mergeCell ref="B12:B13"/>
    <mergeCell ref="C12:C13"/>
    <mergeCell ref="D12:D13"/>
    <mergeCell ref="E12:E13"/>
    <mergeCell ref="F12:F13"/>
    <mergeCell ref="A11:F11"/>
    <mergeCell ref="G11:N11"/>
    <mergeCell ref="O11:AD11"/>
    <mergeCell ref="AE11:AH11"/>
    <mergeCell ref="K6:L10"/>
    <mergeCell ref="M6:M10"/>
    <mergeCell ref="A1:C3"/>
    <mergeCell ref="D1:AH3"/>
    <mergeCell ref="A4:A5"/>
    <mergeCell ref="G4:G5"/>
    <mergeCell ref="A6:B10"/>
    <mergeCell ref="C6:D10"/>
    <mergeCell ref="E6:F10"/>
    <mergeCell ref="G6:G10"/>
    <mergeCell ref="H6:I10"/>
    <mergeCell ref="J6:J10"/>
  </mergeCells>
  <conditionalFormatting sqref="I4">
    <cfRule type="cellIs" dxfId="31" priority="16" operator="lessThanOrEqual">
      <formula>$C$4</formula>
    </cfRule>
  </conditionalFormatting>
  <conditionalFormatting sqref="J6">
    <cfRule type="cellIs" dxfId="30" priority="17" operator="greaterThanOrEqual">
      <formula>$C$5</formula>
    </cfRule>
    <cfRule type="cellIs" dxfId="29" priority="18" operator="lessThanOrEqual">
      <formula>$C$4</formula>
    </cfRule>
    <cfRule type="cellIs" dxfId="28" priority="19" operator="between">
      <formula>$C$5</formula>
      <formula>$C$4</formula>
    </cfRule>
  </conditionalFormatting>
  <conditionalFormatting sqref="P6">
    <cfRule type="cellIs" dxfId="27" priority="13" operator="greaterThanOrEqual">
      <formula>$I$5</formula>
    </cfRule>
    <cfRule type="cellIs" dxfId="26" priority="14" operator="lessThanOrEqual">
      <formula>$I$4</formula>
    </cfRule>
    <cfRule type="cellIs" dxfId="25" priority="15" operator="between">
      <formula>$I$5</formula>
      <formula>$I$4</formula>
    </cfRule>
  </conditionalFormatting>
  <conditionalFormatting sqref="Q14:Q19">
    <cfRule type="cellIs" dxfId="24" priority="10" operator="greaterThanOrEqual">
      <formula>$C$5</formula>
    </cfRule>
    <cfRule type="cellIs" dxfId="23" priority="11" operator="lessThanOrEqual">
      <formula>$C$4</formula>
    </cfRule>
    <cfRule type="cellIs" dxfId="22" priority="12" operator="between">
      <formula>$C$5</formula>
      <formula>$C$4</formula>
    </cfRule>
  </conditionalFormatting>
  <conditionalFormatting sqref="S29:S32 W29:W32 O29:O34 AA29:AA34 K30:N30 P30:R30 T30:V30 X30:Z30 AB30:AD30 J38">
    <cfRule type="cellIs" dxfId="21" priority="20" operator="greaterThanOrEqual">
      <formula>$D$9</formula>
    </cfRule>
    <cfRule type="cellIs" dxfId="20" priority="21" operator="lessThanOrEqual">
      <formula>$C$6</formula>
    </cfRule>
    <cfRule type="cellIs" dxfId="19" priority="22" operator="between">
      <formula>$C$6</formula>
      <formula>$D$9</formula>
    </cfRule>
  </conditionalFormatting>
  <dataValidations count="4">
    <dataValidation allowBlank="1" showErrorMessage="1" sqref="Q14:Q19" xr:uid="{7DBB4879-4A50-4400-ACD4-E8C31B46AD77}"/>
    <dataValidation type="decimal" allowBlank="1" showInputMessage="1" showErrorMessage="1" prompt="% de avance en la actividad - indique el % programado de avance durante esta semana_x000a_" sqref="R14:AD19" xr:uid="{E4C01763-5DAD-4C29-8998-DAF85B933DC9}">
      <formula1>0</formula1>
      <formula2>1</formula2>
    </dataValidation>
    <dataValidation type="decimal" allowBlank="1" showInputMessage="1" showErrorMessage="1" prompt="campo calculado  - indica el % de avance  que aporta la activadad a todo el proyecto" sqref="P15 P17 P19" xr:uid="{0E37F844-6869-4CB4-A633-BBAA56289DCA}">
      <formula1>0</formula1>
      <formula2>1</formula2>
    </dataValidation>
    <dataValidation type="decimal" allowBlank="1" showInputMessage="1" showErrorMessage="1" prompt="valor porcentual de la activida - Indique el peso porcentual de la actividad dentro del proyecto" sqref="P14 P16 P18" xr:uid="{DF278D53-5715-47CE-86C8-7D225D755835}">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I500"/>
  <sheetViews>
    <sheetView workbookViewId="0"/>
  </sheetViews>
  <sheetFormatPr baseColWidth="10" defaultColWidth="12.54296875" defaultRowHeight="15" customHeight="1" x14ac:dyDescent="0.35"/>
  <cols>
    <col min="1" max="5" width="9.453125" customWidth="1"/>
    <col min="6" max="6" width="58.26953125" customWidth="1"/>
    <col min="7" max="13" width="9.453125" customWidth="1"/>
  </cols>
  <sheetData>
    <row r="1" spans="3:9" ht="45" customHeight="1" x14ac:dyDescent="0.35"/>
    <row r="2" spans="3:9" ht="45" customHeight="1" x14ac:dyDescent="0.35"/>
    <row r="3" spans="3:9" ht="45" customHeight="1" x14ac:dyDescent="0.35">
      <c r="C3" t="s">
        <v>1399</v>
      </c>
    </row>
    <row r="4" spans="3:9" ht="45" customHeight="1" x14ac:dyDescent="0.35">
      <c r="C4" t="s">
        <v>1400</v>
      </c>
      <c r="D4" t="s">
        <v>1400</v>
      </c>
      <c r="F4" s="2" t="s">
        <v>1401</v>
      </c>
      <c r="I4" s="3" t="s">
        <v>1402</v>
      </c>
    </row>
    <row r="5" spans="3:9" ht="45" customHeight="1" x14ac:dyDescent="0.35">
      <c r="C5" t="s">
        <v>1403</v>
      </c>
      <c r="D5" t="s">
        <v>1403</v>
      </c>
      <c r="F5" s="2" t="s">
        <v>1404</v>
      </c>
      <c r="I5" s="4" t="s">
        <v>1405</v>
      </c>
    </row>
    <row r="6" spans="3:9" ht="45" customHeight="1" x14ac:dyDescent="0.35">
      <c r="C6" t="s">
        <v>1406</v>
      </c>
      <c r="D6" t="s">
        <v>1400</v>
      </c>
      <c r="F6" s="2" t="s">
        <v>1407</v>
      </c>
      <c r="I6" s="5" t="s">
        <v>1408</v>
      </c>
    </row>
    <row r="7" spans="3:9" ht="45" customHeight="1" x14ac:dyDescent="0.35">
      <c r="F7" s="2" t="s">
        <v>1409</v>
      </c>
      <c r="I7" s="5" t="s">
        <v>1410</v>
      </c>
    </row>
    <row r="8" spans="3:9" ht="45" customHeight="1" x14ac:dyDescent="0.35">
      <c r="F8" s="2" t="s">
        <v>1411</v>
      </c>
      <c r="I8" s="4" t="s">
        <v>1412</v>
      </c>
    </row>
    <row r="9" spans="3:9" ht="45" customHeight="1" x14ac:dyDescent="0.35">
      <c r="F9" s="2" t="s">
        <v>1413</v>
      </c>
      <c r="I9" s="6" t="s">
        <v>1414</v>
      </c>
    </row>
    <row r="10" spans="3:9" ht="45" customHeight="1" x14ac:dyDescent="0.35">
      <c r="F10" s="2" t="s">
        <v>1415</v>
      </c>
      <c r="I10" s="7" t="s">
        <v>1416</v>
      </c>
    </row>
    <row r="11" spans="3:9" ht="45" customHeight="1" x14ac:dyDescent="0.35">
      <c r="F11" s="2" t="s">
        <v>1417</v>
      </c>
      <c r="I11" s="5" t="s">
        <v>1418</v>
      </c>
    </row>
    <row r="12" spans="3:9" ht="45" customHeight="1" x14ac:dyDescent="0.35">
      <c r="I12" s="4" t="s">
        <v>1419</v>
      </c>
    </row>
    <row r="13" spans="3:9" ht="45" customHeight="1" x14ac:dyDescent="0.35">
      <c r="I13" s="5" t="s">
        <v>1420</v>
      </c>
    </row>
    <row r="14" spans="3:9" ht="45" customHeight="1" x14ac:dyDescent="0.35"/>
    <row r="15" spans="3:9" ht="45" customHeight="1" x14ac:dyDescent="0.35"/>
    <row r="16" spans="3:9" ht="45" customHeight="1" x14ac:dyDescent="0.35"/>
    <row r="17" ht="45" customHeight="1" x14ac:dyDescent="0.35"/>
    <row r="18" ht="45" customHeight="1" x14ac:dyDescent="0.35"/>
    <row r="19" ht="45" customHeight="1" x14ac:dyDescent="0.35"/>
    <row r="20" ht="45" customHeight="1" x14ac:dyDescent="0.35"/>
    <row r="21" ht="45" customHeight="1" x14ac:dyDescent="0.35"/>
    <row r="22" ht="45" customHeight="1" x14ac:dyDescent="0.35"/>
    <row r="23" ht="45" customHeight="1" x14ac:dyDescent="0.35"/>
    <row r="24" ht="45" customHeight="1" x14ac:dyDescent="0.35"/>
    <row r="25" ht="45" customHeight="1" x14ac:dyDescent="0.35"/>
    <row r="26" ht="45" customHeight="1" x14ac:dyDescent="0.35"/>
    <row r="27" ht="45" customHeight="1" x14ac:dyDescent="0.35"/>
    <row r="28" ht="45" customHeight="1" x14ac:dyDescent="0.35"/>
    <row r="29" ht="45" customHeight="1" x14ac:dyDescent="0.35"/>
    <row r="30" ht="45" customHeight="1" x14ac:dyDescent="0.35"/>
    <row r="31" ht="45" customHeight="1" x14ac:dyDescent="0.35"/>
    <row r="32" ht="45" customHeight="1" x14ac:dyDescent="0.35"/>
    <row r="33" ht="45" customHeight="1" x14ac:dyDescent="0.35"/>
    <row r="34" ht="45" customHeight="1" x14ac:dyDescent="0.35"/>
    <row r="35" ht="45" customHeight="1" x14ac:dyDescent="0.35"/>
    <row r="36" ht="45" customHeight="1" x14ac:dyDescent="0.35"/>
    <row r="37" ht="45" customHeight="1" x14ac:dyDescent="0.35"/>
    <row r="38" ht="45" customHeight="1" x14ac:dyDescent="0.35"/>
    <row r="39" ht="45" customHeight="1" x14ac:dyDescent="0.35"/>
    <row r="40" ht="45" customHeight="1" x14ac:dyDescent="0.35"/>
    <row r="41" ht="45" customHeight="1" x14ac:dyDescent="0.35"/>
    <row r="42" ht="45" customHeight="1" x14ac:dyDescent="0.35"/>
    <row r="43" ht="45" customHeight="1" x14ac:dyDescent="0.35"/>
    <row r="44" ht="45" customHeight="1" x14ac:dyDescent="0.35"/>
    <row r="45" ht="45" customHeight="1" x14ac:dyDescent="0.35"/>
    <row r="46" ht="45" customHeight="1" x14ac:dyDescent="0.35"/>
    <row r="47" ht="45" customHeight="1" x14ac:dyDescent="0.35"/>
    <row r="48" ht="45" customHeight="1" x14ac:dyDescent="0.35"/>
    <row r="49" ht="45" customHeight="1" x14ac:dyDescent="0.35"/>
    <row r="50" ht="45" customHeight="1" x14ac:dyDescent="0.35"/>
    <row r="51" ht="45" customHeight="1" x14ac:dyDescent="0.35"/>
    <row r="52" ht="45" customHeight="1" x14ac:dyDescent="0.35"/>
    <row r="53" ht="45" customHeight="1" x14ac:dyDescent="0.35"/>
    <row r="54" ht="45" customHeight="1" x14ac:dyDescent="0.35"/>
    <row r="55" ht="45" customHeight="1" x14ac:dyDescent="0.35"/>
    <row r="56" ht="45" customHeight="1" x14ac:dyDescent="0.35"/>
    <row r="57" ht="45" customHeight="1" x14ac:dyDescent="0.35"/>
    <row r="58" ht="45" customHeight="1" x14ac:dyDescent="0.35"/>
    <row r="59" ht="45" customHeight="1" x14ac:dyDescent="0.35"/>
    <row r="60" ht="45" customHeight="1" x14ac:dyDescent="0.35"/>
    <row r="61" ht="45" customHeight="1" x14ac:dyDescent="0.35"/>
    <row r="62" ht="45" customHeight="1" x14ac:dyDescent="0.35"/>
    <row r="63" ht="45" customHeight="1" x14ac:dyDescent="0.35"/>
    <row r="64" ht="45" customHeight="1" x14ac:dyDescent="0.35"/>
    <row r="65" ht="45" customHeight="1" x14ac:dyDescent="0.35"/>
    <row r="66" ht="45" customHeight="1" x14ac:dyDescent="0.35"/>
    <row r="67" ht="45" customHeight="1" x14ac:dyDescent="0.35"/>
    <row r="68" ht="45" customHeight="1" x14ac:dyDescent="0.35"/>
    <row r="69" ht="45" customHeight="1" x14ac:dyDescent="0.35"/>
    <row r="70" ht="45" customHeight="1" x14ac:dyDescent="0.35"/>
    <row r="71" ht="45" customHeight="1" x14ac:dyDescent="0.35"/>
    <row r="72" ht="45" customHeight="1" x14ac:dyDescent="0.35"/>
    <row r="73" ht="45" customHeight="1" x14ac:dyDescent="0.35"/>
    <row r="74" ht="45" customHeight="1" x14ac:dyDescent="0.35"/>
    <row r="75" ht="45" customHeight="1" x14ac:dyDescent="0.35"/>
    <row r="76" ht="45" customHeight="1" x14ac:dyDescent="0.35"/>
    <row r="77" ht="45" customHeight="1" x14ac:dyDescent="0.35"/>
    <row r="78" ht="45" customHeight="1" x14ac:dyDescent="0.35"/>
    <row r="79" ht="45" customHeight="1" x14ac:dyDescent="0.35"/>
    <row r="80" ht="45" customHeight="1" x14ac:dyDescent="0.35"/>
    <row r="81" ht="45" customHeight="1" x14ac:dyDescent="0.35"/>
    <row r="82" ht="45" customHeight="1" x14ac:dyDescent="0.35"/>
    <row r="83" ht="45" customHeight="1" x14ac:dyDescent="0.35"/>
    <row r="84" ht="45" customHeight="1" x14ac:dyDescent="0.35"/>
    <row r="85" ht="45" customHeight="1" x14ac:dyDescent="0.35"/>
    <row r="86" ht="45" customHeight="1" x14ac:dyDescent="0.35"/>
    <row r="87" ht="45" customHeight="1" x14ac:dyDescent="0.35"/>
    <row r="88" ht="45" customHeight="1" x14ac:dyDescent="0.35"/>
    <row r="89" ht="45" customHeight="1" x14ac:dyDescent="0.35"/>
    <row r="90" ht="45" customHeight="1" x14ac:dyDescent="0.35"/>
    <row r="91" ht="45" customHeight="1" x14ac:dyDescent="0.35"/>
    <row r="92" ht="45" customHeight="1" x14ac:dyDescent="0.35"/>
    <row r="93" ht="45" customHeight="1" x14ac:dyDescent="0.35"/>
    <row r="94" ht="45" customHeight="1" x14ac:dyDescent="0.35"/>
    <row r="95" ht="45" customHeight="1" x14ac:dyDescent="0.35"/>
    <row r="96" ht="45" customHeight="1" x14ac:dyDescent="0.35"/>
    <row r="97" ht="45" customHeight="1" x14ac:dyDescent="0.35"/>
    <row r="98" ht="45" customHeight="1" x14ac:dyDescent="0.35"/>
    <row r="99" ht="45" customHeight="1" x14ac:dyDescent="0.35"/>
    <row r="100" ht="45" customHeight="1" x14ac:dyDescent="0.35"/>
    <row r="101" ht="45" customHeight="1" x14ac:dyDescent="0.35"/>
    <row r="102" ht="45" customHeight="1" x14ac:dyDescent="0.35"/>
    <row r="103" ht="45" customHeight="1" x14ac:dyDescent="0.35"/>
    <row r="104" ht="45" customHeight="1" x14ac:dyDescent="0.35"/>
    <row r="105" ht="45" customHeight="1" x14ac:dyDescent="0.35"/>
    <row r="106" ht="45" customHeight="1" x14ac:dyDescent="0.35"/>
    <row r="107" ht="45" customHeight="1" x14ac:dyDescent="0.35"/>
    <row r="108" ht="45" customHeight="1" x14ac:dyDescent="0.35"/>
    <row r="109" ht="45" customHeight="1" x14ac:dyDescent="0.35"/>
    <row r="110" ht="45" customHeight="1" x14ac:dyDescent="0.35"/>
    <row r="111" ht="45" customHeight="1" x14ac:dyDescent="0.35"/>
    <row r="112" ht="45" customHeight="1" x14ac:dyDescent="0.35"/>
    <row r="113" ht="45" customHeight="1" x14ac:dyDescent="0.35"/>
    <row r="114" ht="45" customHeight="1" x14ac:dyDescent="0.35"/>
    <row r="115" ht="45" customHeight="1" x14ac:dyDescent="0.35"/>
    <row r="116" ht="45" customHeight="1" x14ac:dyDescent="0.35"/>
    <row r="117" ht="45" customHeight="1" x14ac:dyDescent="0.35"/>
    <row r="118" ht="45" customHeight="1" x14ac:dyDescent="0.35"/>
    <row r="119" ht="45" customHeight="1" x14ac:dyDescent="0.35"/>
    <row r="120" ht="45" customHeight="1" x14ac:dyDescent="0.35"/>
    <row r="121" ht="45" customHeight="1" x14ac:dyDescent="0.35"/>
    <row r="122" ht="45" customHeight="1" x14ac:dyDescent="0.35"/>
    <row r="123" ht="45" customHeight="1" x14ac:dyDescent="0.35"/>
    <row r="124" ht="45" customHeight="1" x14ac:dyDescent="0.35"/>
    <row r="125" ht="45" customHeight="1" x14ac:dyDescent="0.35"/>
    <row r="126" ht="45" customHeight="1" x14ac:dyDescent="0.35"/>
    <row r="127" ht="45" customHeight="1" x14ac:dyDescent="0.35"/>
    <row r="128" ht="45" customHeight="1" x14ac:dyDescent="0.35"/>
    <row r="129" ht="45" customHeight="1" x14ac:dyDescent="0.35"/>
    <row r="130" ht="45" customHeight="1" x14ac:dyDescent="0.35"/>
    <row r="131" ht="45" customHeight="1" x14ac:dyDescent="0.35"/>
    <row r="132" ht="45" customHeight="1" x14ac:dyDescent="0.35"/>
    <row r="133" ht="45" customHeight="1" x14ac:dyDescent="0.35"/>
    <row r="134" ht="45" customHeight="1" x14ac:dyDescent="0.35"/>
    <row r="135" ht="45" customHeight="1" x14ac:dyDescent="0.35"/>
    <row r="136" ht="45" customHeight="1" x14ac:dyDescent="0.35"/>
    <row r="137" ht="45" customHeight="1" x14ac:dyDescent="0.35"/>
    <row r="138" ht="45" customHeight="1" x14ac:dyDescent="0.35"/>
    <row r="139" ht="45" customHeight="1" x14ac:dyDescent="0.35"/>
    <row r="140" ht="45" customHeight="1" x14ac:dyDescent="0.35"/>
    <row r="141" ht="45" customHeight="1" x14ac:dyDescent="0.35"/>
    <row r="142" ht="45" customHeight="1" x14ac:dyDescent="0.35"/>
    <row r="143" ht="45" customHeight="1" x14ac:dyDescent="0.35"/>
    <row r="144" ht="45" customHeight="1" x14ac:dyDescent="0.35"/>
    <row r="145" ht="45" customHeight="1" x14ac:dyDescent="0.35"/>
    <row r="146" ht="45" customHeight="1" x14ac:dyDescent="0.35"/>
    <row r="147" ht="45" customHeight="1" x14ac:dyDescent="0.35"/>
    <row r="148" ht="45" customHeight="1" x14ac:dyDescent="0.35"/>
    <row r="149" ht="45" customHeight="1" x14ac:dyDescent="0.35"/>
    <row r="150" ht="45" customHeight="1" x14ac:dyDescent="0.35"/>
    <row r="151" ht="45" customHeight="1" x14ac:dyDescent="0.35"/>
    <row r="152" ht="45" customHeight="1" x14ac:dyDescent="0.35"/>
    <row r="153" ht="45" customHeight="1" x14ac:dyDescent="0.35"/>
    <row r="154" ht="45" customHeight="1" x14ac:dyDescent="0.35"/>
    <row r="155" ht="45" customHeight="1" x14ac:dyDescent="0.35"/>
    <row r="156" ht="45" customHeight="1" x14ac:dyDescent="0.35"/>
    <row r="157" ht="45" customHeight="1" x14ac:dyDescent="0.35"/>
    <row r="158" ht="45" customHeight="1" x14ac:dyDescent="0.35"/>
    <row r="159" ht="45" customHeight="1" x14ac:dyDescent="0.35"/>
    <row r="160" ht="45" customHeight="1" x14ac:dyDescent="0.35"/>
    <row r="161" ht="45" customHeight="1" x14ac:dyDescent="0.35"/>
    <row r="162" ht="45" customHeight="1" x14ac:dyDescent="0.35"/>
    <row r="163" ht="45" customHeight="1" x14ac:dyDescent="0.35"/>
    <row r="164" ht="45" customHeight="1" x14ac:dyDescent="0.35"/>
    <row r="165" ht="45" customHeight="1" x14ac:dyDescent="0.35"/>
    <row r="166" ht="45" customHeight="1" x14ac:dyDescent="0.35"/>
    <row r="167" ht="45" customHeight="1" x14ac:dyDescent="0.35"/>
    <row r="168" ht="45" customHeight="1" x14ac:dyDescent="0.35"/>
    <row r="169" ht="45" customHeight="1" x14ac:dyDescent="0.35"/>
    <row r="170" ht="45" customHeight="1" x14ac:dyDescent="0.35"/>
    <row r="171" ht="45" customHeight="1" x14ac:dyDescent="0.35"/>
    <row r="172" ht="45" customHeight="1" x14ac:dyDescent="0.35"/>
    <row r="173" ht="45" customHeight="1" x14ac:dyDescent="0.35"/>
    <row r="174" ht="45" customHeight="1" x14ac:dyDescent="0.35"/>
    <row r="175" ht="45" customHeight="1" x14ac:dyDescent="0.35"/>
    <row r="176" ht="45" customHeight="1" x14ac:dyDescent="0.35"/>
    <row r="177" ht="45" customHeight="1" x14ac:dyDescent="0.35"/>
    <row r="178" ht="45" customHeight="1" x14ac:dyDescent="0.35"/>
    <row r="179" ht="45" customHeight="1" x14ac:dyDescent="0.35"/>
    <row r="180" ht="45" customHeight="1" x14ac:dyDescent="0.35"/>
    <row r="181" ht="45" customHeight="1" x14ac:dyDescent="0.35"/>
    <row r="182" ht="45" customHeight="1" x14ac:dyDescent="0.35"/>
    <row r="183" ht="45" customHeight="1" x14ac:dyDescent="0.35"/>
    <row r="184" ht="45" customHeight="1" x14ac:dyDescent="0.35"/>
    <row r="185" ht="45" customHeight="1" x14ac:dyDescent="0.35"/>
    <row r="186" ht="45" customHeight="1" x14ac:dyDescent="0.35"/>
    <row r="187" ht="45" customHeight="1" x14ac:dyDescent="0.35"/>
    <row r="188" ht="45" customHeight="1" x14ac:dyDescent="0.35"/>
    <row r="189" ht="45" customHeight="1" x14ac:dyDescent="0.35"/>
    <row r="190" ht="45" customHeight="1" x14ac:dyDescent="0.35"/>
    <row r="191" ht="45" customHeight="1" x14ac:dyDescent="0.35"/>
    <row r="192" ht="45" customHeight="1" x14ac:dyDescent="0.35"/>
    <row r="193" ht="45" customHeight="1" x14ac:dyDescent="0.35"/>
    <row r="194" ht="45" customHeight="1" x14ac:dyDescent="0.35"/>
    <row r="195" ht="45" customHeight="1" x14ac:dyDescent="0.35"/>
    <row r="196" ht="45" customHeight="1" x14ac:dyDescent="0.35"/>
    <row r="197" ht="45" customHeight="1" x14ac:dyDescent="0.35"/>
    <row r="198" ht="45" customHeight="1" x14ac:dyDescent="0.35"/>
    <row r="199" ht="45" customHeight="1" x14ac:dyDescent="0.35"/>
    <row r="200" ht="45" customHeight="1" x14ac:dyDescent="0.35"/>
    <row r="201" ht="45" customHeight="1" x14ac:dyDescent="0.35"/>
    <row r="202" ht="45" customHeight="1" x14ac:dyDescent="0.35"/>
    <row r="203" ht="45" customHeight="1" x14ac:dyDescent="0.35"/>
    <row r="204" ht="45" customHeight="1" x14ac:dyDescent="0.35"/>
    <row r="205" ht="45" customHeight="1" x14ac:dyDescent="0.35"/>
    <row r="206" ht="45" customHeight="1" x14ac:dyDescent="0.35"/>
    <row r="207" ht="45" customHeight="1" x14ac:dyDescent="0.35"/>
    <row r="208" ht="45" customHeight="1" x14ac:dyDescent="0.35"/>
    <row r="209" ht="45" customHeight="1" x14ac:dyDescent="0.35"/>
    <row r="210" ht="45" customHeight="1" x14ac:dyDescent="0.35"/>
    <row r="211" ht="45" customHeight="1" x14ac:dyDescent="0.35"/>
    <row r="212" ht="45" customHeight="1" x14ac:dyDescent="0.35"/>
    <row r="213" ht="45" customHeight="1" x14ac:dyDescent="0.35"/>
    <row r="214" ht="45" customHeight="1" x14ac:dyDescent="0.35"/>
    <row r="215" ht="45" customHeight="1" x14ac:dyDescent="0.35"/>
    <row r="216" ht="45" customHeight="1" x14ac:dyDescent="0.35"/>
    <row r="217" ht="45" customHeight="1" x14ac:dyDescent="0.35"/>
    <row r="218" ht="45" customHeight="1" x14ac:dyDescent="0.35"/>
    <row r="219" ht="45" customHeight="1" x14ac:dyDescent="0.35"/>
    <row r="220" ht="45" customHeight="1" x14ac:dyDescent="0.35"/>
    <row r="221" ht="45" customHeight="1" x14ac:dyDescent="0.35"/>
    <row r="222" ht="45" customHeight="1" x14ac:dyDescent="0.35"/>
    <row r="223" ht="45" customHeight="1" x14ac:dyDescent="0.35"/>
    <row r="224" ht="45" customHeight="1" x14ac:dyDescent="0.35"/>
    <row r="225" ht="45" customHeight="1" x14ac:dyDescent="0.35"/>
    <row r="226" ht="45" customHeight="1" x14ac:dyDescent="0.35"/>
    <row r="227" ht="45" customHeight="1" x14ac:dyDescent="0.35"/>
    <row r="228" ht="45" customHeight="1" x14ac:dyDescent="0.35"/>
    <row r="229" ht="45" customHeight="1" x14ac:dyDescent="0.35"/>
    <row r="230" ht="45" customHeight="1" x14ac:dyDescent="0.35"/>
    <row r="231" ht="45" customHeight="1" x14ac:dyDescent="0.35"/>
    <row r="232" ht="45" customHeight="1" x14ac:dyDescent="0.35"/>
    <row r="233" ht="45" customHeight="1" x14ac:dyDescent="0.35"/>
    <row r="234" ht="45" customHeight="1" x14ac:dyDescent="0.35"/>
    <row r="235" ht="45" customHeight="1" x14ac:dyDescent="0.35"/>
    <row r="236" ht="45" customHeight="1" x14ac:dyDescent="0.35"/>
    <row r="237" ht="45" customHeight="1" x14ac:dyDescent="0.35"/>
    <row r="238" ht="45" customHeight="1" x14ac:dyDescent="0.35"/>
    <row r="239" ht="45" customHeight="1" x14ac:dyDescent="0.35"/>
    <row r="240" ht="45" customHeight="1" x14ac:dyDescent="0.35"/>
    <row r="241" ht="45" customHeight="1" x14ac:dyDescent="0.35"/>
    <row r="242" ht="45" customHeight="1" x14ac:dyDescent="0.35"/>
    <row r="243" ht="45" customHeight="1" x14ac:dyDescent="0.35"/>
    <row r="244" ht="45" customHeight="1" x14ac:dyDescent="0.35"/>
    <row r="245" ht="45" customHeight="1" x14ac:dyDescent="0.35"/>
    <row r="246" ht="45" customHeight="1" x14ac:dyDescent="0.35"/>
    <row r="247" ht="45" customHeight="1" x14ac:dyDescent="0.35"/>
    <row r="248" ht="45" customHeight="1" x14ac:dyDescent="0.35"/>
    <row r="249" ht="45" customHeight="1" x14ac:dyDescent="0.35"/>
    <row r="250" ht="45" customHeight="1" x14ac:dyDescent="0.35"/>
    <row r="251" ht="45" customHeight="1" x14ac:dyDescent="0.35"/>
    <row r="252" ht="45" customHeight="1" x14ac:dyDescent="0.35"/>
    <row r="253" ht="45" customHeight="1" x14ac:dyDescent="0.35"/>
    <row r="254" ht="45" customHeight="1" x14ac:dyDescent="0.35"/>
    <row r="255" ht="45" customHeight="1" x14ac:dyDescent="0.35"/>
    <row r="256" ht="45" customHeight="1" x14ac:dyDescent="0.35"/>
    <row r="257" ht="45" customHeight="1" x14ac:dyDescent="0.35"/>
    <row r="258" ht="45" customHeight="1" x14ac:dyDescent="0.35"/>
    <row r="259" ht="45" customHeight="1" x14ac:dyDescent="0.35"/>
    <row r="260" ht="45" customHeight="1" x14ac:dyDescent="0.35"/>
    <row r="261" ht="45" customHeight="1" x14ac:dyDescent="0.35"/>
    <row r="262" ht="45" customHeight="1" x14ac:dyDescent="0.35"/>
    <row r="263" ht="45" customHeight="1" x14ac:dyDescent="0.35"/>
    <row r="264" ht="45" customHeight="1" x14ac:dyDescent="0.35"/>
    <row r="265" ht="45" customHeight="1" x14ac:dyDescent="0.35"/>
    <row r="266" ht="45" customHeight="1" x14ac:dyDescent="0.35"/>
    <row r="267" ht="45" customHeight="1" x14ac:dyDescent="0.35"/>
    <row r="268" ht="45" customHeight="1" x14ac:dyDescent="0.35"/>
    <row r="269" ht="45" customHeight="1" x14ac:dyDescent="0.35"/>
    <row r="270" ht="45" customHeight="1" x14ac:dyDescent="0.35"/>
    <row r="271" ht="45" customHeight="1" x14ac:dyDescent="0.35"/>
    <row r="272" ht="45" customHeight="1" x14ac:dyDescent="0.35"/>
    <row r="273" ht="45" customHeight="1" x14ac:dyDescent="0.35"/>
    <row r="274" ht="45" customHeight="1" x14ac:dyDescent="0.35"/>
    <row r="275" ht="45" customHeight="1" x14ac:dyDescent="0.35"/>
    <row r="276" ht="45" customHeight="1" x14ac:dyDescent="0.35"/>
    <row r="277" ht="45" customHeight="1" x14ac:dyDescent="0.35"/>
    <row r="278" ht="45" customHeight="1" x14ac:dyDescent="0.35"/>
    <row r="279" ht="45" customHeight="1" x14ac:dyDescent="0.35"/>
    <row r="280" ht="45" customHeight="1" x14ac:dyDescent="0.35"/>
    <row r="281" ht="45" customHeight="1" x14ac:dyDescent="0.35"/>
    <row r="282" ht="45" customHeight="1" x14ac:dyDescent="0.35"/>
    <row r="283" ht="45" customHeight="1" x14ac:dyDescent="0.35"/>
    <row r="284" ht="45" customHeight="1" x14ac:dyDescent="0.35"/>
    <row r="285" ht="45" customHeight="1" x14ac:dyDescent="0.35"/>
    <row r="286" ht="45" customHeight="1" x14ac:dyDescent="0.35"/>
    <row r="287" ht="45" customHeight="1" x14ac:dyDescent="0.35"/>
    <row r="288" ht="45" customHeight="1" x14ac:dyDescent="0.35"/>
    <row r="289" ht="45" customHeight="1" x14ac:dyDescent="0.35"/>
    <row r="290" ht="45" customHeight="1" x14ac:dyDescent="0.35"/>
    <row r="291" ht="45" customHeight="1" x14ac:dyDescent="0.35"/>
    <row r="292" ht="45" customHeight="1" x14ac:dyDescent="0.35"/>
    <row r="293" ht="45" customHeight="1" x14ac:dyDescent="0.35"/>
    <row r="294" ht="45" customHeight="1" x14ac:dyDescent="0.35"/>
    <row r="295" ht="45" customHeight="1" x14ac:dyDescent="0.35"/>
    <row r="296" ht="45" customHeight="1" x14ac:dyDescent="0.35"/>
    <row r="297" ht="45" customHeight="1" x14ac:dyDescent="0.35"/>
    <row r="298" ht="45" customHeight="1" x14ac:dyDescent="0.35"/>
    <row r="299" ht="45" customHeight="1" x14ac:dyDescent="0.35"/>
    <row r="300" ht="45" customHeight="1" x14ac:dyDescent="0.35"/>
    <row r="301" ht="45" customHeight="1" x14ac:dyDescent="0.35"/>
    <row r="302" ht="45" customHeight="1" x14ac:dyDescent="0.35"/>
    <row r="303" ht="45" customHeight="1" x14ac:dyDescent="0.35"/>
    <row r="304" ht="45" customHeight="1" x14ac:dyDescent="0.35"/>
    <row r="305" ht="45" customHeight="1" x14ac:dyDescent="0.35"/>
    <row r="306" ht="45" customHeight="1" x14ac:dyDescent="0.35"/>
    <row r="307" ht="45" customHeight="1" x14ac:dyDescent="0.35"/>
    <row r="308" ht="45" customHeight="1" x14ac:dyDescent="0.35"/>
    <row r="309" ht="45" customHeight="1" x14ac:dyDescent="0.35"/>
    <row r="310" ht="45" customHeight="1" x14ac:dyDescent="0.35"/>
    <row r="311" ht="45" customHeight="1" x14ac:dyDescent="0.35"/>
    <row r="312" ht="45" customHeight="1" x14ac:dyDescent="0.35"/>
    <row r="313" ht="45" customHeight="1" x14ac:dyDescent="0.35"/>
    <row r="314" ht="45" customHeight="1" x14ac:dyDescent="0.35"/>
    <row r="315" ht="45" customHeight="1" x14ac:dyDescent="0.35"/>
    <row r="316" ht="45" customHeight="1" x14ac:dyDescent="0.35"/>
    <row r="317" ht="45" customHeight="1" x14ac:dyDescent="0.35"/>
    <row r="318" ht="45" customHeight="1" x14ac:dyDescent="0.35"/>
    <row r="319" ht="45" customHeight="1" x14ac:dyDescent="0.35"/>
    <row r="320" ht="45" customHeight="1" x14ac:dyDescent="0.35"/>
    <row r="321" ht="45" customHeight="1" x14ac:dyDescent="0.35"/>
    <row r="322" ht="45" customHeight="1" x14ac:dyDescent="0.35"/>
    <row r="323" ht="45" customHeight="1" x14ac:dyDescent="0.35"/>
    <row r="324" ht="45" customHeight="1" x14ac:dyDescent="0.35"/>
    <row r="325" ht="45" customHeight="1" x14ac:dyDescent="0.35"/>
    <row r="326" ht="45" customHeight="1" x14ac:dyDescent="0.35"/>
    <row r="327" ht="45" customHeight="1" x14ac:dyDescent="0.35"/>
    <row r="328" ht="45" customHeight="1" x14ac:dyDescent="0.35"/>
    <row r="329" ht="45" customHeight="1" x14ac:dyDescent="0.35"/>
    <row r="330" ht="45" customHeight="1" x14ac:dyDescent="0.35"/>
    <row r="331" ht="45" customHeight="1" x14ac:dyDescent="0.35"/>
    <row r="332" ht="45" customHeight="1" x14ac:dyDescent="0.35"/>
    <row r="333" ht="45" customHeight="1" x14ac:dyDescent="0.35"/>
    <row r="334" ht="45" customHeight="1" x14ac:dyDescent="0.35"/>
    <row r="335" ht="45" customHeight="1" x14ac:dyDescent="0.35"/>
    <row r="336" ht="45" customHeight="1" x14ac:dyDescent="0.35"/>
    <row r="337" ht="45" customHeight="1" x14ac:dyDescent="0.35"/>
    <row r="338" ht="45" customHeight="1" x14ac:dyDescent="0.35"/>
    <row r="339" ht="45" customHeight="1" x14ac:dyDescent="0.35"/>
    <row r="340" ht="45" customHeight="1" x14ac:dyDescent="0.35"/>
    <row r="341" ht="45" customHeight="1" x14ac:dyDescent="0.35"/>
    <row r="342" ht="45" customHeight="1" x14ac:dyDescent="0.35"/>
    <row r="343" ht="45" customHeight="1" x14ac:dyDescent="0.35"/>
    <row r="344" ht="45" customHeight="1" x14ac:dyDescent="0.35"/>
    <row r="345" ht="45" customHeight="1" x14ac:dyDescent="0.35"/>
    <row r="346" ht="45" customHeight="1" x14ac:dyDescent="0.35"/>
    <row r="347" ht="45" customHeight="1" x14ac:dyDescent="0.35"/>
    <row r="348" ht="45" customHeight="1" x14ac:dyDescent="0.35"/>
    <row r="349" ht="45" customHeight="1" x14ac:dyDescent="0.35"/>
    <row r="350" ht="45" customHeight="1" x14ac:dyDescent="0.35"/>
    <row r="351" ht="45" customHeight="1" x14ac:dyDescent="0.35"/>
    <row r="352" ht="45" customHeight="1" x14ac:dyDescent="0.35"/>
    <row r="353" ht="45" customHeight="1" x14ac:dyDescent="0.35"/>
    <row r="354" ht="45" customHeight="1" x14ac:dyDescent="0.35"/>
    <row r="355" ht="45" customHeight="1" x14ac:dyDescent="0.35"/>
    <row r="356" ht="45" customHeight="1" x14ac:dyDescent="0.35"/>
    <row r="357" ht="45" customHeight="1" x14ac:dyDescent="0.35"/>
    <row r="358" ht="45" customHeight="1" x14ac:dyDescent="0.35"/>
    <row r="359" ht="45" customHeight="1" x14ac:dyDescent="0.35"/>
    <row r="360" ht="45" customHeight="1" x14ac:dyDescent="0.35"/>
    <row r="361" ht="45" customHeight="1" x14ac:dyDescent="0.35"/>
    <row r="362" ht="45" customHeight="1" x14ac:dyDescent="0.35"/>
    <row r="363" ht="45" customHeight="1" x14ac:dyDescent="0.35"/>
    <row r="364" ht="45" customHeight="1" x14ac:dyDescent="0.35"/>
    <row r="365" ht="45" customHeight="1" x14ac:dyDescent="0.35"/>
    <row r="366" ht="45" customHeight="1" x14ac:dyDescent="0.35"/>
    <row r="367" ht="45" customHeight="1" x14ac:dyDescent="0.35"/>
    <row r="368" ht="45" customHeight="1" x14ac:dyDescent="0.35"/>
    <row r="369" ht="45" customHeight="1" x14ac:dyDescent="0.35"/>
    <row r="370" ht="45" customHeight="1" x14ac:dyDescent="0.35"/>
    <row r="371" ht="45" customHeight="1" x14ac:dyDescent="0.35"/>
    <row r="372" ht="45" customHeight="1" x14ac:dyDescent="0.35"/>
    <row r="373" ht="45" customHeight="1" x14ac:dyDescent="0.35"/>
    <row r="374" ht="45" customHeight="1" x14ac:dyDescent="0.35"/>
    <row r="375" ht="45" customHeight="1" x14ac:dyDescent="0.35"/>
    <row r="376" ht="45" customHeight="1" x14ac:dyDescent="0.35"/>
    <row r="377" ht="45" customHeight="1" x14ac:dyDescent="0.35"/>
    <row r="378" ht="45" customHeight="1" x14ac:dyDescent="0.35"/>
    <row r="379" ht="45" customHeight="1" x14ac:dyDescent="0.35"/>
    <row r="380" ht="45" customHeight="1" x14ac:dyDescent="0.35"/>
    <row r="381" ht="45" customHeight="1" x14ac:dyDescent="0.35"/>
    <row r="382" ht="45" customHeight="1" x14ac:dyDescent="0.35"/>
    <row r="383" ht="45" customHeight="1" x14ac:dyDescent="0.35"/>
    <row r="384" ht="45" customHeight="1" x14ac:dyDescent="0.35"/>
    <row r="385" ht="45" customHeight="1" x14ac:dyDescent="0.35"/>
    <row r="386" ht="45" customHeight="1" x14ac:dyDescent="0.35"/>
    <row r="387" ht="45" customHeight="1" x14ac:dyDescent="0.35"/>
    <row r="388" ht="45" customHeight="1" x14ac:dyDescent="0.35"/>
    <row r="389" ht="45" customHeight="1" x14ac:dyDescent="0.35"/>
    <row r="390" ht="45" customHeight="1" x14ac:dyDescent="0.35"/>
    <row r="391" ht="45" customHeight="1" x14ac:dyDescent="0.35"/>
    <row r="392" ht="45" customHeight="1" x14ac:dyDescent="0.35"/>
    <row r="393" ht="45" customHeight="1" x14ac:dyDescent="0.35"/>
    <row r="394" ht="45" customHeight="1" x14ac:dyDescent="0.35"/>
    <row r="395" ht="45" customHeight="1" x14ac:dyDescent="0.35"/>
    <row r="396" ht="45" customHeight="1" x14ac:dyDescent="0.35"/>
    <row r="397" ht="45" customHeight="1" x14ac:dyDescent="0.35"/>
    <row r="398" ht="45" customHeight="1" x14ac:dyDescent="0.35"/>
    <row r="399" ht="45" customHeight="1" x14ac:dyDescent="0.35"/>
    <row r="400" ht="45" customHeight="1" x14ac:dyDescent="0.35"/>
    <row r="401" ht="45" customHeight="1" x14ac:dyDescent="0.35"/>
    <row r="402" ht="45" customHeight="1" x14ac:dyDescent="0.35"/>
    <row r="403" ht="45" customHeight="1" x14ac:dyDescent="0.35"/>
    <row r="404" ht="45" customHeight="1" x14ac:dyDescent="0.35"/>
    <row r="405" ht="45" customHeight="1" x14ac:dyDescent="0.35"/>
    <row r="406" ht="45" customHeight="1" x14ac:dyDescent="0.35"/>
    <row r="407" ht="45" customHeight="1" x14ac:dyDescent="0.35"/>
    <row r="408" ht="45" customHeight="1" x14ac:dyDescent="0.35"/>
    <row r="409" ht="45" customHeight="1" x14ac:dyDescent="0.35"/>
    <row r="410" ht="45" customHeight="1" x14ac:dyDescent="0.35"/>
    <row r="411" ht="45" customHeight="1" x14ac:dyDescent="0.35"/>
    <row r="412" ht="45" customHeight="1" x14ac:dyDescent="0.35"/>
    <row r="413" ht="45" customHeight="1" x14ac:dyDescent="0.35"/>
    <row r="414" ht="45" customHeight="1" x14ac:dyDescent="0.35"/>
    <row r="415" ht="45" customHeight="1" x14ac:dyDescent="0.35"/>
    <row r="416" ht="45" customHeight="1" x14ac:dyDescent="0.35"/>
    <row r="417" ht="45" customHeight="1" x14ac:dyDescent="0.35"/>
    <row r="418" ht="45" customHeight="1" x14ac:dyDescent="0.35"/>
    <row r="419" ht="45" customHeight="1" x14ac:dyDescent="0.35"/>
    <row r="420" ht="45" customHeight="1" x14ac:dyDescent="0.35"/>
    <row r="421" ht="45" customHeight="1" x14ac:dyDescent="0.35"/>
    <row r="422" ht="45" customHeight="1" x14ac:dyDescent="0.35"/>
    <row r="423" ht="45" customHeight="1" x14ac:dyDescent="0.35"/>
    <row r="424" ht="45" customHeight="1" x14ac:dyDescent="0.35"/>
    <row r="425" ht="45" customHeight="1" x14ac:dyDescent="0.35"/>
    <row r="426" ht="45" customHeight="1" x14ac:dyDescent="0.35"/>
    <row r="427" ht="45" customHeight="1" x14ac:dyDescent="0.35"/>
    <row r="428" ht="45" customHeight="1" x14ac:dyDescent="0.35"/>
    <row r="429" ht="45" customHeight="1" x14ac:dyDescent="0.35"/>
    <row r="430" ht="45" customHeight="1" x14ac:dyDescent="0.35"/>
    <row r="431" ht="45" customHeight="1" x14ac:dyDescent="0.35"/>
    <row r="432" ht="45" customHeight="1" x14ac:dyDescent="0.35"/>
    <row r="433" ht="45" customHeight="1" x14ac:dyDescent="0.35"/>
    <row r="434" ht="45" customHeight="1" x14ac:dyDescent="0.35"/>
    <row r="435" ht="45" customHeight="1" x14ac:dyDescent="0.35"/>
    <row r="436" ht="45" customHeight="1" x14ac:dyDescent="0.35"/>
    <row r="437" ht="45" customHeight="1" x14ac:dyDescent="0.35"/>
    <row r="438" ht="45" customHeight="1" x14ac:dyDescent="0.35"/>
    <row r="439" ht="45" customHeight="1" x14ac:dyDescent="0.35"/>
    <row r="440" ht="45" customHeight="1" x14ac:dyDescent="0.35"/>
    <row r="441" ht="45" customHeight="1" x14ac:dyDescent="0.35"/>
    <row r="442" ht="45" customHeight="1" x14ac:dyDescent="0.35"/>
    <row r="443" ht="45" customHeight="1" x14ac:dyDescent="0.35"/>
    <row r="444" ht="45" customHeight="1" x14ac:dyDescent="0.35"/>
    <row r="445" ht="45" customHeight="1" x14ac:dyDescent="0.35"/>
    <row r="446" ht="45" customHeight="1" x14ac:dyDescent="0.35"/>
    <row r="447" ht="45" customHeight="1" x14ac:dyDescent="0.35"/>
    <row r="448" ht="45" customHeight="1" x14ac:dyDescent="0.35"/>
    <row r="449" ht="45" customHeight="1" x14ac:dyDescent="0.35"/>
    <row r="450" ht="45" customHeight="1" x14ac:dyDescent="0.35"/>
    <row r="451" ht="45" customHeight="1" x14ac:dyDescent="0.35"/>
    <row r="452" ht="45" customHeight="1" x14ac:dyDescent="0.35"/>
    <row r="453" ht="45" customHeight="1" x14ac:dyDescent="0.35"/>
    <row r="454" ht="45" customHeight="1" x14ac:dyDescent="0.35"/>
    <row r="455" ht="45" customHeight="1" x14ac:dyDescent="0.35"/>
    <row r="456" ht="45" customHeight="1" x14ac:dyDescent="0.35"/>
    <row r="457" ht="45" customHeight="1" x14ac:dyDescent="0.35"/>
    <row r="458" ht="45" customHeight="1" x14ac:dyDescent="0.35"/>
    <row r="459" ht="45" customHeight="1" x14ac:dyDescent="0.35"/>
    <row r="460" ht="45" customHeight="1" x14ac:dyDescent="0.35"/>
    <row r="461" ht="45" customHeight="1" x14ac:dyDescent="0.35"/>
    <row r="462" ht="45" customHeight="1" x14ac:dyDescent="0.35"/>
    <row r="463" ht="45" customHeight="1" x14ac:dyDescent="0.35"/>
    <row r="464" ht="45" customHeight="1" x14ac:dyDescent="0.35"/>
    <row r="465" ht="45" customHeight="1" x14ac:dyDescent="0.35"/>
    <row r="466" ht="45" customHeight="1" x14ac:dyDescent="0.35"/>
    <row r="467" ht="45" customHeight="1" x14ac:dyDescent="0.35"/>
    <row r="468" ht="45" customHeight="1" x14ac:dyDescent="0.35"/>
    <row r="469" ht="45" customHeight="1" x14ac:dyDescent="0.35"/>
    <row r="470" ht="45" customHeight="1" x14ac:dyDescent="0.35"/>
    <row r="471" ht="45" customHeight="1" x14ac:dyDescent="0.35"/>
    <row r="472" ht="45" customHeight="1" x14ac:dyDescent="0.35"/>
    <row r="473" ht="45" customHeight="1" x14ac:dyDescent="0.35"/>
    <row r="474" ht="45" customHeight="1" x14ac:dyDescent="0.35"/>
    <row r="475" ht="45" customHeight="1" x14ac:dyDescent="0.35"/>
    <row r="476" ht="45" customHeight="1" x14ac:dyDescent="0.35"/>
    <row r="477" ht="45" customHeight="1" x14ac:dyDescent="0.35"/>
    <row r="478" ht="45" customHeight="1" x14ac:dyDescent="0.35"/>
    <row r="479" ht="45" customHeight="1" x14ac:dyDescent="0.35"/>
    <row r="480" ht="45" customHeight="1" x14ac:dyDescent="0.35"/>
    <row r="481" ht="45" customHeight="1" x14ac:dyDescent="0.35"/>
    <row r="482" ht="45" customHeight="1" x14ac:dyDescent="0.35"/>
    <row r="483" ht="45" customHeight="1" x14ac:dyDescent="0.35"/>
    <row r="484" ht="45" customHeight="1" x14ac:dyDescent="0.35"/>
    <row r="485" ht="45" customHeight="1" x14ac:dyDescent="0.35"/>
    <row r="486" ht="45" customHeight="1" x14ac:dyDescent="0.35"/>
    <row r="487" ht="45" customHeight="1" x14ac:dyDescent="0.35"/>
    <row r="488" ht="45" customHeight="1" x14ac:dyDescent="0.35"/>
    <row r="489" ht="45" customHeight="1" x14ac:dyDescent="0.35"/>
    <row r="490" ht="45" customHeight="1" x14ac:dyDescent="0.35"/>
    <row r="491" ht="45" customHeight="1" x14ac:dyDescent="0.35"/>
    <row r="492" ht="45" customHeight="1" x14ac:dyDescent="0.35"/>
    <row r="493" ht="45" customHeight="1" x14ac:dyDescent="0.35"/>
    <row r="494" ht="45" customHeight="1" x14ac:dyDescent="0.35"/>
    <row r="495" ht="45" customHeight="1" x14ac:dyDescent="0.35"/>
    <row r="496" ht="45" customHeight="1" x14ac:dyDescent="0.35"/>
    <row r="497" ht="45" customHeight="1" x14ac:dyDescent="0.35"/>
    <row r="498" ht="45" customHeight="1" x14ac:dyDescent="0.35"/>
    <row r="499" ht="45" customHeight="1" x14ac:dyDescent="0.35"/>
    <row r="500" ht="45" customHeight="1" x14ac:dyDescent="0.35"/>
  </sheetData>
  <pageMargins left="0.7" right="0.7" top="0.75" bottom="0.75" header="0.3" footer="0.3"/>
  <headerFooter>
    <oddFooter>&amp;C_x000D_&amp;1#&amp;"Calibri"&amp;10&amp;K008000 DOCUMENTO PÚBLICO</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D7EE-A84F-4CE4-9847-98943A10A2B4}">
  <dimension ref="A1:AH45"/>
  <sheetViews>
    <sheetView showGridLines="0" view="pageBreakPreview" zoomScale="60" zoomScaleNormal="10" zoomScalePageLayoutView="48" workbookViewId="0">
      <selection activeCell="G14" sqref="G14:G15"/>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10" width="28.54296875" style="1" customWidth="1"/>
    <col min="11" max="12" width="19.54296875" style="1" customWidth="1"/>
    <col min="13" max="14" width="18.26953125" style="1" customWidth="1"/>
    <col min="15" max="17" width="13.7265625" style="1" customWidth="1"/>
    <col min="18" max="30" width="9.54296875" style="1" customWidth="1"/>
    <col min="31" max="31" width="35.7265625" style="1" customWidth="1"/>
    <col min="32" max="34" width="42.54296875" style="1" customWidth="1"/>
    <col min="35" max="16384" width="12.54296875" style="1"/>
  </cols>
  <sheetData>
    <row r="1" spans="1:34" s="60" customFormat="1" ht="15" customHeight="1" x14ac:dyDescent="0.35">
      <c r="A1" s="293"/>
      <c r="B1" s="294"/>
      <c r="C1" s="295"/>
      <c r="D1" s="361" t="s">
        <v>1421</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1:34"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1:34"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row>
    <row r="4" spans="1:34" s="60" customFormat="1" ht="60" hidden="1" customHeight="1" thickBot="1" x14ac:dyDescent="0.4">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row>
    <row r="5" spans="1:34" s="60" customFormat="1" ht="60" hidden="1" customHeight="1" x14ac:dyDescent="0.35">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row>
    <row r="6" spans="1:34" ht="20.149999999999999" customHeight="1" x14ac:dyDescent="0.35">
      <c r="A6" s="292" t="s">
        <v>28</v>
      </c>
      <c r="B6" s="292"/>
      <c r="C6" s="747" t="s">
        <v>1422</v>
      </c>
      <c r="D6" s="748"/>
      <c r="E6" s="303" t="s">
        <v>30</v>
      </c>
      <c r="F6" s="303"/>
      <c r="G6" s="324">
        <f>+P15+P17+P19+P21+P23</f>
        <v>1</v>
      </c>
      <c r="H6" s="303" t="s">
        <v>31</v>
      </c>
      <c r="I6" s="303"/>
      <c r="J6" s="414">
        <f>+P14+P16+P18+P20+P22</f>
        <v>0.40040000000000003</v>
      </c>
      <c r="K6" s="749" t="s">
        <v>32</v>
      </c>
      <c r="L6" s="330">
        <v>0.95</v>
      </c>
      <c r="M6" s="292" t="s">
        <v>33</v>
      </c>
      <c r="N6" s="292"/>
      <c r="O6" s="370">
        <f>(SUM(U14,U16,U18,U20,U22)/SUM(U15,U17,U19,U21,U23))/L6</f>
        <v>1.0526315789473684</v>
      </c>
      <c r="P6" s="370"/>
      <c r="Q6" s="370"/>
      <c r="R6" s="306" t="s">
        <v>34</v>
      </c>
      <c r="S6" s="307"/>
      <c r="T6" s="307"/>
      <c r="U6" s="308"/>
      <c r="V6" s="315">
        <f>SUM(X14,X16,X18,X20,X22)/SUM(X15,X17,X19,X21,X23)/L6</f>
        <v>1.0543157894736843</v>
      </c>
      <c r="W6" s="316"/>
      <c r="X6" s="316"/>
      <c r="Y6" s="317"/>
      <c r="Z6" s="306" t="s">
        <v>35</v>
      </c>
      <c r="AA6" s="307"/>
      <c r="AB6" s="307"/>
      <c r="AC6" s="308"/>
      <c r="AD6" s="315">
        <f>SUM(AA14,AA16,AA18,AA20,AA22)/SUM(AA15,AA17,AA19,AA21,AA23)</f>
        <v>0</v>
      </c>
      <c r="AE6" s="316"/>
      <c r="AF6" s="306" t="s">
        <v>36</v>
      </c>
      <c r="AG6" s="315">
        <f>SUM(AA14,AA16,AA18,AA20,AA22)/SUM(AA15,AA17,AA19,AA21,AA23)</f>
        <v>0</v>
      </c>
    </row>
    <row r="7" spans="1:34" ht="15" customHeight="1" x14ac:dyDescent="0.35">
      <c r="A7" s="292"/>
      <c r="B7" s="292"/>
      <c r="C7" s="748"/>
      <c r="D7" s="748"/>
      <c r="E7" s="303"/>
      <c r="F7" s="303"/>
      <c r="G7" s="325"/>
      <c r="H7" s="303"/>
      <c r="I7" s="303"/>
      <c r="J7" s="415"/>
      <c r="K7" s="750"/>
      <c r="L7" s="331"/>
      <c r="M7" s="292"/>
      <c r="N7" s="292"/>
      <c r="O7" s="370"/>
      <c r="P7" s="370"/>
      <c r="Q7" s="370"/>
      <c r="R7" s="309"/>
      <c r="S7" s="310"/>
      <c r="T7" s="310"/>
      <c r="U7" s="311"/>
      <c r="V7" s="318"/>
      <c r="W7" s="319"/>
      <c r="X7" s="319"/>
      <c r="Y7" s="320"/>
      <c r="Z7" s="309"/>
      <c r="AA7" s="310"/>
      <c r="AB7" s="310"/>
      <c r="AC7" s="311"/>
      <c r="AD7" s="318"/>
      <c r="AE7" s="319"/>
      <c r="AF7" s="309"/>
      <c r="AG7" s="318"/>
    </row>
    <row r="8" spans="1:34" ht="25.15" hidden="1" customHeight="1" x14ac:dyDescent="0.35">
      <c r="A8" s="292"/>
      <c r="B8" s="292"/>
      <c r="C8" s="748"/>
      <c r="D8" s="748"/>
      <c r="E8" s="303"/>
      <c r="F8" s="303"/>
      <c r="G8" s="325"/>
      <c r="H8" s="303"/>
      <c r="I8" s="303"/>
      <c r="J8" s="415"/>
      <c r="K8" s="750"/>
      <c r="L8" s="331"/>
      <c r="M8" s="292"/>
      <c r="N8" s="292"/>
      <c r="O8" s="370"/>
      <c r="P8" s="370"/>
      <c r="Q8" s="370"/>
      <c r="R8" s="309"/>
      <c r="S8" s="310"/>
      <c r="T8" s="310"/>
      <c r="U8" s="311"/>
      <c r="V8" s="318"/>
      <c r="W8" s="319"/>
      <c r="X8" s="319"/>
      <c r="Y8" s="320"/>
      <c r="Z8" s="309"/>
      <c r="AA8" s="310"/>
      <c r="AB8" s="310"/>
      <c r="AC8" s="311"/>
      <c r="AD8" s="318"/>
      <c r="AE8" s="319"/>
      <c r="AF8" s="309"/>
      <c r="AG8" s="318"/>
    </row>
    <row r="9" spans="1:34" ht="25.15" hidden="1" customHeight="1" thickBot="1" x14ac:dyDescent="0.4">
      <c r="A9" s="292"/>
      <c r="B9" s="292"/>
      <c r="C9" s="748"/>
      <c r="D9" s="748"/>
      <c r="E9" s="303"/>
      <c r="F9" s="303"/>
      <c r="G9" s="325"/>
      <c r="H9" s="303"/>
      <c r="I9" s="303"/>
      <c r="J9" s="415"/>
      <c r="K9" s="750"/>
      <c r="L9" s="331"/>
      <c r="M9" s="292"/>
      <c r="N9" s="292"/>
      <c r="O9" s="370"/>
      <c r="P9" s="370"/>
      <c r="Q9" s="370"/>
      <c r="R9" s="309"/>
      <c r="S9" s="310"/>
      <c r="T9" s="310"/>
      <c r="U9" s="311"/>
      <c r="V9" s="318"/>
      <c r="W9" s="319"/>
      <c r="X9" s="319"/>
      <c r="Y9" s="320"/>
      <c r="Z9" s="309"/>
      <c r="AA9" s="310"/>
      <c r="AB9" s="310"/>
      <c r="AC9" s="311"/>
      <c r="AD9" s="318"/>
      <c r="AE9" s="319"/>
      <c r="AF9" s="309"/>
      <c r="AG9" s="318"/>
    </row>
    <row r="10" spans="1:34" ht="15" customHeight="1" thickBot="1" x14ac:dyDescent="0.4">
      <c r="A10" s="292"/>
      <c r="B10" s="292"/>
      <c r="C10" s="748"/>
      <c r="D10" s="748"/>
      <c r="E10" s="303"/>
      <c r="F10" s="303"/>
      <c r="G10" s="326"/>
      <c r="H10" s="303"/>
      <c r="I10" s="303"/>
      <c r="J10" s="416"/>
      <c r="K10" s="751"/>
      <c r="L10" s="332"/>
      <c r="M10" s="292"/>
      <c r="N10" s="292"/>
      <c r="O10" s="370"/>
      <c r="P10" s="370"/>
      <c r="Q10" s="370"/>
      <c r="R10" s="312"/>
      <c r="S10" s="313"/>
      <c r="T10" s="313"/>
      <c r="U10" s="314"/>
      <c r="V10" s="321"/>
      <c r="W10" s="322"/>
      <c r="X10" s="322"/>
      <c r="Y10" s="323"/>
      <c r="Z10" s="312"/>
      <c r="AA10" s="313"/>
      <c r="AB10" s="313"/>
      <c r="AC10" s="314"/>
      <c r="AD10" s="321"/>
      <c r="AE10" s="322"/>
      <c r="AF10" s="312"/>
      <c r="AG10" s="321"/>
    </row>
    <row r="11" spans="1:34" s="12" customFormat="1" ht="40.15" customHeight="1" thickBot="1" x14ac:dyDescent="0.4">
      <c r="A11" s="268" t="s">
        <v>37</v>
      </c>
      <c r="B11" s="268"/>
      <c r="C11" s="268"/>
      <c r="D11" s="268"/>
      <c r="E11" s="268"/>
      <c r="F11" s="269"/>
      <c r="G11" s="270" t="s">
        <v>38</v>
      </c>
      <c r="H11" s="271"/>
      <c r="I11" s="271"/>
      <c r="J11" s="271"/>
      <c r="K11" s="271"/>
      <c r="L11" s="271"/>
      <c r="M11" s="271"/>
      <c r="N11" s="272"/>
      <c r="O11" s="345" t="s">
        <v>39</v>
      </c>
      <c r="P11" s="346"/>
      <c r="Q11" s="346"/>
      <c r="R11" s="346"/>
      <c r="S11" s="346"/>
      <c r="T11" s="346"/>
      <c r="U11" s="346"/>
      <c r="V11" s="346"/>
      <c r="W11" s="346"/>
      <c r="X11" s="346"/>
      <c r="Y11" s="346"/>
      <c r="Z11" s="346"/>
      <c r="AA11" s="346"/>
      <c r="AB11" s="346"/>
      <c r="AC11" s="346"/>
      <c r="AD11" s="347"/>
      <c r="AE11" s="345" t="s">
        <v>40</v>
      </c>
      <c r="AF11" s="346"/>
      <c r="AG11" s="346"/>
      <c r="AH11" s="346"/>
    </row>
    <row r="12" spans="1:34" ht="39" customHeight="1" x14ac:dyDescent="0.35">
      <c r="A12" s="273" t="s">
        <v>41</v>
      </c>
      <c r="B12" s="275" t="s">
        <v>42</v>
      </c>
      <c r="C12" s="275" t="s">
        <v>43</v>
      </c>
      <c r="D12" s="275" t="s">
        <v>44</v>
      </c>
      <c r="E12" s="275" t="s">
        <v>45</v>
      </c>
      <c r="F12" s="275" t="s">
        <v>1423</v>
      </c>
      <c r="G12" s="275" t="s">
        <v>1343</v>
      </c>
      <c r="H12" s="275" t="s">
        <v>1345</v>
      </c>
      <c r="I12" s="275" t="s">
        <v>49</v>
      </c>
      <c r="J12" s="275" t="s">
        <v>50</v>
      </c>
      <c r="K12" s="275" t="s">
        <v>51</v>
      </c>
      <c r="L12" s="275" t="s">
        <v>52</v>
      </c>
      <c r="M12" s="275" t="s">
        <v>53</v>
      </c>
      <c r="N12" s="275" t="s">
        <v>54</v>
      </c>
      <c r="O12" s="356" t="s">
        <v>55</v>
      </c>
      <c r="P12" s="357" t="s">
        <v>56</v>
      </c>
      <c r="Q12" s="358" t="s">
        <v>57</v>
      </c>
      <c r="R12" s="354" t="s">
        <v>58</v>
      </c>
      <c r="S12" s="352" t="s">
        <v>59</v>
      </c>
      <c r="T12" s="350" t="s">
        <v>60</v>
      </c>
      <c r="U12" s="304" t="s">
        <v>61</v>
      </c>
      <c r="V12" s="359" t="s">
        <v>62</v>
      </c>
      <c r="W12" s="304" t="s">
        <v>63</v>
      </c>
      <c r="X12" s="350" t="s">
        <v>63</v>
      </c>
      <c r="Y12" s="352" t="s">
        <v>65</v>
      </c>
      <c r="Z12" s="354" t="s">
        <v>66</v>
      </c>
      <c r="AA12" s="352" t="s">
        <v>67</v>
      </c>
      <c r="AB12" s="350" t="s">
        <v>68</v>
      </c>
      <c r="AC12" s="304" t="s">
        <v>69</v>
      </c>
      <c r="AD12" s="348" t="s">
        <v>70</v>
      </c>
      <c r="AE12" s="344" t="s">
        <v>71</v>
      </c>
      <c r="AF12" s="344" t="s">
        <v>72</v>
      </c>
      <c r="AG12" s="344" t="s">
        <v>73</v>
      </c>
      <c r="AH12" s="344" t="s">
        <v>74</v>
      </c>
    </row>
    <row r="13" spans="1:34" ht="60" customHeight="1" thickBot="1" x14ac:dyDescent="0.4">
      <c r="A13" s="274"/>
      <c r="B13" s="274"/>
      <c r="C13" s="274"/>
      <c r="D13" s="274"/>
      <c r="E13" s="274"/>
      <c r="F13" s="274"/>
      <c r="G13" s="274"/>
      <c r="H13" s="274"/>
      <c r="I13" s="274"/>
      <c r="J13" s="274"/>
      <c r="K13" s="274"/>
      <c r="L13" s="274"/>
      <c r="M13" s="274"/>
      <c r="N13" s="274"/>
      <c r="O13" s="356"/>
      <c r="P13" s="357"/>
      <c r="Q13" s="358"/>
      <c r="R13" s="355"/>
      <c r="S13" s="353"/>
      <c r="T13" s="351"/>
      <c r="U13" s="305"/>
      <c r="V13" s="360"/>
      <c r="W13" s="305"/>
      <c r="X13" s="351"/>
      <c r="Y13" s="353"/>
      <c r="Z13" s="355"/>
      <c r="AA13" s="353"/>
      <c r="AB13" s="351"/>
      <c r="AC13" s="305"/>
      <c r="AD13" s="349"/>
      <c r="AE13" s="344"/>
      <c r="AF13" s="344"/>
      <c r="AG13" s="344"/>
      <c r="AH13" s="344"/>
    </row>
    <row r="14" spans="1:34" ht="40.15" customHeight="1" thickBot="1" x14ac:dyDescent="0.4">
      <c r="A14" s="259">
        <v>1</v>
      </c>
      <c r="B14" s="259" t="s">
        <v>192</v>
      </c>
      <c r="C14" s="259" t="s">
        <v>103</v>
      </c>
      <c r="D14" s="259" t="s">
        <v>986</v>
      </c>
      <c r="E14" s="259" t="s">
        <v>1390</v>
      </c>
      <c r="F14" s="259" t="s">
        <v>1232</v>
      </c>
      <c r="G14" s="259" t="s">
        <v>1424</v>
      </c>
      <c r="H14" s="259" t="s">
        <v>1425</v>
      </c>
      <c r="I14" s="259" t="s">
        <v>1426</v>
      </c>
      <c r="J14" s="261" t="s">
        <v>1427</v>
      </c>
      <c r="K14" s="261" t="s">
        <v>1428</v>
      </c>
      <c r="L14" s="261" t="s">
        <v>85</v>
      </c>
      <c r="M14" s="263">
        <v>44927</v>
      </c>
      <c r="N14" s="263">
        <v>45291</v>
      </c>
      <c r="O14" s="64" t="s">
        <v>86</v>
      </c>
      <c r="P14" s="53">
        <f>+(P15*Q14)</f>
        <v>0.1</v>
      </c>
      <c r="Q14" s="71">
        <f t="shared" ref="Q14:Q15" si="0">SUM(R14:AD14)</f>
        <v>0.5</v>
      </c>
      <c r="R14" s="43"/>
      <c r="S14" s="43"/>
      <c r="T14" s="43"/>
      <c r="U14" s="43">
        <v>0.25</v>
      </c>
      <c r="V14" s="43"/>
      <c r="W14" s="43"/>
      <c r="X14" s="43">
        <v>0.25</v>
      </c>
      <c r="Y14" s="43"/>
      <c r="Z14" s="44"/>
      <c r="AA14" s="44"/>
      <c r="AB14" s="44"/>
      <c r="AC14" s="44"/>
      <c r="AD14" s="44"/>
      <c r="AE14" s="257" t="s">
        <v>1429</v>
      </c>
      <c r="AF14" s="257" t="s">
        <v>1430</v>
      </c>
      <c r="AG14" s="342"/>
      <c r="AH14" s="342"/>
    </row>
    <row r="15" spans="1:34" ht="37.15" customHeight="1" thickBot="1" x14ac:dyDescent="0.4">
      <c r="A15" s="260"/>
      <c r="B15" s="260"/>
      <c r="C15" s="260"/>
      <c r="D15" s="260"/>
      <c r="E15" s="260"/>
      <c r="F15" s="260"/>
      <c r="G15" s="260"/>
      <c r="H15" s="260"/>
      <c r="I15" s="260"/>
      <c r="J15" s="266"/>
      <c r="K15" s="266"/>
      <c r="L15" s="266"/>
      <c r="M15" s="267"/>
      <c r="N15" s="267"/>
      <c r="O15" s="64" t="s">
        <v>89</v>
      </c>
      <c r="P15" s="52">
        <f>100%/5</f>
        <v>0.2</v>
      </c>
      <c r="Q15" s="71">
        <f t="shared" si="0"/>
        <v>1</v>
      </c>
      <c r="R15" s="42"/>
      <c r="S15" s="42"/>
      <c r="T15" s="42"/>
      <c r="U15" s="42">
        <v>0.25</v>
      </c>
      <c r="V15" s="42"/>
      <c r="W15" s="42"/>
      <c r="X15" s="42">
        <v>0.25</v>
      </c>
      <c r="Y15" s="42"/>
      <c r="Z15" s="42"/>
      <c r="AA15" s="42">
        <v>0.25</v>
      </c>
      <c r="AB15" s="42"/>
      <c r="AC15" s="42"/>
      <c r="AD15" s="42">
        <v>0.25</v>
      </c>
      <c r="AE15" s="363"/>
      <c r="AF15" s="363"/>
      <c r="AG15" s="343"/>
      <c r="AH15" s="343"/>
    </row>
    <row r="16" spans="1:34" ht="37.15" customHeight="1" thickBot="1" x14ac:dyDescent="0.4">
      <c r="A16" s="259">
        <v>2</v>
      </c>
      <c r="B16" s="259" t="s">
        <v>192</v>
      </c>
      <c r="C16" s="259" t="s">
        <v>103</v>
      </c>
      <c r="D16" s="259" t="s">
        <v>986</v>
      </c>
      <c r="E16" s="259" t="s">
        <v>1390</v>
      </c>
      <c r="F16" s="259" t="s">
        <v>1341</v>
      </c>
      <c r="G16" s="259" t="s">
        <v>1431</v>
      </c>
      <c r="H16" s="259" t="s">
        <v>1432</v>
      </c>
      <c r="I16" s="259" t="s">
        <v>1433</v>
      </c>
      <c r="J16" s="261" t="s">
        <v>1427</v>
      </c>
      <c r="K16" s="754" t="s">
        <v>1434</v>
      </c>
      <c r="L16" s="261" t="s">
        <v>272</v>
      </c>
      <c r="M16" s="263">
        <v>45108</v>
      </c>
      <c r="N16" s="263">
        <v>45275</v>
      </c>
      <c r="O16" s="64" t="s">
        <v>86</v>
      </c>
      <c r="P16" s="53">
        <f>+(P17*Q16)</f>
        <v>0</v>
      </c>
      <c r="Q16" s="71">
        <f t="shared" ref="Q16:Q23" si="1">SUM(R16:AD16)</f>
        <v>0</v>
      </c>
      <c r="R16" s="43"/>
      <c r="S16" s="43"/>
      <c r="T16" s="43"/>
      <c r="U16" s="43"/>
      <c r="V16" s="43"/>
      <c r="W16" s="43"/>
      <c r="X16" s="43"/>
      <c r="Y16" s="43"/>
      <c r="Z16" s="44"/>
      <c r="AA16" s="44"/>
      <c r="AB16" s="44"/>
      <c r="AC16" s="44"/>
      <c r="AD16" s="44"/>
      <c r="AE16" s="362"/>
      <c r="AF16" s="366"/>
      <c r="AG16" s="342"/>
      <c r="AH16" s="342"/>
    </row>
    <row r="17" spans="1:34" ht="37.15" customHeight="1" thickBot="1" x14ac:dyDescent="0.4">
      <c r="A17" s="260"/>
      <c r="B17" s="260"/>
      <c r="C17" s="260"/>
      <c r="D17" s="260"/>
      <c r="E17" s="260"/>
      <c r="F17" s="260"/>
      <c r="G17" s="260"/>
      <c r="H17" s="260"/>
      <c r="I17" s="260"/>
      <c r="J17" s="266"/>
      <c r="K17" s="755"/>
      <c r="L17" s="266"/>
      <c r="M17" s="267"/>
      <c r="N17" s="267"/>
      <c r="O17" s="64" t="s">
        <v>89</v>
      </c>
      <c r="P17" s="52">
        <f>100%/5</f>
        <v>0.2</v>
      </c>
      <c r="Q17" s="71">
        <f t="shared" si="1"/>
        <v>1</v>
      </c>
      <c r="R17" s="42"/>
      <c r="S17" s="42"/>
      <c r="T17" s="42"/>
      <c r="U17" s="42"/>
      <c r="V17" s="42"/>
      <c r="W17" s="42"/>
      <c r="X17" s="42"/>
      <c r="Y17" s="42"/>
      <c r="Z17" s="42"/>
      <c r="AA17" s="42"/>
      <c r="AB17" s="42"/>
      <c r="AC17" s="42"/>
      <c r="AD17" s="42">
        <v>1</v>
      </c>
      <c r="AE17" s="363"/>
      <c r="AF17" s="367"/>
      <c r="AG17" s="343"/>
      <c r="AH17" s="343"/>
    </row>
    <row r="18" spans="1:34" ht="37.15" customHeight="1" thickBot="1" x14ac:dyDescent="0.4">
      <c r="A18" s="259">
        <v>3</v>
      </c>
      <c r="B18" s="259" t="s">
        <v>192</v>
      </c>
      <c r="C18" s="259" t="s">
        <v>103</v>
      </c>
      <c r="D18" s="259" t="s">
        <v>986</v>
      </c>
      <c r="E18" s="259" t="s">
        <v>1390</v>
      </c>
      <c r="F18" s="259" t="s">
        <v>1232</v>
      </c>
      <c r="G18" s="259" t="s">
        <v>1435</v>
      </c>
      <c r="H18" s="259" t="s">
        <v>1436</v>
      </c>
      <c r="I18" s="259" t="s">
        <v>1437</v>
      </c>
      <c r="J18" s="261" t="s">
        <v>1427</v>
      </c>
      <c r="K18" s="754" t="s">
        <v>1434</v>
      </c>
      <c r="L18" s="261" t="s">
        <v>85</v>
      </c>
      <c r="M18" s="263">
        <v>44927</v>
      </c>
      <c r="N18" s="263">
        <v>45291</v>
      </c>
      <c r="O18" s="64" t="s">
        <v>86</v>
      </c>
      <c r="P18" s="53">
        <f>+(P19*Q18)</f>
        <v>0.1</v>
      </c>
      <c r="Q18" s="71">
        <f t="shared" si="1"/>
        <v>0.5</v>
      </c>
      <c r="R18" s="43"/>
      <c r="S18" s="43"/>
      <c r="T18" s="43"/>
      <c r="U18" s="43">
        <v>0.25</v>
      </c>
      <c r="V18" s="43"/>
      <c r="W18" s="43"/>
      <c r="X18" s="43">
        <v>0.25</v>
      </c>
      <c r="Y18" s="43"/>
      <c r="Z18" s="44"/>
      <c r="AA18" s="44"/>
      <c r="AB18" s="44"/>
      <c r="AC18" s="44"/>
      <c r="AD18" s="44"/>
      <c r="AE18" s="752" t="s">
        <v>1438</v>
      </c>
      <c r="AF18" s="752" t="s">
        <v>1439</v>
      </c>
      <c r="AG18" s="342"/>
      <c r="AH18" s="342"/>
    </row>
    <row r="19" spans="1:34" ht="37.15" customHeight="1" thickBot="1" x14ac:dyDescent="0.4">
      <c r="A19" s="260"/>
      <c r="B19" s="260"/>
      <c r="C19" s="260"/>
      <c r="D19" s="260"/>
      <c r="E19" s="260"/>
      <c r="F19" s="260"/>
      <c r="G19" s="260"/>
      <c r="H19" s="260"/>
      <c r="I19" s="260"/>
      <c r="J19" s="266"/>
      <c r="K19" s="755"/>
      <c r="L19" s="266"/>
      <c r="M19" s="267"/>
      <c r="N19" s="267"/>
      <c r="O19" s="64" t="s">
        <v>89</v>
      </c>
      <c r="P19" s="52">
        <f>100%/5</f>
        <v>0.2</v>
      </c>
      <c r="Q19" s="71">
        <f t="shared" si="1"/>
        <v>1</v>
      </c>
      <c r="R19" s="42"/>
      <c r="S19" s="42"/>
      <c r="T19" s="42"/>
      <c r="U19" s="42">
        <v>0.25</v>
      </c>
      <c r="V19" s="42"/>
      <c r="W19" s="42"/>
      <c r="X19" s="42">
        <v>0.25</v>
      </c>
      <c r="Y19" s="42"/>
      <c r="Z19" s="42"/>
      <c r="AA19" s="42">
        <v>0.25</v>
      </c>
      <c r="AB19" s="42"/>
      <c r="AC19" s="42"/>
      <c r="AD19" s="42">
        <v>0.25</v>
      </c>
      <c r="AE19" s="753"/>
      <c r="AF19" s="753"/>
      <c r="AG19" s="343"/>
      <c r="AH19" s="343"/>
    </row>
    <row r="20" spans="1:34" ht="37.15" customHeight="1" thickBot="1" x14ac:dyDescent="0.4">
      <c r="A20" s="259">
        <v>4</v>
      </c>
      <c r="B20" s="259" t="s">
        <v>192</v>
      </c>
      <c r="C20" s="259" t="s">
        <v>103</v>
      </c>
      <c r="D20" s="259" t="s">
        <v>986</v>
      </c>
      <c r="E20" s="259" t="s">
        <v>1390</v>
      </c>
      <c r="F20" s="259" t="s">
        <v>1232</v>
      </c>
      <c r="G20" s="259" t="s">
        <v>1440</v>
      </c>
      <c r="H20" s="259" t="s">
        <v>1441</v>
      </c>
      <c r="I20" s="259" t="s">
        <v>1442</v>
      </c>
      <c r="J20" s="57" t="s">
        <v>1427</v>
      </c>
      <c r="K20" s="259"/>
      <c r="L20" s="261" t="s">
        <v>126</v>
      </c>
      <c r="M20" s="263">
        <v>44927</v>
      </c>
      <c r="N20" s="263">
        <v>45291</v>
      </c>
      <c r="O20" s="64" t="s">
        <v>86</v>
      </c>
      <c r="P20" s="53">
        <f>+(P21*Q20)</f>
        <v>0.1</v>
      </c>
      <c r="Q20" s="71">
        <f t="shared" si="1"/>
        <v>0.5</v>
      </c>
      <c r="R20" s="43"/>
      <c r="S20" s="43"/>
      <c r="T20" s="43"/>
      <c r="U20" s="43"/>
      <c r="V20" s="43"/>
      <c r="W20" s="43"/>
      <c r="X20" s="43">
        <v>0.5</v>
      </c>
      <c r="Y20" s="43"/>
      <c r="Z20" s="44"/>
      <c r="AA20" s="44"/>
      <c r="AB20" s="44"/>
      <c r="AC20" s="44"/>
      <c r="AD20" s="44"/>
      <c r="AE20" s="362"/>
      <c r="AF20" s="366" t="s">
        <v>1443</v>
      </c>
      <c r="AG20" s="342"/>
      <c r="AH20" s="342"/>
    </row>
    <row r="21" spans="1:34" ht="46.9" customHeight="1" thickBot="1" x14ac:dyDescent="0.4">
      <c r="A21" s="260"/>
      <c r="B21" s="260"/>
      <c r="C21" s="260"/>
      <c r="D21" s="260"/>
      <c r="E21" s="260"/>
      <c r="F21" s="260"/>
      <c r="G21" s="260"/>
      <c r="H21" s="260"/>
      <c r="I21" s="260"/>
      <c r="J21" s="59" t="s">
        <v>1444</v>
      </c>
      <c r="K21" s="260"/>
      <c r="L21" s="266"/>
      <c r="M21" s="267"/>
      <c r="N21" s="267"/>
      <c r="O21" s="64" t="s">
        <v>89</v>
      </c>
      <c r="P21" s="52">
        <f>100%/5</f>
        <v>0.2</v>
      </c>
      <c r="Q21" s="71">
        <f t="shared" si="1"/>
        <v>1</v>
      </c>
      <c r="R21" s="42"/>
      <c r="S21" s="42"/>
      <c r="T21" s="42"/>
      <c r="U21" s="42"/>
      <c r="V21" s="42"/>
      <c r="W21" s="42"/>
      <c r="X21" s="42">
        <v>0.5</v>
      </c>
      <c r="Y21" s="42"/>
      <c r="Z21" s="42"/>
      <c r="AA21" s="42"/>
      <c r="AB21" s="42"/>
      <c r="AC21" s="42"/>
      <c r="AD21" s="42">
        <v>0.5</v>
      </c>
      <c r="AE21" s="363"/>
      <c r="AF21" s="367"/>
      <c r="AG21" s="343"/>
      <c r="AH21" s="343"/>
    </row>
    <row r="22" spans="1:34" ht="37.15" customHeight="1" thickBot="1" x14ac:dyDescent="0.4">
      <c r="A22" s="259">
        <v>5</v>
      </c>
      <c r="B22" s="259" t="s">
        <v>192</v>
      </c>
      <c r="C22" s="259" t="s">
        <v>103</v>
      </c>
      <c r="D22" s="259" t="s">
        <v>986</v>
      </c>
      <c r="E22" s="259" t="s">
        <v>1390</v>
      </c>
      <c r="F22" s="259" t="s">
        <v>1341</v>
      </c>
      <c r="G22" s="400" t="s">
        <v>1445</v>
      </c>
      <c r="H22" s="400" t="s">
        <v>1446</v>
      </c>
      <c r="I22" s="400" t="s">
        <v>1447</v>
      </c>
      <c r="J22" s="400" t="s">
        <v>1427</v>
      </c>
      <c r="K22" s="400" t="s">
        <v>1448</v>
      </c>
      <c r="L22" s="729" t="s">
        <v>85</v>
      </c>
      <c r="M22" s="756">
        <v>44927</v>
      </c>
      <c r="N22" s="756">
        <v>45291</v>
      </c>
      <c r="O22" s="64" t="s">
        <v>86</v>
      </c>
      <c r="P22" s="53">
        <f>+(P23*Q22)</f>
        <v>0.1004</v>
      </c>
      <c r="Q22" s="71">
        <f t="shared" si="1"/>
        <v>0.502</v>
      </c>
      <c r="R22" s="45"/>
      <c r="S22" s="45"/>
      <c r="T22" s="45"/>
      <c r="U22" s="43">
        <v>0.25</v>
      </c>
      <c r="V22" s="43"/>
      <c r="W22" s="43"/>
      <c r="X22" s="43">
        <v>0.252</v>
      </c>
      <c r="Y22" s="43"/>
      <c r="Z22" s="44"/>
      <c r="AA22" s="44"/>
      <c r="AB22" s="44"/>
      <c r="AC22" s="44"/>
      <c r="AD22" s="44"/>
      <c r="AE22" s="741" t="s">
        <v>1449</v>
      </c>
      <c r="AF22" s="741" t="s">
        <v>1450</v>
      </c>
      <c r="AG22" s="743"/>
      <c r="AH22" s="745"/>
    </row>
    <row r="23" spans="1:34" ht="37.15" customHeight="1" x14ac:dyDescent="0.35">
      <c r="A23" s="260"/>
      <c r="B23" s="260"/>
      <c r="C23" s="260"/>
      <c r="D23" s="260"/>
      <c r="E23" s="260"/>
      <c r="F23" s="260"/>
      <c r="G23" s="402"/>
      <c r="H23" s="402"/>
      <c r="I23" s="402"/>
      <c r="J23" s="402"/>
      <c r="K23" s="402"/>
      <c r="L23" s="730"/>
      <c r="M23" s="757"/>
      <c r="N23" s="757"/>
      <c r="O23" s="64" t="s">
        <v>89</v>
      </c>
      <c r="P23" s="52">
        <f>100%/5</f>
        <v>0.2</v>
      </c>
      <c r="Q23" s="71">
        <f t="shared" si="1"/>
        <v>1</v>
      </c>
      <c r="R23" s="42"/>
      <c r="S23" s="42"/>
      <c r="T23" s="42"/>
      <c r="U23" s="42">
        <v>0.25</v>
      </c>
      <c r="V23" s="42"/>
      <c r="W23" s="42"/>
      <c r="X23" s="42">
        <v>0.25</v>
      </c>
      <c r="Y23" s="42"/>
      <c r="Z23" s="42"/>
      <c r="AA23" s="42">
        <v>0.25</v>
      </c>
      <c r="AB23" s="42"/>
      <c r="AC23" s="42"/>
      <c r="AD23" s="42">
        <v>0.25</v>
      </c>
      <c r="AE23" s="742"/>
      <c r="AF23" s="742"/>
      <c r="AG23" s="744"/>
      <c r="AH23" s="746"/>
    </row>
    <row r="25" spans="1:34" s="13" customFormat="1" ht="30" hidden="1" customHeight="1" x14ac:dyDescent="0.35">
      <c r="D25" s="249" t="s">
        <v>32</v>
      </c>
      <c r="E25" s="249"/>
      <c r="F25" s="21">
        <v>1</v>
      </c>
      <c r="H25" s="253" t="s">
        <v>129</v>
      </c>
      <c r="I25" s="22" t="s">
        <v>130</v>
      </c>
      <c r="J25" s="54" t="e">
        <f>SUM(N25:AC25)</f>
        <v>#REF!</v>
      </c>
      <c r="K25" s="33"/>
      <c r="L25" s="33"/>
      <c r="M25" s="33"/>
      <c r="N25" s="33" t="e">
        <f>+(V14*$P$15)+(V16*$P$17)+(V18*$P$19)+(V20*$P$21)+(V22*#REF!)+(#REF!*#REF!)+(#REF!*#REF!)+(#REF!*#REF!)+(#REF!*#REF!)+(#REF!*#REF!)+(#REF!*#REF!)+(#REF!*#REF!)+(#REF!*#REF!)</f>
        <v>#REF!</v>
      </c>
      <c r="O25" s="33" t="e">
        <f>+(AC14*$P$15)+(AC16*$P$17)+(AC18*$P$19)+(AC20*$P$21)+(AC22*#REF!)+(#REF!*#REF!)+(#REF!*#REF!)+(#REF!*#REF!)+(#REF!*#REF!)+(#REF!*#REF!)+(#REF!*#REF!)+(#REF!*#REF!)+(#REF!*#REF!)</f>
        <v>#REF!</v>
      </c>
      <c r="P25" s="36" t="e">
        <f>+(#REF!*$P$15)+(#REF!*$P$17)+(#REF!*$P$19)+(#REF!*$P$21)+(#REF!*#REF!)+(#REF!*#REF!)+(#REF!*#REF!)+(#REF!*#REF!)+(#REF!*#REF!)+(#REF!*#REF!)+(#REF!*#REF!)+(#REF!*#REF!)+(#REF!*#REF!)</f>
        <v>#REF!</v>
      </c>
      <c r="Q25" s="33" t="e">
        <f>+(#REF!*$P$15)+(#REF!*$P$17)+(#REF!*$P$19)+(#REF!*$P$21)+(#REF!*#REF!)+(#REF!*#REF!)+(#REF!*#REF!)+(#REF!*#REF!)+(#REF!*#REF!)+(#REF!*#REF!)+(#REF!*#REF!)+(#REF!*#REF!)+(#REF!*#REF!)</f>
        <v>#REF!</v>
      </c>
      <c r="R25" s="33" t="e">
        <f>+(#REF!*$P$15)+(#REF!*$P$17)+(#REF!*$P$19)+(#REF!*$P$21)+(#REF!*#REF!)+(#REF!*#REF!)+(#REF!*#REF!)+(#REF!*#REF!)+(#REF!*#REF!)+(#REF!*#REF!)+(#REF!*#REF!)+(#REF!*#REF!)+(#REF!*#REF!)</f>
        <v>#REF!</v>
      </c>
      <c r="S25" s="33" t="e">
        <f>+(#REF!*$P$15)+(#REF!*$P$17)+(#REF!*$P$19)+(#REF!*$P$21)+(#REF!*#REF!)+(#REF!*#REF!)+(#REF!*#REF!)+(#REF!*#REF!)+(#REF!*#REF!)+(#REF!*#REF!)+(#REF!*#REF!)+(#REF!*#REF!)+(#REF!*#REF!)</f>
        <v>#REF!</v>
      </c>
      <c r="T25" s="33" t="e">
        <f>+(#REF!*$P$15)+(#REF!*$P$17)+(#REF!*$P$19)+(#REF!*$P$21)+(#REF!*#REF!)+(#REF!*#REF!)+(#REF!*#REF!)+(#REF!*#REF!)+(#REF!*#REF!)+(#REF!*#REF!)+(#REF!*#REF!)+(#REF!*#REF!)+(#REF!*#REF!)</f>
        <v>#REF!</v>
      </c>
      <c r="U25" s="33" t="e">
        <f>+(#REF!*$P$15)+(#REF!*$P$17)+(#REF!*$P$19)+(#REF!*$P$21)+(#REF!*#REF!)+(#REF!*#REF!)+(#REF!*#REF!)+(#REF!*#REF!)+(#REF!*#REF!)+(#REF!*#REF!)+(#REF!*#REF!)+(#REF!*#REF!)+(#REF!*#REF!)</f>
        <v>#REF!</v>
      </c>
      <c r="V25" s="33" t="e">
        <f>+(#REF!*$P$15)+(#REF!*$P$17)+(#REF!*$P$19)+(#REF!*$P$21)+(#REF!*#REF!)+(#REF!*#REF!)+(#REF!*#REF!)+(#REF!*#REF!)+(#REF!*#REF!)+(#REF!*#REF!)+(#REF!*#REF!)+(#REF!*#REF!)+(#REF!*#REF!)</f>
        <v>#REF!</v>
      </c>
      <c r="W25" s="33" t="e">
        <f>+(#REF!*$P$15)+(#REF!*$P$17)+(#REF!*$P$19)+(#REF!*$P$21)+(#REF!*#REF!)+(#REF!*#REF!)+(#REF!*#REF!)+(#REF!*#REF!)+(#REF!*#REF!)+(#REF!*#REF!)+(#REF!*#REF!)+(#REF!*#REF!)+(#REF!*#REF!)</f>
        <v>#REF!</v>
      </c>
      <c r="X25" s="33" t="e">
        <f>+(#REF!*$P$15)+(#REF!*$P$17)+(#REF!*$P$19)+(#REF!*$P$21)+(#REF!*#REF!)+(#REF!*#REF!)+(#REF!*#REF!)+(#REF!*#REF!)+(#REF!*#REF!)+(#REF!*#REF!)+(#REF!*#REF!)+(#REF!*#REF!)+(#REF!*#REF!)</f>
        <v>#REF!</v>
      </c>
      <c r="Y25" s="33" t="e">
        <f>+(#REF!*$P$15)+(#REF!*$P$17)+(#REF!*$P$19)+(#REF!*$P$21)+(#REF!*#REF!)+(#REF!*#REF!)+(#REF!*#REF!)+(#REF!*#REF!)+(#REF!*#REF!)+(#REF!*#REF!)+(#REF!*#REF!)+(#REF!*#REF!)+(#REF!*#REF!)</f>
        <v>#REF!</v>
      </c>
      <c r="Z25" s="33" t="e">
        <f>+(#REF!*$P$15)+(#REF!*$P$17)+(#REF!*$P$19)+(#REF!*$P$21)+(#REF!*#REF!)+(#REF!*#REF!)+(#REF!*#REF!)+(#REF!*#REF!)+(#REF!*#REF!)+(#REF!*#REF!)+(#REF!*#REF!)+(#REF!*#REF!)+(#REF!*#REF!)</f>
        <v>#REF!</v>
      </c>
      <c r="AA25" s="33" t="e">
        <f>+(#REF!*$P$15)+(#REF!*$P$17)+(#REF!*$P$19)+(#REF!*$P$21)+(#REF!*#REF!)+(#REF!*#REF!)+(#REF!*#REF!)+(#REF!*#REF!)+(#REF!*#REF!)+(#REF!*#REF!)+(#REF!*#REF!)+(#REF!*#REF!)+(#REF!*#REF!)</f>
        <v>#REF!</v>
      </c>
      <c r="AB25" s="36" t="e">
        <f>+(#REF!*$P$15)+(#REF!*$P$17)+(#REF!*$P$19)+(#REF!*$P$21)+(#REF!*#REF!)+(#REF!*#REF!)+(#REF!*#REF!)+(#REF!*#REF!)+(#REF!*#REF!)+(#REF!*#REF!)+(#REF!*#REF!)+(#REF!*#REF!)+(#REF!*#REF!)</f>
        <v>#REF!</v>
      </c>
      <c r="AC25" s="33" t="e">
        <f>+(#REF!*$P$15)+(#REF!*$P$17)+(#REF!*$P$19)+(#REF!*$P$21)+(#REF!*#REF!)+(#REF!*#REF!)+(#REF!*#REF!)+(#REF!*#REF!)+(#REF!*#REF!)+(#REF!*#REF!)+(#REF!*#REF!)+(#REF!*#REF!)+(#REF!*#REF!)</f>
        <v>#REF!</v>
      </c>
      <c r="AD25" s="66"/>
    </row>
    <row r="26" spans="1:34" s="13" customFormat="1" ht="30" hidden="1" customHeight="1" x14ac:dyDescent="0.35">
      <c r="D26" s="249"/>
      <c r="E26" s="249"/>
      <c r="F26" s="21"/>
      <c r="H26" s="254"/>
      <c r="I26" s="15" t="s">
        <v>131</v>
      </c>
      <c r="J26" s="17"/>
      <c r="K26" s="34"/>
      <c r="L26" s="34"/>
      <c r="M26" s="34"/>
      <c r="N26" s="34"/>
      <c r="O26" s="34" t="e">
        <f>SUM(O25:O25)</f>
        <v>#REF!</v>
      </c>
      <c r="P26" s="37"/>
      <c r="Q26" s="34"/>
      <c r="R26" s="34"/>
      <c r="S26" s="27" t="e">
        <f>SUM(P25:S25)</f>
        <v>#REF!</v>
      </c>
      <c r="T26" s="27"/>
      <c r="U26" s="27"/>
      <c r="V26" s="27"/>
      <c r="W26" s="27" t="e">
        <f>SUM(T25:W25)</f>
        <v>#REF!</v>
      </c>
      <c r="X26" s="27"/>
      <c r="Y26" s="27"/>
      <c r="Z26" s="27"/>
      <c r="AA26" s="27" t="e">
        <f>SUM(X25:AA25)</f>
        <v>#REF!</v>
      </c>
      <c r="AB26" s="39"/>
      <c r="AC26" s="27"/>
      <c r="AD26" s="67"/>
    </row>
    <row r="27" spans="1:34" s="13" customFormat="1" ht="30" hidden="1" customHeight="1" x14ac:dyDescent="0.35">
      <c r="H27" s="254"/>
      <c r="I27" s="15" t="s">
        <v>132</v>
      </c>
      <c r="J27" s="14"/>
      <c r="K27" s="34"/>
      <c r="L27" s="34"/>
      <c r="M27" s="34"/>
      <c r="N27" s="34"/>
      <c r="O27" s="34" t="e">
        <f>+#REF!+O26</f>
        <v>#REF!</v>
      </c>
      <c r="P27" s="37"/>
      <c r="Q27" s="34"/>
      <c r="R27" s="34"/>
      <c r="S27" s="26"/>
      <c r="T27" s="27"/>
      <c r="U27" s="27"/>
      <c r="V27" s="27"/>
      <c r="W27" s="27"/>
      <c r="X27" s="27"/>
      <c r="Y27" s="27"/>
      <c r="Z27" s="27"/>
      <c r="AA27" s="27" t="e">
        <f>+S26+W26+AA26</f>
        <v>#REF!</v>
      </c>
      <c r="AB27" s="39"/>
      <c r="AC27" s="27"/>
      <c r="AD27" s="67"/>
    </row>
    <row r="28" spans="1:34" s="13" customFormat="1" ht="30" hidden="1" customHeight="1" x14ac:dyDescent="0.35">
      <c r="H28" s="255"/>
      <c r="I28" s="18" t="s">
        <v>133</v>
      </c>
      <c r="J28" s="19"/>
      <c r="K28" s="35"/>
      <c r="L28" s="35"/>
      <c r="M28" s="35"/>
      <c r="N28" s="35"/>
      <c r="O28" s="35"/>
      <c r="P28" s="38"/>
      <c r="Q28" s="35"/>
      <c r="R28" s="35"/>
      <c r="S28" s="28"/>
      <c r="T28" s="29"/>
      <c r="U28" s="29"/>
      <c r="V28" s="29"/>
      <c r="W28" s="29"/>
      <c r="X28" s="29"/>
      <c r="Y28" s="29"/>
      <c r="Z28" s="29"/>
      <c r="AA28" s="29" t="e">
        <f>+O27+AA27</f>
        <v>#REF!</v>
      </c>
      <c r="AB28" s="40"/>
      <c r="AC28" s="29"/>
      <c r="AD28" s="67"/>
    </row>
    <row r="29" spans="1:34" s="13" customFormat="1" ht="30" hidden="1" customHeight="1" x14ac:dyDescent="0.35">
      <c r="H29" s="256" t="s">
        <v>134</v>
      </c>
      <c r="I29" s="15" t="s">
        <v>135</v>
      </c>
      <c r="J29" s="23" t="e">
        <f>SUM(N29:AC29)</f>
        <v>#REF!</v>
      </c>
      <c r="K29" s="34"/>
      <c r="L29" s="34"/>
      <c r="M29" s="34"/>
      <c r="N29" s="34" t="e">
        <f>+(V15*$P$15)+(V17*$P$17)+(V19*$P$19)+(V21*$P$21)+(#REF!*#REF!)+(#REF!*#REF!)+(#REF!*#REF!)+(#REF!*#REF!)+(#REF!*#REF!)+(#REF!*#REF!)+(#REF!*#REF!)+(#REF!*#REF!)+(#REF!*#REF!)</f>
        <v>#REF!</v>
      </c>
      <c r="O29" s="34" t="e">
        <f>+(AC15*$P$15)+(AC17*$P$17)+(AC19*$P$19)+(AC21*$P$21)+(#REF!*#REF!)+(#REF!*#REF!)+(#REF!*#REF!)+(#REF!*#REF!)+(#REF!*#REF!)+(#REF!*#REF!)+(#REF!*#REF!)+(#REF!*#REF!)+(#REF!*#REF!)</f>
        <v>#REF!</v>
      </c>
      <c r="P29" s="37" t="e">
        <f>+(#REF!*$P$15)+(#REF!*$P$17)+(#REF!*$P$19)+(#REF!*$P$21)+(#REF!*#REF!)+(#REF!*#REF!)+(#REF!*#REF!)+(#REF!*#REF!)+(#REF!*#REF!)+(#REF!*#REF!)+(#REF!*#REF!)+(#REF!*#REF!)+(#REF!*#REF!)</f>
        <v>#REF!</v>
      </c>
      <c r="Q29" s="34" t="e">
        <f>+(#REF!*$P$15)+(#REF!*$P$17)+(#REF!*$P$19)+(#REF!*$P$21)+(#REF!*#REF!)+(#REF!*#REF!)+(#REF!*#REF!)+(#REF!*#REF!)+(#REF!*#REF!)+(#REF!*#REF!)+(#REF!*#REF!)+(#REF!*#REF!)+(#REF!*#REF!)</f>
        <v>#REF!</v>
      </c>
      <c r="R29" s="34" t="e">
        <f>+(#REF!*$P$15)+(#REF!*$P$17)+(#REF!*$P$19)+(#REF!*$P$21)+(#REF!*#REF!)+(#REF!*#REF!)+(#REF!*#REF!)+(#REF!*#REF!)+(#REF!*#REF!)+(#REF!*#REF!)+(#REF!*#REF!)+(#REF!*#REF!)+(#REF!*#REF!)</f>
        <v>#REF!</v>
      </c>
      <c r="S29" s="34" t="e">
        <f>+(#REF!*$P$15)+(#REF!*$P$17)+(#REF!*$P$19)+(#REF!*$P$21)+(#REF!*#REF!)+(#REF!*#REF!)+(#REF!*#REF!)+(#REF!*#REF!)+(#REF!*#REF!)+(#REF!*#REF!)+(#REF!*#REF!)+(#REF!*#REF!)+(#REF!*#REF!)</f>
        <v>#REF!</v>
      </c>
      <c r="T29" s="34" t="e">
        <f>+(#REF!*$P$15)+(#REF!*$P$17)+(#REF!*$P$19)+(#REF!*$P$21)+(#REF!*#REF!)+(#REF!*#REF!)+(#REF!*#REF!)+(#REF!*#REF!)+(#REF!*#REF!)+(#REF!*#REF!)+(#REF!*#REF!)+(#REF!*#REF!)+(#REF!*#REF!)</f>
        <v>#REF!</v>
      </c>
      <c r="U29" s="34" t="e">
        <f>+(#REF!*$P$15)+(#REF!*$P$17)+(#REF!*$P$19)+(#REF!*$P$21)+(#REF!*#REF!)+(#REF!*#REF!)+(#REF!*#REF!)+(#REF!*#REF!)+(#REF!*#REF!)+(#REF!*#REF!)+(#REF!*#REF!)+(#REF!*#REF!)+(#REF!*#REF!)</f>
        <v>#REF!</v>
      </c>
      <c r="V29" s="34" t="e">
        <f>+(#REF!*$P$15)+(#REF!*$P$17)+(#REF!*$P$19)+(#REF!*$P$21)+(#REF!*#REF!)+(#REF!*#REF!)+(#REF!*#REF!)+(#REF!*#REF!)+(#REF!*#REF!)+(#REF!*#REF!)+(#REF!*#REF!)+(#REF!*#REF!)+(#REF!*#REF!)</f>
        <v>#REF!</v>
      </c>
      <c r="W29" s="34" t="e">
        <f>+(#REF!*$P$15)+(#REF!*$P$17)+(#REF!*$P$19)+(#REF!*$P$21)+(#REF!*#REF!)+(#REF!*#REF!)+(#REF!*#REF!)+(#REF!*#REF!)+(#REF!*#REF!)+(#REF!*#REF!)+(#REF!*#REF!)+(#REF!*#REF!)+(#REF!*#REF!)</f>
        <v>#REF!</v>
      </c>
      <c r="X29" s="34" t="e">
        <f>+(#REF!*$P$15)+(#REF!*$P$17)+(#REF!*$P$19)+(#REF!*$P$21)+(#REF!*#REF!)+(#REF!*#REF!)+(#REF!*#REF!)+(#REF!*#REF!)+(#REF!*#REF!)+(#REF!*#REF!)+(#REF!*#REF!)+(#REF!*#REF!)+(#REF!*#REF!)</f>
        <v>#REF!</v>
      </c>
      <c r="Y29" s="34" t="e">
        <f>+(#REF!*$P$15)+(#REF!*$P$17)+(#REF!*$P$19)+(#REF!*$P$21)+(#REF!*#REF!)+(#REF!*#REF!)+(#REF!*#REF!)+(#REF!*#REF!)+(#REF!*#REF!)+(#REF!*#REF!)+(#REF!*#REF!)+(#REF!*#REF!)+(#REF!*#REF!)</f>
        <v>#REF!</v>
      </c>
      <c r="Z29" s="34" t="e">
        <f>+(#REF!*$P$15)+(#REF!*$P$17)+(#REF!*$P$19)+(#REF!*$P$21)+(#REF!*#REF!)+(#REF!*#REF!)+(#REF!*#REF!)+(#REF!*#REF!)+(#REF!*#REF!)+(#REF!*#REF!)+(#REF!*#REF!)+(#REF!*#REF!)+(#REF!*#REF!)</f>
        <v>#REF!</v>
      </c>
      <c r="AA29" s="34" t="e">
        <f>+(#REF!*$P$15)+(#REF!*$P$17)+(#REF!*$P$19)+(#REF!*$P$21)+(#REF!*#REF!)+(#REF!*#REF!)+(#REF!*#REF!)+(#REF!*#REF!)+(#REF!*#REF!)+(#REF!*#REF!)+(#REF!*#REF!)+(#REF!*#REF!)+(#REF!*#REF!)</f>
        <v>#REF!</v>
      </c>
      <c r="AB29" s="37" t="e">
        <f>+(#REF!*$P$15)+(#REF!*$P$17)+(#REF!*$P$19)+(#REF!*$P$21)+(#REF!*#REF!)+(#REF!*#REF!)+(#REF!*#REF!)+(#REF!*#REF!)+(#REF!*#REF!)+(#REF!*#REF!)+(#REF!*#REF!)+(#REF!*#REF!)+(#REF!*#REF!)</f>
        <v>#REF!</v>
      </c>
      <c r="AC29" s="34" t="e">
        <f>+(#REF!*$P$15)+(#REF!*$P$17)+(#REF!*$P$19)+(#REF!*$P$21)+(#REF!*#REF!)+(#REF!*#REF!)+(#REF!*#REF!)+(#REF!*#REF!)+(#REF!*#REF!)+(#REF!*#REF!)+(#REF!*#REF!)+(#REF!*#REF!)+(#REF!*#REF!)</f>
        <v>#REF!</v>
      </c>
      <c r="AD29" s="66"/>
    </row>
    <row r="30" spans="1:34" s="13" customFormat="1" ht="30" hidden="1" customHeight="1" x14ac:dyDescent="0.35">
      <c r="H30" s="254"/>
      <c r="I30" s="15" t="s">
        <v>136</v>
      </c>
      <c r="J30" s="16"/>
      <c r="K30" s="34"/>
      <c r="L30" s="34"/>
      <c r="M30" s="34"/>
      <c r="N30" s="34"/>
      <c r="O30" s="34" t="e">
        <f>SUM(O29:O29)</f>
        <v>#REF!</v>
      </c>
      <c r="P30" s="37"/>
      <c r="Q30" s="34"/>
      <c r="R30" s="34"/>
      <c r="S30" s="34" t="e">
        <f>SUM(P29:S29)</f>
        <v>#REF!</v>
      </c>
      <c r="T30" s="34"/>
      <c r="U30" s="34"/>
      <c r="V30" s="34"/>
      <c r="W30" s="34" t="e">
        <f>SUM(T29:W29)</f>
        <v>#REF!</v>
      </c>
      <c r="X30" s="34"/>
      <c r="Y30" s="34"/>
      <c r="Z30" s="34"/>
      <c r="AA30" s="34" t="e">
        <f>SUM(X29:AA29)</f>
        <v>#REF!</v>
      </c>
      <c r="AB30" s="37"/>
      <c r="AC30" s="34"/>
      <c r="AD30" s="66"/>
    </row>
    <row r="31" spans="1:34" s="13" customFormat="1" ht="30" hidden="1" customHeight="1" x14ac:dyDescent="0.35">
      <c r="H31" s="254"/>
      <c r="I31" s="15" t="s">
        <v>137</v>
      </c>
      <c r="J31" s="14"/>
      <c r="K31" s="34"/>
      <c r="L31" s="34"/>
      <c r="M31" s="34"/>
      <c r="N31" s="34"/>
      <c r="O31" s="34" t="e">
        <f>+#REF!+O30</f>
        <v>#REF!</v>
      </c>
      <c r="P31" s="37"/>
      <c r="Q31" s="34"/>
      <c r="R31" s="34"/>
      <c r="S31" s="26"/>
      <c r="T31" s="27"/>
      <c r="U31" s="27"/>
      <c r="V31" s="27"/>
      <c r="W31" s="27"/>
      <c r="X31" s="27"/>
      <c r="Y31" s="27"/>
      <c r="Z31" s="27"/>
      <c r="AA31" s="27" t="e">
        <f>+S30+W30+AA30</f>
        <v>#REF!</v>
      </c>
      <c r="AB31" s="39"/>
      <c r="AC31" s="27"/>
      <c r="AD31" s="67"/>
    </row>
    <row r="32" spans="1:34" s="13" customFormat="1" ht="30" hidden="1" customHeight="1" x14ac:dyDescent="0.35">
      <c r="H32" s="255"/>
      <c r="I32" s="20" t="s">
        <v>138</v>
      </c>
      <c r="J32" s="19"/>
      <c r="K32" s="35"/>
      <c r="L32" s="35"/>
      <c r="M32" s="35"/>
      <c r="N32" s="35"/>
      <c r="O32" s="35"/>
      <c r="P32" s="38"/>
      <c r="Q32" s="35"/>
      <c r="R32" s="35"/>
      <c r="S32" s="28"/>
      <c r="T32" s="29"/>
      <c r="U32" s="29"/>
      <c r="V32" s="29"/>
      <c r="W32" s="29"/>
      <c r="X32" s="29"/>
      <c r="Y32" s="29"/>
      <c r="Z32" s="29"/>
      <c r="AA32" s="29" t="e">
        <f>+O31+AA31</f>
        <v>#REF!</v>
      </c>
      <c r="AB32" s="40"/>
      <c r="AC32" s="41"/>
      <c r="AD32" s="67"/>
    </row>
    <row r="33" spans="8:30" ht="30" hidden="1" customHeight="1" x14ac:dyDescent="0.35">
      <c r="H33" s="24"/>
      <c r="I33" s="251" t="s">
        <v>139</v>
      </c>
      <c r="J33" s="251"/>
      <c r="K33" s="46"/>
      <c r="L33" s="46"/>
      <c r="M33" s="46"/>
      <c r="N33" s="46" t="e">
        <f>+N25/N29</f>
        <v>#REF!</v>
      </c>
      <c r="O33" s="47" t="e">
        <f>+(N25+#REF!+#REF!+#REF!+#REF!+#REF!+#REF!+O25)/(N29+#REF!+#REF!+#REF!+#REF!+#REF!+#REF!+O29)</f>
        <v>#REF!</v>
      </c>
      <c r="P33" s="48" t="e">
        <f>+(N25+#REF!+#REF!+#REF!+#REF!+#REF!+#REF!+O25+P25)/(N29+#REF!+#REF!+#REF!+#REF!+#REF!+#REF!+O29+P29)</f>
        <v>#REF!</v>
      </c>
      <c r="Q33" s="46" t="e">
        <f>+(N25+#REF!+#REF!+#REF!+#REF!+#REF!+#REF!+O25+P25+Q25)/(N29+#REF!+#REF!+#REF!+#REF!+#REF!+#REF!+O29+P29+Q29)</f>
        <v>#REF!</v>
      </c>
      <c r="R33" s="46" t="e">
        <f>+(N25+#REF!+#REF!+#REF!+#REF!+#REF!+#REF!+O25+P25+Q25+R25)/(N29+#REF!+#REF!+#REF!+#REF!+#REF!+#REF!+O29+P29+Q29+R29)</f>
        <v>#REF!</v>
      </c>
      <c r="S33" s="47" t="e">
        <f>+(N25+#REF!+#REF!+#REF!+#REF!+#REF!+#REF!+O25+P25+Q25+R25+S25)/(N29+#REF!+#REF!+#REF!+#REF!+#REF!+#REF!+O29+P29+Q29+R29+S29)</f>
        <v>#REF!</v>
      </c>
      <c r="T33" s="46" t="e">
        <f>+(N25+#REF!+#REF!+#REF!+#REF!+#REF!+#REF!+O25+P25+Q25+R25+S25+T25)/(N29+#REF!+#REF!+#REF!+#REF!+#REF!+#REF!+O29+P29+Q29+R29+S29+T29)</f>
        <v>#REF!</v>
      </c>
      <c r="U33" s="46" t="e">
        <f>+(N25+#REF!+#REF!+#REF!+#REF!+#REF!+#REF!+O25+P25+Q25+R25+S25+T25+U25)/(N29+#REF!+#REF!+#REF!+#REF!+#REF!+#REF!+O29+P29+Q29+R29+S29+T29+U29)</f>
        <v>#REF!</v>
      </c>
      <c r="V33" s="46" t="e">
        <f>+(N25+#REF!+#REF!+#REF!+#REF!+#REF!+#REF!+O25+P25+Q25+R25+S25+T25+U25+V25)/(N29+#REF!+#REF!+#REF!+#REF!+#REF!+#REF!+O29+P29+Q29+R29+S29+T29+U29+V29)</f>
        <v>#REF!</v>
      </c>
      <c r="W33" s="47" t="e">
        <f>+(N25+#REF!+#REF!+#REF!+#REF!+#REF!+#REF!+O25+P25+Q25+R25+S25+T25+U25+V25+W25)/(N29+#REF!+#REF!+#REF!+#REF!+#REF!+#REF!+O29+P29+Q29+R29+S29+T29+U29+V29+W29)</f>
        <v>#REF!</v>
      </c>
      <c r="X33" s="46" t="e">
        <f>+(N25+#REF!+#REF!+#REF!+#REF!+#REF!+#REF!+O25+P25+Q25+R25+S25+T25+U25+V25+W25+X25)/(N29+#REF!+#REF!+#REF!+#REF!+#REF!+#REF!+O29+P29+Q29+R29+S29+T29+U29+V29+W29+X29)</f>
        <v>#REF!</v>
      </c>
      <c r="Y33" s="46" t="e">
        <f>+(N25+#REF!+#REF!+#REF!+#REF!+#REF!+#REF!+O25+P25+Q25+R25+S25+T25+U25+V25+W25+X25+Y25)/(N29+#REF!+#REF!+#REF!+#REF!+#REF!+#REF!+O29+P29+Q29+R29+S29+T29+U29+V29+W29+X29+Y29)</f>
        <v>#REF!</v>
      </c>
      <c r="Z33" s="46" t="e">
        <f>+(N25+#REF!+#REF!+#REF!+#REF!+#REF!+#REF!+O25+P25+Q25+R25+S25+T25+U25+V25+W25+X25+Y25+Z25)/(N29+#REF!+#REF!+#REF!+#REF!+#REF!+#REF!+O29+P29+Q29+R29+S29+T29+U29+V29+W29+X29+Y29+Z29)</f>
        <v>#REF!</v>
      </c>
      <c r="AA33" s="47" t="e">
        <f>+(N25+#REF!+#REF!+#REF!+#REF!+#REF!+#REF!+O25+P25+Q25+R25+S25+T25+U25+V25+W25+X25+Y25+Z25+AA25)/(N29+#REF!+#REF!+#REF!+#REF!+#REF!+#REF!+O29+P29+Q29+R29+S29+T29+U29+V29+W29+X29+Y29+Z29+AA29)</f>
        <v>#REF!</v>
      </c>
      <c r="AB33" s="48" t="e">
        <f>+(N25+#REF!+#REF!+#REF!+#REF!+#REF!+#REF!+O25+P25+Q25+R25+S25+T25+U25+V25+W25+X25+Y25+Z25+AA25+AB25)/(N29+#REF!+#REF!+#REF!+#REF!+#REF!+#REF!+O29+P29+Q29+R29+S29+T29+U29+V29+W29+X29+Y29+Z29+AA29+AB29)</f>
        <v>#REF!</v>
      </c>
      <c r="AC33" s="46" t="e">
        <f>+(N25+#REF!+#REF!+#REF!+#REF!+#REF!+#REF!+O25+P25+Q25+R25+S25+T25+U25+V25+W25+X25+Y25+Z25+AA25+AB25+AC25)/(N29+#REF!+#REF!+#REF!+#REF!+#REF!+#REF!+O29+P29+Q29+R29+S29+T29+U29+V29+W29+X29+Y29+Z29+AA29+AB29+AC29)</f>
        <v>#REF!</v>
      </c>
      <c r="AD33" s="68"/>
    </row>
    <row r="34" spans="8:30" ht="30" hidden="1" customHeight="1" x14ac:dyDescent="0.35">
      <c r="H34" s="24"/>
      <c r="I34" s="252" t="s">
        <v>140</v>
      </c>
      <c r="J34" s="252"/>
      <c r="K34" s="47"/>
      <c r="L34" s="47"/>
      <c r="M34" s="47"/>
      <c r="N34" s="47" t="e">
        <f>+N25/$F$25</f>
        <v>#REF!</v>
      </c>
      <c r="O34" s="47" t="e">
        <f>+(N25+#REF!+#REF!+#REF!+#REF!+#REF!+#REF!+O25)/$F$25</f>
        <v>#REF!</v>
      </c>
      <c r="P34" s="49" t="e">
        <f>+(N25+#REF!+#REF!+#REF!+#REF!+#REF!+#REF!+O25+P25)/$F$25</f>
        <v>#REF!</v>
      </c>
      <c r="Q34" s="47" t="e">
        <f>+(N25+#REF!+#REF!+#REF!+#REF!+#REF!+#REF!+O25+P25+Q25)/$F$25</f>
        <v>#REF!</v>
      </c>
      <c r="R34" s="47" t="e">
        <f>+(N25+#REF!+#REF!+#REF!+#REF!+#REF!+#REF!+O25+P25+Q25+R25)/$F$25</f>
        <v>#REF!</v>
      </c>
      <c r="S34" s="47" t="e">
        <f>+(N25+#REF!+#REF!+#REF!+#REF!+#REF!+#REF!+O25+P25+Q25+R25+S25)/$F$25</f>
        <v>#REF!</v>
      </c>
      <c r="T34" s="47" t="e">
        <f>+(N25+#REF!+#REF!+#REF!+#REF!+#REF!+#REF!+O25+P25+Q25+R25+S25+T25)/$F$25</f>
        <v>#REF!</v>
      </c>
      <c r="U34" s="47" t="e">
        <f>+(N25+#REF!+#REF!+#REF!+#REF!+#REF!+#REF!+O25+P25+Q25+R25+S25+T25+U25)/$F$25</f>
        <v>#REF!</v>
      </c>
      <c r="V34" s="47" t="e">
        <f>+(N25+#REF!+#REF!+#REF!+#REF!+#REF!+#REF!+O25+P25+Q25+R25+S25+T25+U25+V25)/$F$25</f>
        <v>#REF!</v>
      </c>
      <c r="W34" s="47" t="e">
        <f>+(N25+#REF!+#REF!+#REF!+#REF!+#REF!+#REF!+O25+P25+Q25+R25+S25+T25+U25+V25+W25)/$F$25</f>
        <v>#REF!</v>
      </c>
      <c r="X34" s="47" t="e">
        <f>+(N25+#REF!+#REF!+#REF!+#REF!+#REF!+#REF!+O25+P25+Q25+R25+S25+T25+U25+V25+W25+X25)/$F$25</f>
        <v>#REF!</v>
      </c>
      <c r="Y34" s="47" t="e">
        <f>+(N25+#REF!+#REF!+#REF!+#REF!+#REF!+#REF!+O25+P25+Q25+R25+S25+T25+U25+V25+W25+X25+Y25)/$F$25</f>
        <v>#REF!</v>
      </c>
      <c r="Z34" s="47" t="e">
        <f>+(N25+#REF!+#REF!+#REF!+#REF!+#REF!+#REF!+O25+P25+Q25+R25+S25+T25+U25+V25+W25+X25+Y25+Z25)/$F$25</f>
        <v>#REF!</v>
      </c>
      <c r="AA34" s="47" t="e">
        <f>+(N25+#REF!+#REF!+#REF!+#REF!+#REF!+#REF!+O25+P25+Q25+R25+S25+T25+U25+V25+W25+X25+Y25+Z25+AA25)/$F$25</f>
        <v>#REF!</v>
      </c>
      <c r="AB34" s="49" t="e">
        <f>+(N25+#REF!+#REF!+#REF!+#REF!+#REF!+#REF!+O25+P25+Q25+R25+S25+T25+U25+V25+W25+X25+Y25+Z25+AA25+AB25)/$F$25</f>
        <v>#REF!</v>
      </c>
      <c r="AC34" s="47" t="e">
        <f>+(N25+#REF!+#REF!+#REF!+#REF!+#REF!+#REF!+O25+P25+Q25+R25+S25+T25+U25+V25+W25+X25+Y25+Z25+AA25+AB25+AC25)/$F$25</f>
        <v>#REF!</v>
      </c>
      <c r="AD34" s="69"/>
    </row>
    <row r="35" spans="8:30" ht="30" hidden="1" customHeight="1" x14ac:dyDescent="0.35">
      <c r="I35" s="251" t="s">
        <v>141</v>
      </c>
      <c r="J35" s="251"/>
      <c r="K35" s="50"/>
      <c r="L35" s="50"/>
      <c r="M35" s="50"/>
      <c r="N35" s="50"/>
      <c r="O35" s="47" t="e">
        <f>+O26/O30</f>
        <v>#REF!</v>
      </c>
      <c r="P35" s="51"/>
      <c r="Q35" s="50"/>
      <c r="R35" s="50"/>
      <c r="S35" s="47" t="e">
        <f>+S26/S30</f>
        <v>#REF!</v>
      </c>
      <c r="T35" s="50"/>
      <c r="U35" s="50"/>
      <c r="V35" s="50"/>
      <c r="W35" s="47" t="e">
        <f>+W26/W30</f>
        <v>#REF!</v>
      </c>
      <c r="X35" s="50"/>
      <c r="Y35" s="50"/>
      <c r="Z35" s="50"/>
      <c r="AA35" s="47" t="e">
        <f>+AA26/AA30</f>
        <v>#REF!</v>
      </c>
      <c r="AB35" s="51"/>
      <c r="AC35" s="50"/>
      <c r="AD35" s="70"/>
    </row>
    <row r="36" spans="8:30" ht="30" hidden="1" customHeight="1" x14ac:dyDescent="0.35">
      <c r="I36" s="252" t="s">
        <v>142</v>
      </c>
      <c r="J36" s="252"/>
      <c r="K36" s="50"/>
      <c r="L36" s="50"/>
      <c r="M36" s="50"/>
      <c r="N36" s="50"/>
      <c r="O36" s="47" t="e">
        <f>+(#REF!+O26)/$F$25</f>
        <v>#REF!</v>
      </c>
      <c r="P36" s="51"/>
      <c r="Q36" s="50"/>
      <c r="R36" s="50"/>
      <c r="S36" s="47" t="e">
        <f>+(#REF!+O26+S26)/$F$25</f>
        <v>#REF!</v>
      </c>
      <c r="T36" s="50"/>
      <c r="U36" s="50"/>
      <c r="V36" s="50"/>
      <c r="W36" s="47" t="e">
        <f>+(#REF!+O26+S26+W26)/$F$25</f>
        <v>#REF!</v>
      </c>
      <c r="X36" s="50"/>
      <c r="Y36" s="50"/>
      <c r="Z36" s="50"/>
      <c r="AA36" s="47" t="e">
        <f>+(#REF!+O26+S26+W26+AA26)/$F$25</f>
        <v>#REF!</v>
      </c>
      <c r="AB36" s="51"/>
      <c r="AC36" s="50"/>
      <c r="AD36" s="70"/>
    </row>
    <row r="37" spans="8:30" ht="30" hidden="1" customHeight="1" x14ac:dyDescent="0.35">
      <c r="I37" s="251" t="s">
        <v>143</v>
      </c>
      <c r="J37" s="251"/>
      <c r="K37" s="50"/>
      <c r="L37" s="50"/>
      <c r="M37" s="50"/>
      <c r="N37" s="50"/>
      <c r="O37" s="47" t="e">
        <f>+(#REF!+O26)/(#REF!+O30)</f>
        <v>#REF!</v>
      </c>
      <c r="P37" s="51"/>
      <c r="Q37" s="50"/>
      <c r="R37" s="50"/>
      <c r="S37" s="50"/>
      <c r="T37" s="50"/>
      <c r="U37" s="50"/>
      <c r="V37" s="50"/>
      <c r="W37" s="50"/>
      <c r="X37" s="50"/>
      <c r="Y37" s="50"/>
      <c r="Z37" s="50"/>
      <c r="AA37" s="47" t="e">
        <f>+(#REF!+O26+S26+W26+AA26)/(#REF!+O30+S30+W30+AA30)</f>
        <v>#REF!</v>
      </c>
      <c r="AB37" s="51"/>
      <c r="AC37" s="50"/>
      <c r="AD37" s="70"/>
    </row>
    <row r="38" spans="8:30" ht="30" hidden="1" customHeight="1" x14ac:dyDescent="0.35">
      <c r="I38" s="251" t="s">
        <v>144</v>
      </c>
      <c r="J38" s="251"/>
      <c r="K38" s="50"/>
      <c r="L38" s="50"/>
      <c r="M38" s="50"/>
      <c r="N38" s="50"/>
      <c r="O38" s="47" t="e">
        <f>+(#REF!+O26)/$F$25</f>
        <v>#REF!</v>
      </c>
      <c r="P38" s="51"/>
      <c r="Q38" s="50"/>
      <c r="R38" s="50"/>
      <c r="S38" s="50"/>
      <c r="T38" s="50"/>
      <c r="U38" s="50"/>
      <c r="V38" s="50"/>
      <c r="W38" s="50"/>
      <c r="X38" s="50"/>
      <c r="Y38" s="50"/>
      <c r="Z38" s="50"/>
      <c r="AA38" s="47" t="e">
        <f>+(+#REF!+O26+S26+W26+AA26)/$F$25</f>
        <v>#REF!</v>
      </c>
      <c r="AB38" s="51"/>
      <c r="AC38" s="50"/>
      <c r="AD38" s="70"/>
    </row>
    <row r="39" spans="8:30" ht="15" hidden="1" customHeight="1" x14ac:dyDescent="0.35"/>
    <row r="40" spans="8:30" ht="35.15" hidden="1" customHeight="1" x14ac:dyDescent="0.35">
      <c r="H40" s="250" t="s">
        <v>145</v>
      </c>
      <c r="I40" s="250"/>
      <c r="J40" s="30" t="e">
        <f>+#REF!</f>
        <v>#REF!</v>
      </c>
      <c r="K40" s="32"/>
      <c r="L40" s="32"/>
      <c r="M40" s="32"/>
      <c r="N40" s="32"/>
    </row>
    <row r="41" spans="8:30" ht="35.15" hidden="1" customHeight="1" x14ac:dyDescent="0.35">
      <c r="H41" s="250" t="s">
        <v>146</v>
      </c>
      <c r="I41" s="250"/>
      <c r="J41" s="25">
        <f>+F25</f>
        <v>1</v>
      </c>
      <c r="K41" s="32"/>
      <c r="L41" s="32"/>
      <c r="M41" s="32"/>
      <c r="N41" s="32"/>
    </row>
    <row r="42" spans="8:30" ht="35.15" hidden="1" customHeight="1" x14ac:dyDescent="0.35">
      <c r="H42" s="250" t="s">
        <v>147</v>
      </c>
      <c r="I42" s="250"/>
      <c r="J42" s="31" t="e">
        <f>+J40/J41</f>
        <v>#REF!</v>
      </c>
      <c r="K42" s="32"/>
      <c r="L42" s="32"/>
      <c r="M42" s="32"/>
      <c r="N42" s="32"/>
    </row>
    <row r="43" spans="8:30" ht="15" customHeight="1" x14ac:dyDescent="0.35">
      <c r="K43" s="32"/>
      <c r="L43" s="32"/>
      <c r="M43" s="32"/>
      <c r="N43" s="32"/>
    </row>
    <row r="44" spans="8:30" ht="15" customHeight="1" x14ac:dyDescent="0.35">
      <c r="K44" s="32"/>
      <c r="L44" s="32"/>
      <c r="M44" s="32"/>
      <c r="N44" s="32"/>
    </row>
    <row r="45" spans="8:30" ht="15" customHeight="1" x14ac:dyDescent="0.35">
      <c r="K45" s="32"/>
      <c r="L45" s="32"/>
      <c r="M45" s="32"/>
      <c r="N45" s="32"/>
    </row>
  </sheetData>
  <mergeCells count="160">
    <mergeCell ref="N16:N17"/>
    <mergeCell ref="M16:M17"/>
    <mergeCell ref="L16:L17"/>
    <mergeCell ref="E14:E15"/>
    <mergeCell ref="E22:E23"/>
    <mergeCell ref="G22:G23"/>
    <mergeCell ref="H22:H23"/>
    <mergeCell ref="I22:I23"/>
    <mergeCell ref="J22:J23"/>
    <mergeCell ref="K22:K23"/>
    <mergeCell ref="F18:F19"/>
    <mergeCell ref="G18:G19"/>
    <mergeCell ref="H18:H19"/>
    <mergeCell ref="A18:A19"/>
    <mergeCell ref="B18:B19"/>
    <mergeCell ref="C18:C19"/>
    <mergeCell ref="D18:D19"/>
    <mergeCell ref="E18:E19"/>
    <mergeCell ref="I16:I17"/>
    <mergeCell ref="J16:J17"/>
    <mergeCell ref="K16:K17"/>
    <mergeCell ref="F14:F15"/>
    <mergeCell ref="D14:D15"/>
    <mergeCell ref="C14:C15"/>
    <mergeCell ref="B14:B15"/>
    <mergeCell ref="A14:A15"/>
    <mergeCell ref="H40:I40"/>
    <mergeCell ref="H41:I41"/>
    <mergeCell ref="H42:I42"/>
    <mergeCell ref="I33:J33"/>
    <mergeCell ref="I34:J34"/>
    <mergeCell ref="I35:J35"/>
    <mergeCell ref="I36:J36"/>
    <mergeCell ref="I37:J37"/>
    <mergeCell ref="I38:J38"/>
    <mergeCell ref="D25:E25"/>
    <mergeCell ref="H25:H28"/>
    <mergeCell ref="D26:E26"/>
    <mergeCell ref="H29:H32"/>
    <mergeCell ref="N20:N21"/>
    <mergeCell ref="A20:A21"/>
    <mergeCell ref="B20:B21"/>
    <mergeCell ref="C20:C21"/>
    <mergeCell ref="D20:D21"/>
    <mergeCell ref="E20:E21"/>
    <mergeCell ref="F20:F21"/>
    <mergeCell ref="G20:G21"/>
    <mergeCell ref="H20:H21"/>
    <mergeCell ref="F22:F23"/>
    <mergeCell ref="L22:L23"/>
    <mergeCell ref="M22:M23"/>
    <mergeCell ref="N22:N23"/>
    <mergeCell ref="A22:A23"/>
    <mergeCell ref="B22:B23"/>
    <mergeCell ref="C22:C23"/>
    <mergeCell ref="D22:D23"/>
    <mergeCell ref="AE20:AE21"/>
    <mergeCell ref="AF20:AF21"/>
    <mergeCell ref="AG20:AG21"/>
    <mergeCell ref="AH20:AH21"/>
    <mergeCell ref="I20:I21"/>
    <mergeCell ref="K20:K21"/>
    <mergeCell ref="L20:L21"/>
    <mergeCell ref="M20:M21"/>
    <mergeCell ref="AG18:AG19"/>
    <mergeCell ref="AH18:AH19"/>
    <mergeCell ref="L18:L19"/>
    <mergeCell ref="M18:M19"/>
    <mergeCell ref="N18:N19"/>
    <mergeCell ref="AE18:AE19"/>
    <mergeCell ref="AF18:AF19"/>
    <mergeCell ref="I18:I19"/>
    <mergeCell ref="J18:J19"/>
    <mergeCell ref="K18:K19"/>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G14:G15"/>
    <mergeCell ref="H14:H15"/>
    <mergeCell ref="I14:I15"/>
    <mergeCell ref="J14:J15"/>
    <mergeCell ref="K14:K15"/>
    <mergeCell ref="AE16:AE17"/>
    <mergeCell ref="AF16:AF17"/>
    <mergeCell ref="AG16:AG17"/>
    <mergeCell ref="AH16:AH17"/>
    <mergeCell ref="AD12:AD13"/>
    <mergeCell ref="AE12:AE13"/>
    <mergeCell ref="AF12:AF13"/>
    <mergeCell ref="AG12:AG13"/>
    <mergeCell ref="AH12:AH13"/>
    <mergeCell ref="X12:X13"/>
    <mergeCell ref="Y12:Y13"/>
    <mergeCell ref="Z12:Z13"/>
    <mergeCell ref="AA12:AA13"/>
    <mergeCell ref="AB12:AB13"/>
    <mergeCell ref="AC12:AC13"/>
    <mergeCell ref="A12:A13"/>
    <mergeCell ref="B12:B13"/>
    <mergeCell ref="C12:C13"/>
    <mergeCell ref="D12:D13"/>
    <mergeCell ref="E12:E13"/>
    <mergeCell ref="F12:F13"/>
    <mergeCell ref="G12:G13"/>
    <mergeCell ref="R12:R13"/>
    <mergeCell ref="S12:S13"/>
    <mergeCell ref="M12:M13"/>
    <mergeCell ref="N12:N13"/>
    <mergeCell ref="O12:O13"/>
    <mergeCell ref="P12:P13"/>
    <mergeCell ref="Q12:Q13"/>
    <mergeCell ref="O6:Q10"/>
    <mergeCell ref="R6:U10"/>
    <mergeCell ref="V6:Y10"/>
    <mergeCell ref="K6:K10"/>
    <mergeCell ref="H12:H13"/>
    <mergeCell ref="I12:I13"/>
    <mergeCell ref="J12:J13"/>
    <mergeCell ref="K12:K13"/>
    <mergeCell ref="L12:L13"/>
    <mergeCell ref="T12:T13"/>
    <mergeCell ref="U12:U13"/>
    <mergeCell ref="V12:V13"/>
    <mergeCell ref="W12:W13"/>
    <mergeCell ref="AE22:AE23"/>
    <mergeCell ref="AF22:AF23"/>
    <mergeCell ref="AG22:AG23"/>
    <mergeCell ref="AH22:AH23"/>
    <mergeCell ref="A1:C3"/>
    <mergeCell ref="D1:AH3"/>
    <mergeCell ref="A4:A5"/>
    <mergeCell ref="G4:G5"/>
    <mergeCell ref="A6:B10"/>
    <mergeCell ref="C6:D10"/>
    <mergeCell ref="E6:F10"/>
    <mergeCell ref="G6:G10"/>
    <mergeCell ref="H6:I10"/>
    <mergeCell ref="J6:J10"/>
    <mergeCell ref="Z6:AC10"/>
    <mergeCell ref="AD6:AE10"/>
    <mergeCell ref="AF6:AF10"/>
    <mergeCell ref="AG6:AG10"/>
    <mergeCell ref="A11:F11"/>
    <mergeCell ref="G11:N11"/>
    <mergeCell ref="O11:AD11"/>
    <mergeCell ref="AE11:AH11"/>
    <mergeCell ref="L6:L10"/>
    <mergeCell ref="M6:N10"/>
  </mergeCells>
  <conditionalFormatting sqref="I4">
    <cfRule type="cellIs" dxfId="18" priority="16" operator="lessThanOrEqual">
      <formula>$C$4</formula>
    </cfRule>
  </conditionalFormatting>
  <conditionalFormatting sqref="J6 Q14:Q23">
    <cfRule type="cellIs" dxfId="17" priority="17" operator="greaterThanOrEqual">
      <formula>$C$5</formula>
    </cfRule>
    <cfRule type="cellIs" dxfId="16" priority="18" operator="lessThanOrEqual">
      <formula>$C$4</formula>
    </cfRule>
    <cfRule type="cellIs" dxfId="15" priority="19" operator="between">
      <formula>$C$5</formula>
      <formula>$C$4</formula>
    </cfRule>
  </conditionalFormatting>
  <conditionalFormatting sqref="O6">
    <cfRule type="cellIs" dxfId="14" priority="13" operator="greaterThanOrEqual">
      <formula>$I$5</formula>
    </cfRule>
    <cfRule type="cellIs" dxfId="13" priority="14" operator="lessThanOrEqual">
      <formula>$I$4</formula>
    </cfRule>
    <cfRule type="cellIs" dxfId="12" priority="15" operator="between">
      <formula>$I$5</formula>
      <formula>$I$4</formula>
    </cfRule>
  </conditionalFormatting>
  <conditionalFormatting sqref="S33:S36 W33:W36 O33:O38 AA33:AA38 K34:N34 P34:R34 T34:V34 X34:Z34 AB34:AD34 J42">
    <cfRule type="cellIs" dxfId="11" priority="20" operator="greaterThanOrEqual">
      <formula>$D$9</formula>
    </cfRule>
    <cfRule type="cellIs" dxfId="10" priority="21" operator="lessThanOrEqual">
      <formula>$C$6</formula>
    </cfRule>
    <cfRule type="cellIs" dxfId="9" priority="22" operator="between">
      <formula>$C$6</formula>
      <formula>$D$9</formula>
    </cfRule>
  </conditionalFormatting>
  <conditionalFormatting sqref="V6">
    <cfRule type="cellIs" dxfId="8" priority="7" operator="greaterThanOrEqual">
      <formula>$I$5</formula>
    </cfRule>
    <cfRule type="cellIs" dxfId="7" priority="8" operator="lessThanOrEqual">
      <formula>$I$4</formula>
    </cfRule>
    <cfRule type="cellIs" dxfId="6" priority="9" operator="between">
      <formula>$I$5</formula>
      <formula>$I$4</formula>
    </cfRule>
  </conditionalFormatting>
  <conditionalFormatting sqref="AD6">
    <cfRule type="cellIs" dxfId="5" priority="4" operator="greaterThanOrEqual">
      <formula>$I$5</formula>
    </cfRule>
    <cfRule type="cellIs" dxfId="4" priority="5" operator="lessThanOrEqual">
      <formula>$I$4</formula>
    </cfRule>
    <cfRule type="cellIs" dxfId="3" priority="6" operator="between">
      <formula>$I$5</formula>
      <formula>$I$4</formula>
    </cfRule>
  </conditionalFormatting>
  <conditionalFormatting sqref="AG6">
    <cfRule type="cellIs" dxfId="2" priority="1" operator="greaterThanOrEqual">
      <formula>$I$5</formula>
    </cfRule>
    <cfRule type="cellIs" dxfId="1" priority="2" operator="lessThanOrEqual">
      <formula>$I$4</formula>
    </cfRule>
    <cfRule type="cellIs" dxfId="0" priority="3"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20 P16 P18 P22" xr:uid="{3B8B5ED9-8025-4F76-8799-A17734ABD876}">
      <formula1>0</formula1>
      <formula2>1</formula2>
    </dataValidation>
    <dataValidation type="decimal" allowBlank="1" showInputMessage="1" showErrorMessage="1" prompt="campo calculado  - indica el % de avance  que aporta la activadad a todo el proyecto" sqref="P21 P17 P15 P19 P23" xr:uid="{262DF8B3-B77E-4B14-BCC8-0855A759C7CB}">
      <formula1>0</formula1>
      <formula2>1</formula2>
    </dataValidation>
    <dataValidation type="decimal" allowBlank="1" showInputMessage="1" showErrorMessage="1" prompt="% de avance en la actividad - indique el % programado de avance durante esta semana_x000a_" sqref="R14:AD23" xr:uid="{45D94B7C-80F1-4224-B220-F5DC7D14C3A9}">
      <formula1>0</formula1>
      <formula2>1</formula2>
    </dataValidation>
    <dataValidation allowBlank="1" showErrorMessage="1" sqref="Q14:Q23" xr:uid="{05390F29-7F08-4563-96ED-AC268129708F}"/>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2508-C430-442D-BB4C-F32A5A72E334}">
  <dimension ref="A1:XFD60"/>
  <sheetViews>
    <sheetView showGridLines="0" topLeftCell="A147" zoomScale="41" zoomScaleNormal="41" zoomScaleSheetLayoutView="40" workbookViewId="0">
      <selection activeCell="XFC1" sqref="XFC1:XFD1048576"/>
    </sheetView>
  </sheetViews>
  <sheetFormatPr baseColWidth="10" defaultColWidth="0" defaultRowHeight="14.5" x14ac:dyDescent="0.35"/>
  <cols>
    <col min="1" max="15" width="11.453125" style="80" customWidth="1"/>
    <col min="16" max="16" width="35.26953125" style="80" customWidth="1"/>
    <col min="17" max="4945" width="0" style="80" hidden="1" customWidth="1"/>
    <col min="4946" max="15759" width="11.453125" style="80" hidden="1"/>
    <col min="15760" max="16382" width="0" style="80" hidden="1"/>
    <col min="16383" max="16383" width="24" style="80" hidden="1" customWidth="1"/>
    <col min="16384" max="16384" width="18.7265625" style="80" hidden="1" customWidth="1"/>
  </cols>
  <sheetData>
    <row r="1" spans="1:35 16383:16384" ht="4.5" customHeight="1" x14ac:dyDescent="0.35"/>
    <row r="2" spans="1:35 16383:16384" s="60" customFormat="1" ht="14.15" customHeight="1" x14ac:dyDescent="0.35">
      <c r="A2" s="248"/>
      <c r="B2" s="248"/>
      <c r="C2" s="248"/>
      <c r="D2" s="246" t="s">
        <v>8</v>
      </c>
      <c r="E2" s="246"/>
      <c r="F2" s="246"/>
      <c r="G2" s="246"/>
      <c r="H2" s="246"/>
      <c r="I2" s="246"/>
      <c r="J2" s="246"/>
      <c r="K2" s="246"/>
      <c r="L2" s="246"/>
      <c r="M2" s="246"/>
      <c r="N2" s="246"/>
      <c r="O2" s="246"/>
      <c r="P2" s="246"/>
      <c r="Q2" s="103"/>
      <c r="R2" s="103"/>
      <c r="S2" s="103"/>
      <c r="T2" s="103"/>
      <c r="U2" s="103"/>
      <c r="V2" s="103"/>
      <c r="W2" s="103"/>
      <c r="X2" s="103"/>
      <c r="Y2" s="103"/>
      <c r="Z2" s="103"/>
      <c r="AA2" s="103"/>
      <c r="AB2" s="103"/>
      <c r="AC2" s="103"/>
      <c r="AD2" s="103"/>
      <c r="AE2" s="103"/>
      <c r="AF2" s="103"/>
      <c r="AG2" s="103"/>
      <c r="AH2" s="103"/>
      <c r="AI2" s="103"/>
    </row>
    <row r="3" spans="1:35 16383:16384" s="60" customFormat="1" ht="20.149999999999999" customHeight="1" x14ac:dyDescent="0.35">
      <c r="A3" s="248"/>
      <c r="B3" s="248"/>
      <c r="C3" s="248"/>
      <c r="D3" s="246"/>
      <c r="E3" s="246"/>
      <c r="F3" s="246"/>
      <c r="G3" s="246"/>
      <c r="H3" s="246"/>
      <c r="I3" s="246"/>
      <c r="J3" s="246"/>
      <c r="K3" s="246"/>
      <c r="L3" s="246"/>
      <c r="M3" s="246"/>
      <c r="N3" s="246"/>
      <c r="O3" s="246"/>
      <c r="P3" s="246"/>
      <c r="Q3" s="103"/>
      <c r="R3" s="103"/>
      <c r="S3" s="103"/>
      <c r="T3" s="103"/>
      <c r="U3" s="103"/>
      <c r="V3" s="103"/>
      <c r="W3" s="103"/>
      <c r="X3" s="103"/>
      <c r="Y3" s="103"/>
      <c r="Z3" s="103"/>
      <c r="AA3" s="103"/>
      <c r="AB3" s="103"/>
      <c r="AC3" s="103"/>
      <c r="AD3" s="103"/>
      <c r="AE3" s="103"/>
      <c r="AF3" s="103"/>
      <c r="AG3" s="103"/>
      <c r="AH3" s="103"/>
      <c r="AI3" s="103"/>
    </row>
    <row r="4" spans="1:35 16383:16384" s="60" customFormat="1" ht="20.149999999999999" customHeight="1" x14ac:dyDescent="0.35">
      <c r="A4" s="248"/>
      <c r="B4" s="248"/>
      <c r="C4" s="248"/>
      <c r="D4" s="246"/>
      <c r="E4" s="246"/>
      <c r="F4" s="246"/>
      <c r="G4" s="246"/>
      <c r="H4" s="246"/>
      <c r="I4" s="246"/>
      <c r="J4" s="246"/>
      <c r="K4" s="246"/>
      <c r="L4" s="246"/>
      <c r="M4" s="246"/>
      <c r="N4" s="246"/>
      <c r="O4" s="246"/>
      <c r="P4" s="246"/>
      <c r="Q4" s="103"/>
      <c r="R4" s="103"/>
      <c r="S4" s="103"/>
      <c r="T4" s="103"/>
      <c r="U4" s="103"/>
      <c r="V4" s="103"/>
      <c r="W4" s="103"/>
      <c r="X4" s="103"/>
      <c r="Y4" s="103"/>
      <c r="Z4" s="103"/>
      <c r="AA4" s="103"/>
      <c r="AB4" s="103"/>
      <c r="AC4" s="103"/>
      <c r="AD4" s="103"/>
      <c r="AE4" s="103"/>
      <c r="AF4" s="103"/>
      <c r="AG4" s="103"/>
      <c r="AH4" s="103"/>
      <c r="AI4" s="103"/>
    </row>
    <row r="5" spans="1:35 16383:16384" s="60" customFormat="1" ht="20.149999999999999" customHeight="1" x14ac:dyDescent="0.35">
      <c r="A5" s="248"/>
      <c r="B5" s="248"/>
      <c r="C5" s="248"/>
      <c r="D5" s="246"/>
      <c r="E5" s="246"/>
      <c r="F5" s="246"/>
      <c r="G5" s="246"/>
      <c r="H5" s="246"/>
      <c r="I5" s="246"/>
      <c r="J5" s="246"/>
      <c r="K5" s="246"/>
      <c r="L5" s="246"/>
      <c r="M5" s="246"/>
      <c r="N5" s="246"/>
      <c r="O5" s="246"/>
      <c r="P5" s="246"/>
      <c r="Q5" s="103"/>
      <c r="R5" s="103"/>
      <c r="S5" s="103"/>
      <c r="T5" s="103"/>
      <c r="U5" s="103"/>
      <c r="V5" s="103"/>
      <c r="W5" s="103"/>
      <c r="X5" s="103"/>
      <c r="Y5" s="103"/>
      <c r="Z5" s="103"/>
      <c r="AA5" s="103"/>
      <c r="AB5" s="103"/>
      <c r="AC5" s="103"/>
      <c r="AD5" s="103"/>
      <c r="AE5" s="103"/>
      <c r="AF5" s="103"/>
      <c r="AG5" s="103"/>
      <c r="AH5" s="103"/>
      <c r="AI5" s="103"/>
    </row>
    <row r="6" spans="1:35 16383:16384" s="60" customFormat="1" ht="20.149999999999999" customHeight="1" x14ac:dyDescent="0.35">
      <c r="A6" s="248"/>
      <c r="B6" s="248"/>
      <c r="C6" s="248"/>
      <c r="D6" s="246"/>
      <c r="E6" s="246"/>
      <c r="F6" s="246"/>
      <c r="G6" s="246"/>
      <c r="H6" s="246"/>
      <c r="I6" s="246"/>
      <c r="J6" s="246"/>
      <c r="K6" s="246"/>
      <c r="L6" s="246"/>
      <c r="M6" s="246"/>
      <c r="N6" s="246"/>
      <c r="O6" s="246"/>
      <c r="P6" s="246"/>
      <c r="Q6" s="103"/>
      <c r="R6" s="103"/>
      <c r="S6" s="103"/>
      <c r="T6" s="103"/>
      <c r="U6" s="103"/>
      <c r="V6" s="103"/>
      <c r="W6" s="103"/>
      <c r="X6" s="103"/>
      <c r="Y6" s="103"/>
      <c r="Z6" s="103"/>
      <c r="AA6" s="103"/>
      <c r="AB6" s="103"/>
      <c r="AC6" s="103"/>
      <c r="AD6" s="103"/>
      <c r="AE6" s="103"/>
      <c r="AF6" s="103"/>
      <c r="AG6" s="103"/>
      <c r="AH6" s="103"/>
      <c r="AI6" s="103"/>
    </row>
    <row r="7" spans="1:35 16383:16384" s="60" customFormat="1" ht="60" customHeight="1" x14ac:dyDescent="0.35">
      <c r="D7" s="247"/>
      <c r="E7" s="247"/>
      <c r="F7" s="247"/>
      <c r="G7" s="247"/>
      <c r="H7" s="247"/>
      <c r="I7" s="247"/>
      <c r="J7" s="247"/>
      <c r="K7" s="247"/>
      <c r="L7" s="247"/>
      <c r="M7" s="247"/>
      <c r="N7" s="247"/>
      <c r="O7" s="247"/>
      <c r="P7" s="247"/>
      <c r="Q7" s="104"/>
      <c r="R7" s="103"/>
      <c r="S7" s="103"/>
      <c r="T7" s="103"/>
      <c r="U7" s="103"/>
      <c r="V7" s="103"/>
      <c r="W7" s="103"/>
      <c r="X7" s="103"/>
      <c r="Y7" s="103"/>
      <c r="Z7" s="103"/>
      <c r="AA7" s="103"/>
      <c r="AB7" s="103"/>
      <c r="AC7" s="103"/>
      <c r="AD7" s="103"/>
      <c r="AE7" s="103"/>
      <c r="AF7" s="103"/>
      <c r="AG7" s="103"/>
      <c r="AH7" s="103"/>
      <c r="AI7" s="103"/>
    </row>
    <row r="8" spans="1:35 16383:16384" x14ac:dyDescent="0.35">
      <c r="XFC8" s="216" t="s">
        <v>9</v>
      </c>
      <c r="XFD8" s="216" t="s">
        <v>10</v>
      </c>
    </row>
    <row r="9" spans="1:35 16383:16384" x14ac:dyDescent="0.35">
      <c r="XFC9" s="216" t="s">
        <v>11</v>
      </c>
      <c r="XFD9" s="112">
        <f>'01. SECTORIAL'!P6</f>
        <v>1.0526315789473684</v>
      </c>
    </row>
    <row r="10" spans="1:35 16383:16384" x14ac:dyDescent="0.35">
      <c r="XFC10" s="216" t="s">
        <v>12</v>
      </c>
      <c r="XFD10" s="111">
        <v>0.75</v>
      </c>
    </row>
    <row r="11" spans="1:35 16383:16384" x14ac:dyDescent="0.35">
      <c r="XFC11" s="216" t="s">
        <v>13</v>
      </c>
      <c r="XFD11" s="111">
        <v>1.05</v>
      </c>
    </row>
    <row r="12" spans="1:35 16383:16384" x14ac:dyDescent="0.35">
      <c r="XFC12" s="216" t="s">
        <v>14</v>
      </c>
      <c r="XFD12" s="111">
        <v>0.49</v>
      </c>
    </row>
    <row r="13" spans="1:35 16383:16384" x14ac:dyDescent="0.35">
      <c r="XFC13" s="216" t="s">
        <v>15</v>
      </c>
    </row>
    <row r="14" spans="1:35 16383:16384" x14ac:dyDescent="0.35">
      <c r="XFC14" s="216" t="s">
        <v>16</v>
      </c>
    </row>
    <row r="15" spans="1:35 16383:16384" x14ac:dyDescent="0.35">
      <c r="XFC15" s="216" t="s">
        <v>17</v>
      </c>
    </row>
    <row r="16" spans="1:35 16383:16384" x14ac:dyDescent="0.35">
      <c r="XFC16" s="216" t="s">
        <v>18</v>
      </c>
    </row>
    <row r="17" spans="8:8 16383:16384" x14ac:dyDescent="0.35">
      <c r="XFC17" s="216" t="s">
        <v>19</v>
      </c>
      <c r="XFD17" s="111">
        <v>0.94</v>
      </c>
    </row>
    <row r="18" spans="8:8 16383:16384" x14ac:dyDescent="0.35">
      <c r="XFC18" s="216" t="s">
        <v>20</v>
      </c>
      <c r="XFD18" s="111">
        <v>0.1</v>
      </c>
    </row>
    <row r="19" spans="8:8 16383:16384" x14ac:dyDescent="0.35">
      <c r="XFC19" s="216" t="s">
        <v>21</v>
      </c>
      <c r="XFD19" s="111">
        <v>1.05</v>
      </c>
    </row>
    <row r="20" spans="8:8 16383:16384" x14ac:dyDescent="0.35">
      <c r="XFC20" s="216" t="s">
        <v>22</v>
      </c>
      <c r="XFD20" s="111">
        <v>1.05</v>
      </c>
    </row>
    <row r="21" spans="8:8 16383:16384" ht="21" x14ac:dyDescent="0.5">
      <c r="H21" s="99"/>
    </row>
    <row r="44" spans="1:11" x14ac:dyDescent="0.35">
      <c r="A44" s="100"/>
      <c r="B44" s="100"/>
      <c r="C44" s="100"/>
      <c r="D44" s="100"/>
      <c r="E44" s="100"/>
      <c r="F44" s="100"/>
      <c r="G44" s="100"/>
      <c r="H44" s="100"/>
      <c r="I44" s="100"/>
      <c r="J44" s="100"/>
      <c r="K44" s="100"/>
    </row>
    <row r="45" spans="1:11" x14ac:dyDescent="0.35">
      <c r="A45" s="100"/>
      <c r="B45" s="100"/>
      <c r="C45" s="100"/>
      <c r="D45" s="100"/>
      <c r="E45" s="100"/>
      <c r="F45" s="100"/>
      <c r="G45" s="100"/>
      <c r="H45" s="100"/>
      <c r="I45" s="100"/>
      <c r="J45" s="100"/>
      <c r="K45" s="100"/>
    </row>
    <row r="60" hidden="1" x14ac:dyDescent="0.35"/>
  </sheetData>
  <sheetProtection autoFilter="0"/>
  <mergeCells count="3">
    <mergeCell ref="D2:P6"/>
    <mergeCell ref="D7:P7"/>
    <mergeCell ref="A2:C6"/>
  </mergeCells>
  <pageMargins left="0.7" right="0.7" top="0.75" bottom="0.75" header="0.3" footer="0.3"/>
  <pageSetup scale="49" orientation="portrait" r:id="rId1"/>
  <headerFooter>
    <oddHeader>&amp;C&amp;G</oddHeader>
    <oddFooter>&amp;C_x000D_&amp;1#&amp;"Calibri"&amp;10&amp;K008000 Información Pública - La Previsora S.A. Compañía de Seguros</oddFooter>
  </headerFooter>
  <colBreaks count="2" manualBreakCount="2">
    <brk id="16" max="83" man="1"/>
    <brk id="11939" max="1048575" man="1"/>
  </col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9"/>
  <sheetViews>
    <sheetView showGridLines="0" view="pageBreakPreview" zoomScale="68" zoomScaleNormal="10" zoomScaleSheetLayoutView="68" zoomScalePageLayoutView="48" workbookViewId="0">
      <selection activeCell="I49" sqref="I49"/>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7" width="28.54296875" style="1" customWidth="1"/>
    <col min="8" max="8" width="38.7265625" style="1" customWidth="1"/>
    <col min="9" max="10" width="28.54296875" style="1" customWidth="1"/>
    <col min="11" max="12" width="19.54296875" style="1" customWidth="1"/>
    <col min="13" max="13" width="28.54296875" style="1" customWidth="1"/>
    <col min="14" max="15" width="18.26953125" style="1" customWidth="1"/>
    <col min="16" max="18" width="13.7265625" style="1" customWidth="1"/>
    <col min="19" max="31" width="9.54296875" style="1" customWidth="1"/>
    <col min="32" max="32" width="35.7265625" style="1" customWidth="1"/>
    <col min="33" max="33" width="48.90625" style="1" customWidth="1"/>
    <col min="34" max="35" width="42.54296875" style="1" customWidth="1"/>
    <col min="36" max="16384" width="12.54296875" style="1"/>
  </cols>
  <sheetData>
    <row r="1" spans="1:35" s="60" customFormat="1" ht="14.15" customHeight="1" x14ac:dyDescent="0.35">
      <c r="A1" s="293"/>
      <c r="B1" s="294"/>
      <c r="C1" s="295"/>
      <c r="D1" s="361" t="s">
        <v>23</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row>
    <row r="2" spans="1:35"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row>
    <row r="3" spans="1:35"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row>
    <row r="4" spans="1:35"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row>
    <row r="5" spans="1:35"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row>
    <row r="6" spans="1:35" ht="20.149999999999999" customHeight="1" x14ac:dyDescent="0.35">
      <c r="A6" s="292" t="s">
        <v>28</v>
      </c>
      <c r="B6" s="292"/>
      <c r="C6" s="302" t="s">
        <v>29</v>
      </c>
      <c r="D6" s="302"/>
      <c r="E6" s="303" t="s">
        <v>30</v>
      </c>
      <c r="F6" s="303"/>
      <c r="G6" s="324">
        <f>+Q15+Q17+Q19+Q21+Q23+Q25+Q27</f>
        <v>0.99999999999999978</v>
      </c>
      <c r="H6" s="303" t="s">
        <v>31</v>
      </c>
      <c r="I6" s="303"/>
      <c r="J6" s="327">
        <f>(Q14+Q16+Q18+Q20+Q22+Q24+Q26)/M6</f>
        <v>0.52631578947368407</v>
      </c>
      <c r="K6" s="286" t="s">
        <v>32</v>
      </c>
      <c r="L6" s="287"/>
      <c r="M6" s="330">
        <v>0.95</v>
      </c>
      <c r="N6" s="292" t="s">
        <v>33</v>
      </c>
      <c r="O6" s="292"/>
      <c r="P6" s="333">
        <f>(SUM(S14:V14,S16:V16,S18:V18,S20:V20,S22:V22,S24:V24,S26:V26)/SUM(S15:V15,S17:V17,S19:V19,S21:V21,S23:V23,S25:V25))/M6</f>
        <v>1.0526315789473684</v>
      </c>
      <c r="Q6" s="334"/>
      <c r="R6" s="335"/>
      <c r="S6" s="306" t="s">
        <v>34</v>
      </c>
      <c r="T6" s="307"/>
      <c r="U6" s="307"/>
      <c r="V6" s="308"/>
      <c r="W6" s="315">
        <f>SUM(W14:Y14,W16:Y16,W18:Y18,W20:Y20,W22:Y22,W24:Y24,W26:Y26)/SUM(W15:Y15,W17:Y17,W19:Y19,W21:Y21,W23:Y23,W25:Y25,W27:Y27)/M6</f>
        <v>1.0526315789473684</v>
      </c>
      <c r="X6" s="316"/>
      <c r="Y6" s="316"/>
      <c r="Z6" s="317"/>
      <c r="AA6" s="306" t="s">
        <v>35</v>
      </c>
      <c r="AB6" s="307"/>
      <c r="AC6" s="307"/>
      <c r="AD6" s="308"/>
      <c r="AE6" s="315">
        <f>SUM(AB14,AB16,AB18,AB20,AB22,AB24)/SUM(AB15,AB17,AB19,AB21,AB23,AB25)/M6</f>
        <v>0</v>
      </c>
      <c r="AF6" s="316"/>
      <c r="AG6" s="306" t="s">
        <v>36</v>
      </c>
      <c r="AH6" s="315">
        <f>SUM(AE14,AE16,AE18,AE20,AE22,AE24,AE26)/SUM(AE15,AE17,AE19,AE21,AE23,AE25,AE27)/M6</f>
        <v>0</v>
      </c>
    </row>
    <row r="7" spans="1:35" ht="15" customHeight="1" x14ac:dyDescent="0.35">
      <c r="A7" s="292"/>
      <c r="B7" s="292"/>
      <c r="C7" s="302"/>
      <c r="D7" s="302"/>
      <c r="E7" s="303"/>
      <c r="F7" s="303"/>
      <c r="G7" s="325"/>
      <c r="H7" s="303"/>
      <c r="I7" s="303"/>
      <c r="J7" s="328"/>
      <c r="K7" s="288"/>
      <c r="L7" s="289"/>
      <c r="M7" s="331"/>
      <c r="N7" s="292"/>
      <c r="O7" s="292"/>
      <c r="P7" s="336"/>
      <c r="Q7" s="337"/>
      <c r="R7" s="338"/>
      <c r="S7" s="309"/>
      <c r="T7" s="310"/>
      <c r="U7" s="310"/>
      <c r="V7" s="311"/>
      <c r="W7" s="318"/>
      <c r="X7" s="319"/>
      <c r="Y7" s="319"/>
      <c r="Z7" s="320"/>
      <c r="AA7" s="309"/>
      <c r="AB7" s="310"/>
      <c r="AC7" s="310"/>
      <c r="AD7" s="311"/>
      <c r="AE7" s="318"/>
      <c r="AF7" s="319"/>
      <c r="AG7" s="309"/>
      <c r="AH7" s="318"/>
    </row>
    <row r="8" spans="1:35" ht="25.15" hidden="1" customHeight="1" thickBot="1" x14ac:dyDescent="0.4">
      <c r="A8" s="292"/>
      <c r="B8" s="292"/>
      <c r="C8" s="302"/>
      <c r="D8" s="302"/>
      <c r="E8" s="303"/>
      <c r="F8" s="303"/>
      <c r="G8" s="325"/>
      <c r="H8" s="303"/>
      <c r="I8" s="303"/>
      <c r="J8" s="328"/>
      <c r="K8" s="288"/>
      <c r="L8" s="289"/>
      <c r="M8" s="331"/>
      <c r="N8" s="292"/>
      <c r="O8" s="292"/>
      <c r="P8" s="336"/>
      <c r="Q8" s="337"/>
      <c r="R8" s="338"/>
      <c r="S8" s="309"/>
      <c r="T8" s="310"/>
      <c r="U8" s="310"/>
      <c r="V8" s="311"/>
      <c r="W8" s="318"/>
      <c r="X8" s="319"/>
      <c r="Y8" s="319"/>
      <c r="Z8" s="320"/>
      <c r="AA8" s="309"/>
      <c r="AB8" s="310"/>
      <c r="AC8" s="310"/>
      <c r="AD8" s="311"/>
      <c r="AE8" s="318"/>
      <c r="AF8" s="319"/>
      <c r="AG8" s="309"/>
      <c r="AH8" s="318"/>
    </row>
    <row r="9" spans="1:35" ht="25.15" hidden="1" customHeight="1" thickBot="1" x14ac:dyDescent="0.4">
      <c r="A9" s="292"/>
      <c r="B9" s="292"/>
      <c r="C9" s="302"/>
      <c r="D9" s="302"/>
      <c r="E9" s="303"/>
      <c r="F9" s="303"/>
      <c r="G9" s="325"/>
      <c r="H9" s="303"/>
      <c r="I9" s="303"/>
      <c r="J9" s="328"/>
      <c r="K9" s="288"/>
      <c r="L9" s="289"/>
      <c r="M9" s="331"/>
      <c r="N9" s="292"/>
      <c r="O9" s="292"/>
      <c r="P9" s="336"/>
      <c r="Q9" s="337"/>
      <c r="R9" s="338"/>
      <c r="S9" s="309"/>
      <c r="T9" s="310"/>
      <c r="U9" s="310"/>
      <c r="V9" s="311"/>
      <c r="W9" s="318"/>
      <c r="X9" s="319"/>
      <c r="Y9" s="319"/>
      <c r="Z9" s="320"/>
      <c r="AA9" s="309"/>
      <c r="AB9" s="310"/>
      <c r="AC9" s="310"/>
      <c r="AD9" s="311"/>
      <c r="AE9" s="318"/>
      <c r="AF9" s="319"/>
      <c r="AG9" s="309"/>
      <c r="AH9" s="318"/>
    </row>
    <row r="10" spans="1:35" ht="15" customHeight="1" thickBot="1" x14ac:dyDescent="0.4">
      <c r="A10" s="292"/>
      <c r="B10" s="292"/>
      <c r="C10" s="302"/>
      <c r="D10" s="302"/>
      <c r="E10" s="303"/>
      <c r="F10" s="303"/>
      <c r="G10" s="326"/>
      <c r="H10" s="303"/>
      <c r="I10" s="303"/>
      <c r="J10" s="329"/>
      <c r="K10" s="290"/>
      <c r="L10" s="291"/>
      <c r="M10" s="332"/>
      <c r="N10" s="292"/>
      <c r="O10" s="292"/>
      <c r="P10" s="339"/>
      <c r="Q10" s="340"/>
      <c r="R10" s="341"/>
      <c r="S10" s="312"/>
      <c r="T10" s="313"/>
      <c r="U10" s="313"/>
      <c r="V10" s="314"/>
      <c r="W10" s="321"/>
      <c r="X10" s="322"/>
      <c r="Y10" s="322"/>
      <c r="Z10" s="323"/>
      <c r="AA10" s="312"/>
      <c r="AB10" s="313"/>
      <c r="AC10" s="313"/>
      <c r="AD10" s="314"/>
      <c r="AE10" s="321"/>
      <c r="AF10" s="322"/>
      <c r="AG10" s="312"/>
      <c r="AH10" s="321"/>
    </row>
    <row r="11" spans="1:35" s="12" customFormat="1" ht="40.15" customHeight="1" thickBot="1" x14ac:dyDescent="0.4">
      <c r="A11" s="268" t="s">
        <v>37</v>
      </c>
      <c r="B11" s="268"/>
      <c r="C11" s="268"/>
      <c r="D11" s="268"/>
      <c r="E11" s="268"/>
      <c r="F11" s="269"/>
      <c r="G11" s="270" t="s">
        <v>38</v>
      </c>
      <c r="H11" s="271"/>
      <c r="I11" s="271"/>
      <c r="J11" s="271"/>
      <c r="K11" s="271"/>
      <c r="L11" s="271"/>
      <c r="M11" s="271"/>
      <c r="N11" s="271"/>
      <c r="O11" s="272"/>
      <c r="P11" s="345" t="s">
        <v>39</v>
      </c>
      <c r="Q11" s="346"/>
      <c r="R11" s="346"/>
      <c r="S11" s="346"/>
      <c r="T11" s="346"/>
      <c r="U11" s="346"/>
      <c r="V11" s="346"/>
      <c r="W11" s="346"/>
      <c r="X11" s="346"/>
      <c r="Y11" s="346"/>
      <c r="Z11" s="346"/>
      <c r="AA11" s="346"/>
      <c r="AB11" s="346"/>
      <c r="AC11" s="346"/>
      <c r="AD11" s="346"/>
      <c r="AE11" s="347"/>
      <c r="AF11" s="345" t="s">
        <v>40</v>
      </c>
      <c r="AG11" s="346"/>
      <c r="AH11" s="346"/>
      <c r="AI11" s="346"/>
    </row>
    <row r="12" spans="1:35" ht="39" customHeight="1" x14ac:dyDescent="0.35">
      <c r="A12" s="273" t="s">
        <v>41</v>
      </c>
      <c r="B12" s="275" t="s">
        <v>42</v>
      </c>
      <c r="C12" s="275" t="s">
        <v>43</v>
      </c>
      <c r="D12" s="275" t="s">
        <v>44</v>
      </c>
      <c r="E12" s="275" t="s">
        <v>45</v>
      </c>
      <c r="F12" s="275" t="s">
        <v>9</v>
      </c>
      <c r="G12" s="275" t="s">
        <v>46</v>
      </c>
      <c r="H12" s="276" t="s">
        <v>47</v>
      </c>
      <c r="I12" s="273" t="s">
        <v>48</v>
      </c>
      <c r="J12" s="273" t="s">
        <v>49</v>
      </c>
      <c r="K12" s="273" t="s">
        <v>50</v>
      </c>
      <c r="L12" s="273" t="s">
        <v>51</v>
      </c>
      <c r="M12" s="273" t="s">
        <v>52</v>
      </c>
      <c r="N12" s="273" t="s">
        <v>53</v>
      </c>
      <c r="O12" s="275" t="s">
        <v>54</v>
      </c>
      <c r="P12" s="356" t="s">
        <v>55</v>
      </c>
      <c r="Q12" s="357" t="s">
        <v>56</v>
      </c>
      <c r="R12" s="358" t="s">
        <v>57</v>
      </c>
      <c r="S12" s="354" t="s">
        <v>58</v>
      </c>
      <c r="T12" s="352" t="s">
        <v>59</v>
      </c>
      <c r="U12" s="350" t="s">
        <v>60</v>
      </c>
      <c r="V12" s="304" t="s">
        <v>61</v>
      </c>
      <c r="W12" s="359" t="s">
        <v>62</v>
      </c>
      <c r="X12" s="304" t="s">
        <v>63</v>
      </c>
      <c r="Y12" s="350" t="s">
        <v>64</v>
      </c>
      <c r="Z12" s="352" t="s">
        <v>65</v>
      </c>
      <c r="AA12" s="354" t="s">
        <v>66</v>
      </c>
      <c r="AB12" s="352" t="s">
        <v>67</v>
      </c>
      <c r="AC12" s="350" t="s">
        <v>68</v>
      </c>
      <c r="AD12" s="304" t="s">
        <v>69</v>
      </c>
      <c r="AE12" s="348" t="s">
        <v>70</v>
      </c>
      <c r="AF12" s="344" t="s">
        <v>71</v>
      </c>
      <c r="AG12" s="344" t="s">
        <v>72</v>
      </c>
      <c r="AH12" s="344" t="s">
        <v>73</v>
      </c>
      <c r="AI12" s="344" t="s">
        <v>74</v>
      </c>
    </row>
    <row r="13" spans="1:35" ht="60" customHeight="1" thickBot="1" x14ac:dyDescent="0.4">
      <c r="A13" s="274"/>
      <c r="B13" s="274"/>
      <c r="C13" s="274"/>
      <c r="D13" s="274"/>
      <c r="E13" s="274"/>
      <c r="F13" s="274"/>
      <c r="G13" s="274"/>
      <c r="H13" s="276"/>
      <c r="I13" s="274"/>
      <c r="J13" s="274"/>
      <c r="K13" s="274"/>
      <c r="L13" s="274"/>
      <c r="M13" s="274"/>
      <c r="N13" s="274"/>
      <c r="O13" s="274"/>
      <c r="P13" s="356"/>
      <c r="Q13" s="357"/>
      <c r="R13" s="358"/>
      <c r="S13" s="355"/>
      <c r="T13" s="353"/>
      <c r="U13" s="351"/>
      <c r="V13" s="305"/>
      <c r="W13" s="360"/>
      <c r="X13" s="305"/>
      <c r="Y13" s="351"/>
      <c r="Z13" s="353"/>
      <c r="AA13" s="355"/>
      <c r="AB13" s="353"/>
      <c r="AC13" s="351"/>
      <c r="AD13" s="305"/>
      <c r="AE13" s="349"/>
      <c r="AF13" s="344"/>
      <c r="AG13" s="344"/>
      <c r="AH13" s="344"/>
      <c r="AI13" s="344"/>
    </row>
    <row r="14" spans="1:35" ht="40.25" customHeight="1" thickBot="1" x14ac:dyDescent="0.4">
      <c r="A14" s="259">
        <v>1</v>
      </c>
      <c r="B14" s="259" t="s">
        <v>75</v>
      </c>
      <c r="C14" s="259" t="s">
        <v>76</v>
      </c>
      <c r="D14" s="259" t="s">
        <v>77</v>
      </c>
      <c r="E14" s="259" t="s">
        <v>78</v>
      </c>
      <c r="F14" s="277" t="s">
        <v>79</v>
      </c>
      <c r="G14" s="259" t="s">
        <v>80</v>
      </c>
      <c r="H14" s="259" t="s">
        <v>1478</v>
      </c>
      <c r="I14" s="259" t="s">
        <v>81</v>
      </c>
      <c r="J14" s="259" t="s">
        <v>82</v>
      </c>
      <c r="K14" s="261" t="s">
        <v>83</v>
      </c>
      <c r="L14" s="261" t="s">
        <v>84</v>
      </c>
      <c r="M14" s="261" t="s">
        <v>85</v>
      </c>
      <c r="N14" s="263">
        <v>44928</v>
      </c>
      <c r="O14" s="263">
        <v>45291</v>
      </c>
      <c r="P14" s="64" t="s">
        <v>86</v>
      </c>
      <c r="Q14" s="53">
        <f>+(Q15*R14)</f>
        <v>7.1428571428571425E-2</v>
      </c>
      <c r="R14" s="71">
        <f>SUM(S14:AE14)</f>
        <v>0.5</v>
      </c>
      <c r="S14" s="43">
        <v>0.25</v>
      </c>
      <c r="T14" s="43"/>
      <c r="U14" s="43"/>
      <c r="V14" s="43"/>
      <c r="W14" s="43"/>
      <c r="X14" s="43"/>
      <c r="Y14" s="43">
        <v>0.25</v>
      </c>
      <c r="Z14" s="43"/>
      <c r="AA14" s="44"/>
      <c r="AB14" s="44"/>
      <c r="AC14" s="44"/>
      <c r="AD14" s="44"/>
      <c r="AE14" s="44"/>
      <c r="AF14" s="257" t="s">
        <v>87</v>
      </c>
      <c r="AG14" s="257" t="s">
        <v>88</v>
      </c>
      <c r="AH14" s="342"/>
      <c r="AI14" s="342"/>
    </row>
    <row r="15" spans="1:35" ht="53.5" customHeight="1" thickBot="1" x14ac:dyDescent="0.4">
      <c r="A15" s="279"/>
      <c r="B15" s="279"/>
      <c r="C15" s="279"/>
      <c r="D15" s="279"/>
      <c r="E15" s="279"/>
      <c r="F15" s="280"/>
      <c r="G15" s="279"/>
      <c r="H15" s="279"/>
      <c r="I15" s="279"/>
      <c r="J15" s="260"/>
      <c r="K15" s="262"/>
      <c r="L15" s="262"/>
      <c r="M15" s="262"/>
      <c r="N15" s="264"/>
      <c r="O15" s="264"/>
      <c r="P15" s="64" t="s">
        <v>89</v>
      </c>
      <c r="Q15" s="52">
        <f>100%/7</f>
        <v>0.14285714285714285</v>
      </c>
      <c r="R15" s="71">
        <f>SUM(S15:AE15)</f>
        <v>1</v>
      </c>
      <c r="S15" s="42"/>
      <c r="T15" s="42"/>
      <c r="U15" s="42"/>
      <c r="V15" s="42">
        <v>0.25</v>
      </c>
      <c r="W15" s="42"/>
      <c r="X15" s="42"/>
      <c r="Y15" s="42">
        <v>0.25</v>
      </c>
      <c r="Z15" s="42"/>
      <c r="AA15" s="42"/>
      <c r="AB15" s="42">
        <v>0.25</v>
      </c>
      <c r="AC15" s="42"/>
      <c r="AD15" s="42"/>
      <c r="AE15" s="42">
        <v>0.25</v>
      </c>
      <c r="AF15" s="258"/>
      <c r="AG15" s="258"/>
      <c r="AH15" s="343"/>
      <c r="AI15" s="343"/>
    </row>
    <row r="16" spans="1:35" ht="37.25" customHeight="1" thickBot="1" x14ac:dyDescent="0.4">
      <c r="A16" s="259">
        <v>2</v>
      </c>
      <c r="B16" s="259" t="s">
        <v>75</v>
      </c>
      <c r="C16" s="259" t="s">
        <v>76</v>
      </c>
      <c r="D16" s="259" t="s">
        <v>90</v>
      </c>
      <c r="E16" s="259" t="s">
        <v>91</v>
      </c>
      <c r="F16" s="277" t="s">
        <v>79</v>
      </c>
      <c r="G16" s="259" t="s">
        <v>92</v>
      </c>
      <c r="H16" s="259" t="s">
        <v>1477</v>
      </c>
      <c r="I16" s="259" t="s">
        <v>1472</v>
      </c>
      <c r="J16" s="259" t="s">
        <v>93</v>
      </c>
      <c r="K16" s="261" t="s">
        <v>94</v>
      </c>
      <c r="L16" s="261" t="s">
        <v>84</v>
      </c>
      <c r="M16" s="261" t="s">
        <v>85</v>
      </c>
      <c r="N16" s="263">
        <v>44928</v>
      </c>
      <c r="O16" s="263">
        <v>45291</v>
      </c>
      <c r="P16" s="64" t="s">
        <v>86</v>
      </c>
      <c r="Q16" s="53">
        <f>+(Q17*R16)</f>
        <v>7.1428571428571425E-2</v>
      </c>
      <c r="R16" s="71">
        <f t="shared" ref="R16:R27" si="0">SUM(S16:AE16)</f>
        <v>0.5</v>
      </c>
      <c r="S16" s="43"/>
      <c r="T16" s="43"/>
      <c r="U16" s="43">
        <v>0.25</v>
      </c>
      <c r="V16" s="43"/>
      <c r="W16" s="43"/>
      <c r="X16" s="43">
        <v>0.25</v>
      </c>
      <c r="Y16" s="43"/>
      <c r="Z16" s="43"/>
      <c r="AA16" s="44"/>
      <c r="AB16" s="44"/>
      <c r="AC16" s="44"/>
      <c r="AD16" s="44"/>
      <c r="AE16" s="44"/>
      <c r="AF16" s="265" t="s">
        <v>95</v>
      </c>
      <c r="AG16" s="366" t="s">
        <v>96</v>
      </c>
      <c r="AH16" s="342" t="s">
        <v>1470</v>
      </c>
      <c r="AI16" s="342"/>
    </row>
    <row r="17" spans="1:35" ht="63.5" customHeight="1" thickBot="1" x14ac:dyDescent="0.4">
      <c r="A17" s="260"/>
      <c r="B17" s="260"/>
      <c r="C17" s="260"/>
      <c r="D17" s="260"/>
      <c r="E17" s="260"/>
      <c r="F17" s="278"/>
      <c r="G17" s="260"/>
      <c r="H17" s="260"/>
      <c r="I17" s="260"/>
      <c r="J17" s="260"/>
      <c r="K17" s="266"/>
      <c r="L17" s="266"/>
      <c r="M17" s="266"/>
      <c r="N17" s="267"/>
      <c r="O17" s="267"/>
      <c r="P17" s="64" t="s">
        <v>89</v>
      </c>
      <c r="Q17" s="52">
        <f>100%/7</f>
        <v>0.14285714285714285</v>
      </c>
      <c r="R17" s="71">
        <f t="shared" si="0"/>
        <v>1</v>
      </c>
      <c r="S17" s="42"/>
      <c r="T17" s="42"/>
      <c r="U17" s="42"/>
      <c r="V17" s="42">
        <v>0.25</v>
      </c>
      <c r="W17" s="42"/>
      <c r="X17" s="42"/>
      <c r="Y17" s="42">
        <v>0.25</v>
      </c>
      <c r="Z17" s="42"/>
      <c r="AA17" s="42"/>
      <c r="AB17" s="42">
        <v>0.25</v>
      </c>
      <c r="AC17" s="42"/>
      <c r="AD17" s="42"/>
      <c r="AE17" s="42">
        <v>0.25</v>
      </c>
      <c r="AF17" s="258"/>
      <c r="AG17" s="367"/>
      <c r="AH17" s="343"/>
      <c r="AI17" s="343"/>
    </row>
    <row r="18" spans="1:35" ht="46.5" customHeight="1" thickBot="1" x14ac:dyDescent="0.4">
      <c r="A18" s="259">
        <v>3</v>
      </c>
      <c r="B18" s="259" t="s">
        <v>97</v>
      </c>
      <c r="C18" s="259" t="s">
        <v>98</v>
      </c>
      <c r="D18" s="259" t="s">
        <v>99</v>
      </c>
      <c r="E18" s="259" t="s">
        <v>100</v>
      </c>
      <c r="F18" s="277" t="s">
        <v>79</v>
      </c>
      <c r="G18" s="259" t="s">
        <v>29</v>
      </c>
      <c r="H18" s="259" t="s">
        <v>1476</v>
      </c>
      <c r="I18" s="259" t="s">
        <v>101</v>
      </c>
      <c r="J18" s="259" t="s">
        <v>93</v>
      </c>
      <c r="K18" s="261" t="s">
        <v>83</v>
      </c>
      <c r="L18" s="261" t="s">
        <v>84</v>
      </c>
      <c r="M18" s="261" t="s">
        <v>85</v>
      </c>
      <c r="N18" s="263">
        <v>44928</v>
      </c>
      <c r="O18" s="263">
        <v>45291</v>
      </c>
      <c r="P18" s="64" t="s">
        <v>86</v>
      </c>
      <c r="Q18" s="53">
        <f>+(Q19*R18)</f>
        <v>7.1428571428571425E-2</v>
      </c>
      <c r="R18" s="71">
        <f t="shared" si="0"/>
        <v>0.5</v>
      </c>
      <c r="S18" s="43"/>
      <c r="T18" s="43"/>
      <c r="U18" s="43">
        <v>0.25</v>
      </c>
      <c r="V18" s="43"/>
      <c r="W18" s="43"/>
      <c r="X18" s="43">
        <v>0.25</v>
      </c>
      <c r="Y18" s="43"/>
      <c r="Z18" s="44"/>
      <c r="AA18" s="44"/>
      <c r="AB18" s="44"/>
      <c r="AC18" s="44"/>
      <c r="AD18" s="44"/>
      <c r="AE18" s="44"/>
      <c r="AF18" s="257" t="s">
        <v>102</v>
      </c>
      <c r="AG18" s="257" t="s">
        <v>102</v>
      </c>
      <c r="AH18" s="342"/>
      <c r="AI18" s="342"/>
    </row>
    <row r="19" spans="1:35" ht="91.5" customHeight="1" thickBot="1" x14ac:dyDescent="0.4">
      <c r="A19" s="260"/>
      <c r="B19" s="260"/>
      <c r="C19" s="260"/>
      <c r="D19" s="260"/>
      <c r="E19" s="260"/>
      <c r="F19" s="278"/>
      <c r="G19" s="260"/>
      <c r="H19" s="260"/>
      <c r="I19" s="260"/>
      <c r="J19" s="260"/>
      <c r="K19" s="266"/>
      <c r="L19" s="266"/>
      <c r="M19" s="266"/>
      <c r="N19" s="267"/>
      <c r="O19" s="267"/>
      <c r="P19" s="64" t="s">
        <v>89</v>
      </c>
      <c r="Q19" s="52">
        <f>100%/7</f>
        <v>0.14285714285714285</v>
      </c>
      <c r="R19" s="71">
        <f t="shared" si="0"/>
        <v>1</v>
      </c>
      <c r="S19" s="42"/>
      <c r="T19" s="42"/>
      <c r="U19" s="42"/>
      <c r="V19" s="42">
        <v>0.25</v>
      </c>
      <c r="W19" s="42"/>
      <c r="X19" s="42"/>
      <c r="Y19" s="42">
        <v>0.25</v>
      </c>
      <c r="Z19" s="42"/>
      <c r="AA19" s="42"/>
      <c r="AB19" s="42"/>
      <c r="AC19" s="42">
        <v>0.25</v>
      </c>
      <c r="AD19" s="42"/>
      <c r="AE19" s="42">
        <v>0.25</v>
      </c>
      <c r="AF19" s="258"/>
      <c r="AG19" s="258"/>
      <c r="AH19" s="343"/>
      <c r="AI19" s="343"/>
    </row>
    <row r="20" spans="1:35" ht="56.75" customHeight="1" thickBot="1" x14ac:dyDescent="0.4">
      <c r="A20" s="259">
        <v>4</v>
      </c>
      <c r="B20" s="259" t="s">
        <v>97</v>
      </c>
      <c r="C20" s="259" t="s">
        <v>103</v>
      </c>
      <c r="D20" s="259" t="s">
        <v>90</v>
      </c>
      <c r="E20" s="259" t="s">
        <v>104</v>
      </c>
      <c r="F20" s="277" t="s">
        <v>79</v>
      </c>
      <c r="G20" s="259" t="s">
        <v>105</v>
      </c>
      <c r="H20" s="259" t="s">
        <v>1474</v>
      </c>
      <c r="I20" s="259" t="s">
        <v>106</v>
      </c>
      <c r="J20" s="259" t="s">
        <v>93</v>
      </c>
      <c r="K20" s="261" t="s">
        <v>83</v>
      </c>
      <c r="L20" s="261" t="s">
        <v>84</v>
      </c>
      <c r="M20" s="261" t="s">
        <v>85</v>
      </c>
      <c r="N20" s="263">
        <v>44928</v>
      </c>
      <c r="O20" s="263">
        <v>45291</v>
      </c>
      <c r="P20" s="64" t="s">
        <v>86</v>
      </c>
      <c r="Q20" s="53">
        <f>+(Q21*R20)</f>
        <v>7.1428571428571425E-2</v>
      </c>
      <c r="R20" s="71">
        <f>SUM(S20:AE20)</f>
        <v>0.5</v>
      </c>
      <c r="S20" s="43"/>
      <c r="T20" s="43"/>
      <c r="U20" s="43"/>
      <c r="V20" s="43">
        <v>0.25</v>
      </c>
      <c r="W20" s="43"/>
      <c r="X20" s="43"/>
      <c r="Y20" s="43">
        <v>0.25</v>
      </c>
      <c r="Z20" s="43"/>
      <c r="AA20" s="44"/>
      <c r="AB20" s="44"/>
      <c r="AC20" s="44"/>
      <c r="AD20" s="44"/>
      <c r="AE20" s="44"/>
      <c r="AF20" s="257" t="s">
        <v>107</v>
      </c>
      <c r="AG20" s="366" t="s">
        <v>108</v>
      </c>
      <c r="AH20" s="342"/>
      <c r="AI20" s="342"/>
    </row>
    <row r="21" spans="1:35" ht="37.25" customHeight="1" thickBot="1" x14ac:dyDescent="0.4">
      <c r="A21" s="260"/>
      <c r="B21" s="260"/>
      <c r="C21" s="260"/>
      <c r="D21" s="260"/>
      <c r="E21" s="260"/>
      <c r="F21" s="278"/>
      <c r="G21" s="260"/>
      <c r="H21" s="260"/>
      <c r="I21" s="260"/>
      <c r="J21" s="260"/>
      <c r="K21" s="266"/>
      <c r="L21" s="266"/>
      <c r="M21" s="266"/>
      <c r="N21" s="267"/>
      <c r="O21" s="267"/>
      <c r="P21" s="64" t="s">
        <v>89</v>
      </c>
      <c r="Q21" s="52">
        <f>100%/7</f>
        <v>0.14285714285714285</v>
      </c>
      <c r="R21" s="71">
        <f t="shared" si="0"/>
        <v>1</v>
      </c>
      <c r="S21" s="42"/>
      <c r="T21" s="42"/>
      <c r="U21" s="42"/>
      <c r="V21" s="42">
        <v>0.25</v>
      </c>
      <c r="W21" s="42"/>
      <c r="X21" s="42"/>
      <c r="Y21" s="42">
        <v>0.25</v>
      </c>
      <c r="Z21" s="42"/>
      <c r="AA21" s="42"/>
      <c r="AB21" s="42">
        <v>0.25</v>
      </c>
      <c r="AC21" s="42"/>
      <c r="AD21" s="42"/>
      <c r="AE21" s="42">
        <v>0.25</v>
      </c>
      <c r="AF21" s="258"/>
      <c r="AG21" s="367"/>
      <c r="AH21" s="343"/>
      <c r="AI21" s="343"/>
    </row>
    <row r="22" spans="1:35" ht="143" customHeight="1" thickBot="1" x14ac:dyDescent="0.4">
      <c r="A22" s="259">
        <v>5</v>
      </c>
      <c r="B22" s="259" t="s">
        <v>109</v>
      </c>
      <c r="C22" s="259" t="s">
        <v>110</v>
      </c>
      <c r="D22" s="259" t="s">
        <v>77</v>
      </c>
      <c r="E22" s="259" t="s">
        <v>111</v>
      </c>
      <c r="F22" s="277" t="s">
        <v>79</v>
      </c>
      <c r="G22" s="771" t="s">
        <v>112</v>
      </c>
      <c r="H22" s="259" t="s">
        <v>1480</v>
      </c>
      <c r="I22" s="259" t="s">
        <v>1473</v>
      </c>
      <c r="J22" s="259" t="s">
        <v>93</v>
      </c>
      <c r="K22" s="261" t="s">
        <v>83</v>
      </c>
      <c r="L22" s="261" t="s">
        <v>84</v>
      </c>
      <c r="M22" s="261" t="s">
        <v>85</v>
      </c>
      <c r="N22" s="263">
        <v>44928</v>
      </c>
      <c r="O22" s="263">
        <v>45291</v>
      </c>
      <c r="P22" s="64" t="s">
        <v>86</v>
      </c>
      <c r="Q22" s="53">
        <f>+(Q23*R22)</f>
        <v>7.1428571428571425E-2</v>
      </c>
      <c r="R22" s="71">
        <f t="shared" si="0"/>
        <v>0.5</v>
      </c>
      <c r="S22" s="45"/>
      <c r="T22" s="45"/>
      <c r="U22" s="45"/>
      <c r="V22" s="43">
        <v>0.25</v>
      </c>
      <c r="W22" s="43"/>
      <c r="X22" s="43"/>
      <c r="Y22" s="43">
        <v>0.25</v>
      </c>
      <c r="Z22" s="43"/>
      <c r="AA22" s="44"/>
      <c r="AB22" s="44"/>
      <c r="AC22" s="44"/>
      <c r="AD22" s="44"/>
      <c r="AE22" s="44"/>
      <c r="AF22" s="769" t="s">
        <v>113</v>
      </c>
      <c r="AG22" s="368" t="s">
        <v>1471</v>
      </c>
      <c r="AH22" s="342"/>
      <c r="AI22" s="342"/>
    </row>
    <row r="23" spans="1:35" ht="36.65" customHeight="1" thickBot="1" x14ac:dyDescent="0.4">
      <c r="A23" s="260"/>
      <c r="B23" s="260"/>
      <c r="C23" s="260"/>
      <c r="D23" s="260"/>
      <c r="E23" s="260"/>
      <c r="F23" s="278"/>
      <c r="G23" s="772"/>
      <c r="H23" s="260"/>
      <c r="I23" s="260"/>
      <c r="J23" s="260"/>
      <c r="K23" s="266"/>
      <c r="L23" s="266"/>
      <c r="M23" s="266"/>
      <c r="N23" s="267"/>
      <c r="O23" s="267"/>
      <c r="P23" s="64" t="s">
        <v>89</v>
      </c>
      <c r="Q23" s="52">
        <f>100%/7</f>
        <v>0.14285714285714285</v>
      </c>
      <c r="R23" s="71">
        <f t="shared" si="0"/>
        <v>1</v>
      </c>
      <c r="S23" s="42"/>
      <c r="T23" s="42"/>
      <c r="U23" s="42"/>
      <c r="V23" s="42">
        <v>0.25</v>
      </c>
      <c r="W23" s="42"/>
      <c r="X23" s="42"/>
      <c r="Y23" s="42">
        <v>0.25</v>
      </c>
      <c r="Z23" s="42"/>
      <c r="AA23" s="42"/>
      <c r="AB23" s="42">
        <v>0.25</v>
      </c>
      <c r="AC23" s="42"/>
      <c r="AD23" s="42"/>
      <c r="AE23" s="42">
        <v>0.25</v>
      </c>
      <c r="AF23" s="770"/>
      <c r="AG23" s="768"/>
      <c r="AH23" s="343"/>
      <c r="AI23" s="343"/>
    </row>
    <row r="24" spans="1:35" ht="37.25" customHeight="1" thickBot="1" x14ac:dyDescent="0.4">
      <c r="A24" s="259">
        <v>6</v>
      </c>
      <c r="B24" s="259" t="s">
        <v>114</v>
      </c>
      <c r="C24" s="259" t="s">
        <v>115</v>
      </c>
      <c r="D24" s="259" t="s">
        <v>116</v>
      </c>
      <c r="E24" s="259" t="s">
        <v>117</v>
      </c>
      <c r="F24" s="277" t="s">
        <v>79</v>
      </c>
      <c r="G24" s="259" t="s">
        <v>118</v>
      </c>
      <c r="H24" s="259" t="s">
        <v>1475</v>
      </c>
      <c r="I24" s="259" t="s">
        <v>119</v>
      </c>
      <c r="J24" s="259" t="s">
        <v>93</v>
      </c>
      <c r="K24" s="261" t="s">
        <v>83</v>
      </c>
      <c r="L24" s="261" t="s">
        <v>84</v>
      </c>
      <c r="M24" s="261" t="s">
        <v>85</v>
      </c>
      <c r="N24" s="263">
        <v>44928</v>
      </c>
      <c r="O24" s="263">
        <v>45291</v>
      </c>
      <c r="P24" s="64" t="s">
        <v>86</v>
      </c>
      <c r="Q24" s="53">
        <f>+(Q25*R24)</f>
        <v>7.1428571428571425E-2</v>
      </c>
      <c r="R24" s="71">
        <f t="shared" si="0"/>
        <v>0.5</v>
      </c>
      <c r="S24" s="63"/>
      <c r="T24" s="63"/>
      <c r="U24" s="110">
        <v>0.25</v>
      </c>
      <c r="V24" s="43"/>
      <c r="W24" s="43"/>
      <c r="X24" s="43"/>
      <c r="Y24" s="43">
        <v>0.25</v>
      </c>
      <c r="Z24" s="43"/>
      <c r="AA24" s="44"/>
      <c r="AB24" s="44"/>
      <c r="AC24" s="44"/>
      <c r="AD24" s="44"/>
      <c r="AE24" s="44"/>
      <c r="AF24" s="362"/>
      <c r="AG24" s="366" t="s">
        <v>120</v>
      </c>
      <c r="AH24" s="342"/>
      <c r="AI24" s="342"/>
    </row>
    <row r="25" spans="1:35" ht="93.65" customHeight="1" thickBot="1" x14ac:dyDescent="0.4">
      <c r="A25" s="260"/>
      <c r="B25" s="260"/>
      <c r="C25" s="260"/>
      <c r="D25" s="260"/>
      <c r="E25" s="260"/>
      <c r="F25" s="278"/>
      <c r="G25" s="260"/>
      <c r="H25" s="260"/>
      <c r="I25" s="260"/>
      <c r="J25" s="260"/>
      <c r="K25" s="266"/>
      <c r="L25" s="266"/>
      <c r="M25" s="266"/>
      <c r="N25" s="267"/>
      <c r="O25" s="267"/>
      <c r="P25" s="64" t="s">
        <v>89</v>
      </c>
      <c r="Q25" s="52">
        <f>100%/7</f>
        <v>0.14285714285714285</v>
      </c>
      <c r="R25" s="71">
        <f t="shared" si="0"/>
        <v>1</v>
      </c>
      <c r="S25" s="42"/>
      <c r="T25" s="42"/>
      <c r="U25" s="42"/>
      <c r="V25" s="42">
        <v>0.25</v>
      </c>
      <c r="W25" s="42"/>
      <c r="X25" s="42"/>
      <c r="Y25" s="42">
        <v>0.25</v>
      </c>
      <c r="Z25" s="42"/>
      <c r="AA25" s="42"/>
      <c r="AB25" s="42">
        <v>0.25</v>
      </c>
      <c r="AC25" s="42"/>
      <c r="AD25" s="42"/>
      <c r="AE25" s="42">
        <v>0.25</v>
      </c>
      <c r="AF25" s="363"/>
      <c r="AG25" s="367"/>
      <c r="AH25" s="343"/>
      <c r="AI25" s="343"/>
    </row>
    <row r="26" spans="1:35" ht="74.75" customHeight="1" thickBot="1" x14ac:dyDescent="0.4">
      <c r="A26" s="283">
        <v>7</v>
      </c>
      <c r="B26" s="283" t="s">
        <v>121</v>
      </c>
      <c r="C26" s="283" t="s">
        <v>103</v>
      </c>
      <c r="D26" s="283" t="s">
        <v>77</v>
      </c>
      <c r="E26" s="283" t="s">
        <v>122</v>
      </c>
      <c r="F26" s="284" t="s">
        <v>79</v>
      </c>
      <c r="G26" s="283" t="s">
        <v>123</v>
      </c>
      <c r="H26" s="283" t="s">
        <v>1479</v>
      </c>
      <c r="I26" s="283" t="s">
        <v>124</v>
      </c>
      <c r="J26" s="259" t="s">
        <v>125</v>
      </c>
      <c r="K26" s="281" t="s">
        <v>83</v>
      </c>
      <c r="L26" s="281" t="s">
        <v>84</v>
      </c>
      <c r="M26" s="281" t="s">
        <v>126</v>
      </c>
      <c r="N26" s="282">
        <v>44928</v>
      </c>
      <c r="O26" s="282">
        <v>45291</v>
      </c>
      <c r="P26" s="64" t="s">
        <v>86</v>
      </c>
      <c r="Q26" s="53">
        <f>+(Q27*R26)</f>
        <v>7.1428571428571425E-2</v>
      </c>
      <c r="R26" s="71">
        <f t="shared" si="0"/>
        <v>0.5</v>
      </c>
      <c r="S26" s="45"/>
      <c r="T26" s="45"/>
      <c r="U26" s="45"/>
      <c r="V26" s="45"/>
      <c r="W26" s="45"/>
      <c r="X26" s="45"/>
      <c r="Y26" s="45">
        <v>0.5</v>
      </c>
      <c r="Z26" s="45"/>
      <c r="AA26" s="45"/>
      <c r="AB26" s="45"/>
      <c r="AC26" s="45"/>
      <c r="AD26" s="45"/>
      <c r="AE26" s="45"/>
      <c r="AF26" s="364" t="s">
        <v>127</v>
      </c>
      <c r="AG26" s="368" t="s">
        <v>128</v>
      </c>
      <c r="AH26" s="342"/>
      <c r="AI26" s="342"/>
    </row>
    <row r="27" spans="1:35" ht="37.25" customHeight="1" x14ac:dyDescent="0.35">
      <c r="A27" s="283"/>
      <c r="B27" s="283"/>
      <c r="C27" s="283"/>
      <c r="D27" s="283"/>
      <c r="E27" s="283"/>
      <c r="F27" s="284"/>
      <c r="G27" s="283"/>
      <c r="H27" s="283"/>
      <c r="I27" s="283"/>
      <c r="J27" s="260"/>
      <c r="K27" s="281"/>
      <c r="L27" s="281"/>
      <c r="M27" s="281"/>
      <c r="N27" s="282"/>
      <c r="O27" s="282"/>
      <c r="P27" s="64" t="s">
        <v>89</v>
      </c>
      <c r="Q27" s="52">
        <f>100%/7</f>
        <v>0.14285714285714285</v>
      </c>
      <c r="R27" s="71">
        <f t="shared" si="0"/>
        <v>1</v>
      </c>
      <c r="S27" s="42"/>
      <c r="T27" s="42"/>
      <c r="U27" s="42"/>
      <c r="V27" s="42"/>
      <c r="W27" s="42"/>
      <c r="X27" s="42"/>
      <c r="Y27" s="42">
        <v>0.5</v>
      </c>
      <c r="Z27" s="42"/>
      <c r="AA27" s="42"/>
      <c r="AB27" s="42"/>
      <c r="AC27" s="42"/>
      <c r="AD27" s="42"/>
      <c r="AE27" s="42">
        <v>0.5</v>
      </c>
      <c r="AF27" s="365"/>
      <c r="AG27" s="367"/>
      <c r="AH27" s="343"/>
      <c r="AI27" s="343"/>
    </row>
    <row r="29" spans="1:35" s="13" customFormat="1" ht="30" hidden="1" customHeight="1" x14ac:dyDescent="0.35">
      <c r="D29" s="249" t="s">
        <v>32</v>
      </c>
      <c r="E29" s="249"/>
      <c r="F29" s="21">
        <v>1</v>
      </c>
      <c r="H29" s="253" t="s">
        <v>129</v>
      </c>
      <c r="I29" s="22" t="s">
        <v>130</v>
      </c>
      <c r="J29" s="54" t="e">
        <f>SUM(O29:AD29)</f>
        <v>#REF!</v>
      </c>
      <c r="K29" s="33"/>
      <c r="L29" s="33"/>
      <c r="M29" s="33"/>
      <c r="N29" s="33"/>
      <c r="O29" s="33" t="e">
        <f>+(W14*$Q$15)+(W16*$Q$17)+(W18*$Q$19)+(W20*$Q$21)+(W22*$Q$23)+(W25*$Q$25)+(#REF!*$Q$27)+(#REF!*#REF!)+(#REF!*#REF!)+(#REF!*#REF!)+(#REF!*#REF!)+(#REF!*#REF!)+(#REF!*#REF!)</f>
        <v>#REF!</v>
      </c>
      <c r="P29" s="33" t="e">
        <f>+(AD14*$Q$15)+(AD16*$Q$17)+(AD18*$Q$19)+(AD20*$Q$21)+(AD22*$Q$23)+(AD25*$Q$25)+(#REF!*$Q$27)+(#REF!*#REF!)+(#REF!*#REF!)+(#REF!*#REF!)+(#REF!*#REF!)+(#REF!*#REF!)+(#REF!*#REF!)</f>
        <v>#REF!</v>
      </c>
      <c r="Q29" s="36" t="e">
        <f>+(#REF!*$Q$15)+(#REF!*$Q$17)+(#REF!*$Q$19)+(#REF!*$Q$21)+(#REF!*$Q$23)+(#REF!*$Q$25)+(#REF!*$Q$27)+(#REF!*#REF!)+(#REF!*#REF!)+(#REF!*#REF!)+(#REF!*#REF!)+(#REF!*#REF!)+(#REF!*#REF!)</f>
        <v>#REF!</v>
      </c>
      <c r="R29" s="33" t="e">
        <f>+(#REF!*$Q$15)+(#REF!*$Q$17)+(#REF!*$Q$19)+(#REF!*$Q$21)+(#REF!*$Q$23)+(#REF!*$Q$25)+(#REF!*$Q$27)+(#REF!*#REF!)+(#REF!*#REF!)+(#REF!*#REF!)+(#REF!*#REF!)+(#REF!*#REF!)+(#REF!*#REF!)</f>
        <v>#REF!</v>
      </c>
      <c r="S29" s="33" t="e">
        <f>+(#REF!*$Q$15)+(#REF!*$Q$17)+(#REF!*$Q$19)+(#REF!*$Q$21)+(#REF!*$Q$23)+(#REF!*$Q$25)+(#REF!*$Q$27)+(#REF!*#REF!)+(#REF!*#REF!)+(#REF!*#REF!)+(#REF!*#REF!)+(#REF!*#REF!)+(#REF!*#REF!)</f>
        <v>#REF!</v>
      </c>
      <c r="T29" s="33" t="e">
        <f>+(#REF!*$Q$15)+(#REF!*$Q$17)+(#REF!*$Q$19)+(#REF!*$Q$21)+(#REF!*$Q$23)+(#REF!*$Q$25)+(#REF!*$Q$27)+(#REF!*#REF!)+(#REF!*#REF!)+(#REF!*#REF!)+(#REF!*#REF!)+(#REF!*#REF!)+(#REF!*#REF!)</f>
        <v>#REF!</v>
      </c>
      <c r="U29" s="33" t="e">
        <f>+(#REF!*$Q$15)+(#REF!*$Q$17)+(#REF!*$Q$19)+(#REF!*$Q$21)+(#REF!*$Q$23)+(#REF!*$Q$25)+(T27*$Q$27)+(#REF!*#REF!)+(#REF!*#REF!)+(#REF!*#REF!)+(#REF!*#REF!)+(#REF!*#REF!)+(#REF!*#REF!)</f>
        <v>#REF!</v>
      </c>
      <c r="V29" s="33" t="e">
        <f>+(#REF!*$Q$15)+(#REF!*$Q$17)+(#REF!*$Q$19)+(#REF!*$Q$21)+(#REF!*$Q$23)+(#REF!*$Q$25)+(U27*$Q$27)+(#REF!*#REF!)+(#REF!*#REF!)+(#REF!*#REF!)+(#REF!*#REF!)+(#REF!*#REF!)+(#REF!*#REF!)</f>
        <v>#REF!</v>
      </c>
      <c r="W29" s="33" t="e">
        <f>+(#REF!*$Q$15)+(#REF!*$Q$17)+(#REF!*$Q$19)+(#REF!*$Q$21)+(#REF!*$Q$23)+(#REF!*$Q$25)+(V27*$Q$27)+(#REF!*#REF!)+(#REF!*#REF!)+(#REF!*#REF!)+(#REF!*#REF!)+(#REF!*#REF!)+(#REF!*#REF!)</f>
        <v>#REF!</v>
      </c>
      <c r="X29" s="33" t="e">
        <f>+(#REF!*$Q$15)+(#REF!*$Q$17)+(#REF!*$Q$19)+(#REF!*$Q$21)+(#REF!*$Q$23)+(#REF!*$Q$25)+(W27*$Q$27)+(#REF!*#REF!)+(#REF!*#REF!)+(#REF!*#REF!)+(#REF!*#REF!)+(#REF!*#REF!)+(#REF!*#REF!)</f>
        <v>#REF!</v>
      </c>
      <c r="Y29" s="33" t="e">
        <f>+(#REF!*$Q$15)+(#REF!*$Q$17)+(#REF!*$Q$19)+(#REF!*$Q$21)+(#REF!*$Q$23)+(#REF!*$Q$25)+(X27*$Q$27)+(#REF!*#REF!)+(#REF!*#REF!)+(#REF!*#REF!)+(#REF!*#REF!)+(#REF!*#REF!)+(#REF!*#REF!)</f>
        <v>#REF!</v>
      </c>
      <c r="Z29" s="33" t="e">
        <f>+(#REF!*$Q$15)+(#REF!*$Q$17)+(#REF!*$Q$19)+(#REF!*$Q$21)+(#REF!*$Q$23)+(#REF!*$Q$25)+(Y27*$Q$27)+(#REF!*#REF!)+(#REF!*#REF!)+(#REF!*#REF!)+(#REF!*#REF!)+(#REF!*#REF!)+(#REF!*#REF!)</f>
        <v>#REF!</v>
      </c>
      <c r="AA29" s="33" t="e">
        <f>+(#REF!*$Q$15)+(#REF!*$Q$17)+(#REF!*$Q$19)+(#REF!*$Q$21)+(#REF!*$Q$23)+(#REF!*$Q$25)+(Z27*$Q$27)+(#REF!*#REF!)+(#REF!*#REF!)+(#REF!*#REF!)+(#REF!*#REF!)+(#REF!*#REF!)+(#REF!*#REF!)</f>
        <v>#REF!</v>
      </c>
      <c r="AB29" s="33" t="e">
        <f>+(#REF!*$Q$15)+(#REF!*$Q$17)+(#REF!*$Q$19)+(#REF!*$Q$21)+(#REF!*$Q$23)+(#REF!*$Q$25)+(AA27*$Q$27)+(#REF!*#REF!)+(#REF!*#REF!)+(#REF!*#REF!)+(#REF!*#REF!)+(#REF!*#REF!)+(#REF!*#REF!)</f>
        <v>#REF!</v>
      </c>
      <c r="AC29" s="36" t="e">
        <f>+(#REF!*$Q$15)+(#REF!*$Q$17)+(#REF!*$Q$19)+(#REF!*$Q$21)+(#REF!*$Q$23)+(#REF!*$Q$25)+(AB27*$Q$27)+(#REF!*#REF!)+(#REF!*#REF!)+(#REF!*#REF!)+(#REF!*#REF!)+(#REF!*#REF!)+(#REF!*#REF!)</f>
        <v>#REF!</v>
      </c>
      <c r="AD29" s="33" t="e">
        <f>+(#REF!*$Q$15)+(#REF!*$Q$17)+(#REF!*$Q$19)+(#REF!*$Q$21)+(#REF!*$Q$23)+(#REF!*$Q$25)+(AC27*$Q$27)+(#REF!*#REF!)+(#REF!*#REF!)+(#REF!*#REF!)+(#REF!*#REF!)+(#REF!*#REF!)+(#REF!*#REF!)</f>
        <v>#REF!</v>
      </c>
      <c r="AE29" s="66"/>
    </row>
    <row r="30" spans="1:35" s="13" customFormat="1" ht="30" hidden="1" customHeight="1" x14ac:dyDescent="0.35">
      <c r="D30" s="249"/>
      <c r="E30" s="249"/>
      <c r="F30" s="21"/>
      <c r="H30" s="254"/>
      <c r="I30" s="15" t="s">
        <v>131</v>
      </c>
      <c r="J30" s="17"/>
      <c r="K30" s="34"/>
      <c r="L30" s="34"/>
      <c r="M30" s="34"/>
      <c r="N30" s="34"/>
      <c r="O30" s="34"/>
      <c r="P30" s="34" t="e">
        <f>SUM(P29:P29)</f>
        <v>#REF!</v>
      </c>
      <c r="Q30" s="37"/>
      <c r="R30" s="34"/>
      <c r="S30" s="34"/>
      <c r="T30" s="27" t="e">
        <f>SUM(Q29:T29)</f>
        <v>#REF!</v>
      </c>
      <c r="U30" s="27"/>
      <c r="V30" s="27"/>
      <c r="W30" s="27"/>
      <c r="X30" s="27" t="e">
        <f>SUM(U29:X29)</f>
        <v>#REF!</v>
      </c>
      <c r="Y30" s="27"/>
      <c r="Z30" s="27"/>
      <c r="AA30" s="27"/>
      <c r="AB30" s="27" t="e">
        <f>SUM(Y29:AB29)</f>
        <v>#REF!</v>
      </c>
      <c r="AC30" s="39"/>
      <c r="AD30" s="27"/>
      <c r="AE30" s="67"/>
    </row>
    <row r="31" spans="1:35" s="13" customFormat="1" ht="30" hidden="1" customHeight="1" x14ac:dyDescent="0.35">
      <c r="H31" s="254"/>
      <c r="I31" s="15" t="s">
        <v>132</v>
      </c>
      <c r="J31" s="14"/>
      <c r="K31" s="34"/>
      <c r="L31" s="34"/>
      <c r="M31" s="34"/>
      <c r="N31" s="34"/>
      <c r="O31" s="34"/>
      <c r="P31" s="34" t="e">
        <f>+#REF!+P30</f>
        <v>#REF!</v>
      </c>
      <c r="Q31" s="37"/>
      <c r="R31" s="34"/>
      <c r="S31" s="34"/>
      <c r="T31" s="26"/>
      <c r="U31" s="27"/>
      <c r="V31" s="27"/>
      <c r="W31" s="27"/>
      <c r="X31" s="27"/>
      <c r="Y31" s="27"/>
      <c r="Z31" s="27"/>
      <c r="AA31" s="27"/>
      <c r="AB31" s="27" t="e">
        <f>+T30+X30+AB30</f>
        <v>#REF!</v>
      </c>
      <c r="AC31" s="39"/>
      <c r="AD31" s="27"/>
      <c r="AE31" s="67"/>
    </row>
    <row r="32" spans="1:35" s="13" customFormat="1" ht="30" hidden="1" customHeight="1" x14ac:dyDescent="0.35">
      <c r="H32" s="255"/>
      <c r="I32" s="18" t="s">
        <v>133</v>
      </c>
      <c r="J32" s="19"/>
      <c r="K32" s="35"/>
      <c r="L32" s="35"/>
      <c r="M32" s="35"/>
      <c r="N32" s="35"/>
      <c r="O32" s="35"/>
      <c r="P32" s="35"/>
      <c r="Q32" s="38"/>
      <c r="R32" s="35"/>
      <c r="S32" s="35"/>
      <c r="T32" s="28"/>
      <c r="U32" s="29"/>
      <c r="V32" s="29"/>
      <c r="W32" s="29"/>
      <c r="X32" s="29"/>
      <c r="Y32" s="29"/>
      <c r="Z32" s="29"/>
      <c r="AA32" s="29"/>
      <c r="AB32" s="29" t="e">
        <f>+P31+AB31</f>
        <v>#REF!</v>
      </c>
      <c r="AC32" s="40"/>
      <c r="AD32" s="29"/>
      <c r="AE32" s="67"/>
    </row>
    <row r="33" spans="8:31" s="13" customFormat="1" ht="30" hidden="1" customHeight="1" x14ac:dyDescent="0.35">
      <c r="H33" s="256" t="s">
        <v>134</v>
      </c>
      <c r="I33" s="15" t="s">
        <v>135</v>
      </c>
      <c r="J33" s="23" t="e">
        <f>SUM(O33:AD33)</f>
        <v>#REF!</v>
      </c>
      <c r="K33" s="34"/>
      <c r="L33" s="34"/>
      <c r="M33" s="34"/>
      <c r="N33" s="34"/>
      <c r="O33" s="34" t="e">
        <f>+(W15*$Q$15)+(W17*$Q$17)+(#REF!*$Q$19)+(W21*$Q$21)+(#REF!*$Q$23)+(W26*$Q$25)+(#REF!*$Q$27)+(#REF!*#REF!)+(#REF!*#REF!)+(#REF!*#REF!)+(#REF!*#REF!)+(#REF!*#REF!)+(#REF!*#REF!)</f>
        <v>#REF!</v>
      </c>
      <c r="P33" s="34" t="e">
        <f>+(AD15*$Q$15)+(AD17*$Q$17)+(AD19*$Q$19)+(AD21*$Q$21)+(#REF!*$Q$23)+(AD26*$Q$25)+(#REF!*$Q$27)+(#REF!*#REF!)+(#REF!*#REF!)+(#REF!*#REF!)+(#REF!*#REF!)+(#REF!*#REF!)+(#REF!*#REF!)</f>
        <v>#REF!</v>
      </c>
      <c r="Q33" s="37" t="e">
        <f>+(#REF!*$Q$15)+(#REF!*$Q$17)+(#REF!*$Q$19)+(#REF!*$Q$21)+(#REF!*$Q$23)+(#REF!*$Q$25)+(#REF!*$Q$27)+(#REF!*#REF!)+(#REF!*#REF!)+(#REF!*#REF!)+(#REF!*#REF!)+(#REF!*#REF!)+(#REF!*#REF!)</f>
        <v>#REF!</v>
      </c>
      <c r="R33" s="34" t="e">
        <f>+(#REF!*$Q$15)+(#REF!*$Q$17)+(#REF!*$Q$19)+(#REF!*$Q$21)+(#REF!*$Q$23)+(#REF!*$Q$25)+(#REF!*$Q$27)+(#REF!*#REF!)+(#REF!*#REF!)+(#REF!*#REF!)+(#REF!*#REF!)+(#REF!*#REF!)+(#REF!*#REF!)</f>
        <v>#REF!</v>
      </c>
      <c r="S33" s="34" t="e">
        <f>+(#REF!*$Q$15)+(#REF!*$Q$17)+(#REF!*$Q$19)+(#REF!*$Q$21)+(#REF!*$Q$23)+(#REF!*$Q$25)+(#REF!*$Q$27)+(#REF!*#REF!)+(#REF!*#REF!)+(#REF!*#REF!)+(#REF!*#REF!)+(#REF!*#REF!)+(#REF!*#REF!)</f>
        <v>#REF!</v>
      </c>
      <c r="T33" s="34" t="e">
        <f>+(#REF!*$Q$15)+(#REF!*$Q$17)+(#REF!*$Q$19)+(#REF!*$Q$21)+(#REF!*$Q$23)+(#REF!*$Q$25)+(S26*$Q$27)+(#REF!*#REF!)+(#REF!*#REF!)+(#REF!*#REF!)+(#REF!*#REF!)+(#REF!*#REF!)+(#REF!*#REF!)</f>
        <v>#REF!</v>
      </c>
      <c r="U33" s="34" t="e">
        <f>+(#REF!*$Q$15)+(#REF!*$Q$17)+(#REF!*$Q$19)+(#REF!*$Q$21)+(#REF!*$Q$23)+(#REF!*$Q$25)+(#REF!*$Q$27)+(#REF!*#REF!)+(#REF!*#REF!)+(#REF!*#REF!)+(#REF!*#REF!)+(#REF!*#REF!)+(#REF!*#REF!)</f>
        <v>#REF!</v>
      </c>
      <c r="V33" s="34" t="e">
        <f>+(#REF!*$Q$15)+(#REF!*$Q$17)+(#REF!*$Q$19)+(#REF!*$Q$21)+(#REF!*$Q$23)+(#REF!*$Q$25)+(#REF!*$Q$27)+(#REF!*#REF!)+(#REF!*#REF!)+(#REF!*#REF!)+(#REF!*#REF!)+(#REF!*#REF!)+(#REF!*#REF!)</f>
        <v>#REF!</v>
      </c>
      <c r="W33" s="34" t="e">
        <f>+(#REF!*$Q$15)+(#REF!*$Q$17)+(#REF!*$Q$19)+(#REF!*$Q$21)+(#REF!*$Q$23)+(#REF!*$Q$25)+(#REF!*$Q$27)+(#REF!*#REF!)+(#REF!*#REF!)+(#REF!*#REF!)+(#REF!*#REF!)+(#REF!*#REF!)+(#REF!*#REF!)</f>
        <v>#REF!</v>
      </c>
      <c r="X33" s="34" t="e">
        <f>+(#REF!*$Q$15)+(#REF!*$Q$17)+(#REF!*$Q$19)+(#REF!*$Q$21)+(#REF!*$Q$23)+(#REF!*$Q$25)+(#REF!*$Q$27)+(#REF!*#REF!)+(#REF!*#REF!)+(#REF!*#REF!)+(#REF!*#REF!)+(#REF!*#REF!)+(#REF!*#REF!)</f>
        <v>#REF!</v>
      </c>
      <c r="Y33" s="34" t="e">
        <f>+(#REF!*$Q$15)+(#REF!*$Q$17)+(#REF!*$Q$19)+(#REF!*$Q$21)+(#REF!*$Q$23)+(#REF!*$Q$25)+(#REF!*$Q$27)+(#REF!*#REF!)+(#REF!*#REF!)+(#REF!*#REF!)+(#REF!*#REF!)+(#REF!*#REF!)+(#REF!*#REF!)</f>
        <v>#REF!</v>
      </c>
      <c r="Z33" s="34" t="e">
        <f>+(#REF!*$Q$15)+(#REF!*$Q$17)+(#REF!*$Q$19)+(#REF!*$Q$21)+(#REF!*$Q$23)+(#REF!*$Q$25)+(#REF!*$Q$27)+(#REF!*#REF!)+(#REF!*#REF!)+(#REF!*#REF!)+(#REF!*#REF!)+(#REF!*#REF!)+(#REF!*#REF!)</f>
        <v>#REF!</v>
      </c>
      <c r="AA33" s="34" t="e">
        <f>+(#REF!*$Q$15)+(#REF!*$Q$17)+(#REF!*$Q$19)+(#REF!*$Q$21)+(#REF!*$Q$23)+(#REF!*$Q$25)+(#REF!*$Q$27)+(#REF!*#REF!)+(#REF!*#REF!)+(#REF!*#REF!)+(#REF!*#REF!)+(#REF!*#REF!)+(#REF!*#REF!)</f>
        <v>#REF!</v>
      </c>
      <c r="AB33" s="34" t="e">
        <f>+(#REF!*$Q$15)+(#REF!*$Q$17)+(#REF!*$Q$19)+(#REF!*$Q$21)+(#REF!*$Q$23)+(#REF!*$Q$25)+(#REF!*$Q$27)+(#REF!*#REF!)+(#REF!*#REF!)+(#REF!*#REF!)+(#REF!*#REF!)+(#REF!*#REF!)+(#REF!*#REF!)</f>
        <v>#REF!</v>
      </c>
      <c r="AC33" s="37" t="e">
        <f>+(#REF!*$Q$15)+(#REF!*$Q$17)+(#REF!*$Q$19)+(#REF!*$Q$21)+(#REF!*$Q$23)+(#REF!*$Q$25)+(#REF!*$Q$27)+(#REF!*#REF!)+(#REF!*#REF!)+(#REF!*#REF!)+(#REF!*#REF!)+(#REF!*#REF!)+(#REF!*#REF!)</f>
        <v>#REF!</v>
      </c>
      <c r="AD33" s="34" t="e">
        <f>+(#REF!*$Q$15)+(#REF!*$Q$17)+(#REF!*$Q$19)+(#REF!*$Q$21)+(#REF!*$Q$23)+(#REF!*$Q$25)+(#REF!*$Q$27)+(#REF!*#REF!)+(#REF!*#REF!)+(#REF!*#REF!)+(#REF!*#REF!)+(#REF!*#REF!)+(#REF!*#REF!)</f>
        <v>#REF!</v>
      </c>
      <c r="AE33" s="66"/>
    </row>
    <row r="34" spans="8:31" s="13" customFormat="1" ht="30" hidden="1" customHeight="1" x14ac:dyDescent="0.35">
      <c r="H34" s="254"/>
      <c r="I34" s="15" t="s">
        <v>136</v>
      </c>
      <c r="J34" s="16"/>
      <c r="K34" s="34"/>
      <c r="L34" s="34"/>
      <c r="M34" s="34"/>
      <c r="N34" s="34"/>
      <c r="O34" s="34"/>
      <c r="P34" s="34" t="e">
        <f>SUM(P33:P33)</f>
        <v>#REF!</v>
      </c>
      <c r="Q34" s="37"/>
      <c r="R34" s="34"/>
      <c r="S34" s="34"/>
      <c r="T34" s="34" t="e">
        <f>SUM(Q33:T33)</f>
        <v>#REF!</v>
      </c>
      <c r="U34" s="34"/>
      <c r="V34" s="34"/>
      <c r="W34" s="34"/>
      <c r="X34" s="34" t="e">
        <f>SUM(U33:X33)</f>
        <v>#REF!</v>
      </c>
      <c r="Y34" s="34"/>
      <c r="Z34" s="34"/>
      <c r="AA34" s="34"/>
      <c r="AB34" s="34" t="e">
        <f>SUM(Y33:AB33)</f>
        <v>#REF!</v>
      </c>
      <c r="AC34" s="37"/>
      <c r="AD34" s="34"/>
      <c r="AE34" s="66"/>
    </row>
    <row r="35" spans="8:31" s="13" customFormat="1" ht="30" hidden="1" customHeight="1" x14ac:dyDescent="0.35">
      <c r="H35" s="254"/>
      <c r="I35" s="15" t="s">
        <v>137</v>
      </c>
      <c r="J35" s="14"/>
      <c r="K35" s="34"/>
      <c r="L35" s="34"/>
      <c r="M35" s="34"/>
      <c r="N35" s="34"/>
      <c r="O35" s="34"/>
      <c r="P35" s="34" t="e">
        <f>+#REF!+P34</f>
        <v>#REF!</v>
      </c>
      <c r="Q35" s="37"/>
      <c r="R35" s="34"/>
      <c r="S35" s="34"/>
      <c r="T35" s="26"/>
      <c r="U35" s="27"/>
      <c r="V35" s="27"/>
      <c r="W35" s="27"/>
      <c r="X35" s="27"/>
      <c r="Y35" s="27"/>
      <c r="Z35" s="27"/>
      <c r="AA35" s="27"/>
      <c r="AB35" s="27" t="e">
        <f>+T34+X34+AB34</f>
        <v>#REF!</v>
      </c>
      <c r="AC35" s="39"/>
      <c r="AD35" s="27"/>
      <c r="AE35" s="67"/>
    </row>
    <row r="36" spans="8:31" s="13" customFormat="1" ht="30" hidden="1" customHeight="1" x14ac:dyDescent="0.35">
      <c r="H36" s="255"/>
      <c r="I36" s="20" t="s">
        <v>138</v>
      </c>
      <c r="J36" s="19"/>
      <c r="K36" s="35"/>
      <c r="L36" s="35"/>
      <c r="M36" s="35"/>
      <c r="N36" s="35"/>
      <c r="O36" s="35"/>
      <c r="P36" s="35"/>
      <c r="Q36" s="38"/>
      <c r="R36" s="35"/>
      <c r="S36" s="35"/>
      <c r="T36" s="28"/>
      <c r="U36" s="29"/>
      <c r="V36" s="29"/>
      <c r="W36" s="29"/>
      <c r="X36" s="29"/>
      <c r="Y36" s="29"/>
      <c r="Z36" s="29"/>
      <c r="AA36" s="29"/>
      <c r="AB36" s="29" t="e">
        <f>+P35+AB35</f>
        <v>#REF!</v>
      </c>
      <c r="AC36" s="40"/>
      <c r="AD36" s="41"/>
      <c r="AE36" s="67"/>
    </row>
    <row r="37" spans="8:31" ht="30" hidden="1" customHeight="1" x14ac:dyDescent="0.35">
      <c r="H37" s="24"/>
      <c r="I37" s="251" t="s">
        <v>139</v>
      </c>
      <c r="J37" s="251"/>
      <c r="K37" s="46"/>
      <c r="L37" s="46"/>
      <c r="M37" s="46"/>
      <c r="N37" s="46"/>
      <c r="O37" s="46" t="e">
        <f>+O29/O33</f>
        <v>#REF!</v>
      </c>
      <c r="P37" s="47" t="e">
        <f>+(O29+#REF!+#REF!+#REF!+#REF!+#REF!+#REF!+P29)/(O33+#REF!+#REF!+#REF!+#REF!+#REF!+#REF!+P33)</f>
        <v>#REF!</v>
      </c>
      <c r="Q37" s="48" t="e">
        <f>+(O29+#REF!+#REF!+#REF!+#REF!+#REF!+#REF!+P29+Q29)/(O33+#REF!+#REF!+#REF!+#REF!+#REF!+#REF!+P33+Q33)</f>
        <v>#REF!</v>
      </c>
      <c r="R37" s="46" t="e">
        <f>+(O29+#REF!+#REF!+#REF!+#REF!+#REF!+#REF!+P29+Q29+R29)/(O33+#REF!+#REF!+#REF!+#REF!+#REF!+#REF!+P33+Q33+R33)</f>
        <v>#REF!</v>
      </c>
      <c r="S37" s="46" t="e">
        <f>+(O29+#REF!+#REF!+#REF!+#REF!+#REF!+#REF!+P29+Q29+R29+S29)/(O33+#REF!+#REF!+#REF!+#REF!+#REF!+#REF!+P33+Q33+R33+S33)</f>
        <v>#REF!</v>
      </c>
      <c r="T37" s="47" t="e">
        <f>+(O29+#REF!+#REF!+#REF!+#REF!+#REF!+#REF!+P29+Q29+R29+S29+T29)/(O33+#REF!+#REF!+#REF!+#REF!+#REF!+#REF!+P33+Q33+R33+S33+T33)</f>
        <v>#REF!</v>
      </c>
      <c r="U37" s="46" t="e">
        <f>+(O29+#REF!+#REF!+#REF!+#REF!+#REF!+#REF!+P29+Q29+R29+S29+T29+U29)/(O33+#REF!+#REF!+#REF!+#REF!+#REF!+#REF!+P33+Q33+R33+S33+T33+U33)</f>
        <v>#REF!</v>
      </c>
      <c r="V37" s="46" t="e">
        <f>+(O29+#REF!+#REF!+#REF!+#REF!+#REF!+#REF!+P29+Q29+R29+S29+T29+U29+V29)/(O33+#REF!+#REF!+#REF!+#REF!+#REF!+#REF!+P33+Q33+R33+S33+T33+U33+V33)</f>
        <v>#REF!</v>
      </c>
      <c r="W37" s="46" t="e">
        <f>+(O29+#REF!+#REF!+#REF!+#REF!+#REF!+#REF!+P29+Q29+R29+S29+T29+U29+V29+W29)/(O33+#REF!+#REF!+#REF!+#REF!+#REF!+#REF!+P33+Q33+R33+S33+T33+U33+V33+W33)</f>
        <v>#REF!</v>
      </c>
      <c r="X37" s="47" t="e">
        <f>+(O29+#REF!+#REF!+#REF!+#REF!+#REF!+#REF!+P29+Q29+R29+S29+T29+U29+V29+W29+X29)/(O33+#REF!+#REF!+#REF!+#REF!+#REF!+#REF!+P33+Q33+R33+S33+T33+U33+V33+W33+X33)</f>
        <v>#REF!</v>
      </c>
      <c r="Y37" s="46" t="e">
        <f>+(O29+#REF!+#REF!+#REF!+#REF!+#REF!+#REF!+P29+Q29+R29+S29+T29+U29+V29+W29+X29+Y29)/(O33+#REF!+#REF!+#REF!+#REF!+#REF!+#REF!+P33+Q33+R33+S33+T33+U33+V33+W33+X33+Y33)</f>
        <v>#REF!</v>
      </c>
      <c r="Z37" s="46" t="e">
        <f>+(O29+#REF!+#REF!+#REF!+#REF!+#REF!+#REF!+P29+Q29+R29+S29+T29+U29+V29+W29+X29+Y29+Z29)/(O33+#REF!+#REF!+#REF!+#REF!+#REF!+#REF!+P33+Q33+R33+S33+T33+U33+V33+W33+X33+Y33+Z33)</f>
        <v>#REF!</v>
      </c>
      <c r="AA37" s="46" t="e">
        <f>+(O29+#REF!+#REF!+#REF!+#REF!+#REF!+#REF!+P29+Q29+R29+S29+T29+U29+V29+W29+X29+Y29+Z29+AA29)/(O33+#REF!+#REF!+#REF!+#REF!+#REF!+#REF!+P33+Q33+R33+S33+T33+U33+V33+W33+X33+Y33+Z33+AA33)</f>
        <v>#REF!</v>
      </c>
      <c r="AB37" s="47" t="e">
        <f>+(O29+#REF!+#REF!+#REF!+#REF!+#REF!+#REF!+P29+Q29+R29+S29+T29+U29+V29+W29+X29+Y29+Z29+AA29+AB29)/(O33+#REF!+#REF!+#REF!+#REF!+#REF!+#REF!+P33+Q33+R33+S33+T33+U33+V33+W33+X33+Y33+Z33+AA33+AB33)</f>
        <v>#REF!</v>
      </c>
      <c r="AC37" s="48" t="e">
        <f>+(O29+#REF!+#REF!+#REF!+#REF!+#REF!+#REF!+P29+Q29+R29+S29+T29+U29+V29+W29+X29+Y29+Z29+AA29+AB29+AC29)/(O33+#REF!+#REF!+#REF!+#REF!+#REF!+#REF!+P33+Q33+R33+S33+T33+U33+V33+W33+X33+Y33+Z33+AA33+AB33+AC33)</f>
        <v>#REF!</v>
      </c>
      <c r="AD37" s="46" t="e">
        <f>+(O29+#REF!+#REF!+#REF!+#REF!+#REF!+#REF!+P29+Q29+R29+S29+T29+U29+V29+W29+X29+Y29+Z29+AA29+AB29+AC29+AD29)/(O33+#REF!+#REF!+#REF!+#REF!+#REF!+#REF!+P33+Q33+R33+S33+T33+U33+V33+W33+X33+Y33+Z33+AA33+AB33+AC33+AD33)</f>
        <v>#REF!</v>
      </c>
      <c r="AE37" s="68"/>
    </row>
    <row r="38" spans="8:31" ht="30" hidden="1" customHeight="1" x14ac:dyDescent="0.35">
      <c r="H38" s="24"/>
      <c r="I38" s="252" t="s">
        <v>140</v>
      </c>
      <c r="J38" s="252"/>
      <c r="K38" s="47"/>
      <c r="L38" s="47"/>
      <c r="M38" s="47"/>
      <c r="N38" s="47"/>
      <c r="O38" s="47" t="e">
        <f>+O29/$F$29</f>
        <v>#REF!</v>
      </c>
      <c r="P38" s="47" t="e">
        <f>+(O29+#REF!+#REF!+#REF!+#REF!+#REF!+#REF!+P29)/$F$29</f>
        <v>#REF!</v>
      </c>
      <c r="Q38" s="49" t="e">
        <f>+(O29+#REF!+#REF!+#REF!+#REF!+#REF!+#REF!+P29+Q29)/$F$29</f>
        <v>#REF!</v>
      </c>
      <c r="R38" s="47" t="e">
        <f>+(O29+#REF!+#REF!+#REF!+#REF!+#REF!+#REF!+P29+Q29+R29)/$F$29</f>
        <v>#REF!</v>
      </c>
      <c r="S38" s="47" t="e">
        <f>+(O29+#REF!+#REF!+#REF!+#REF!+#REF!+#REF!+P29+Q29+R29+S29)/$F$29</f>
        <v>#REF!</v>
      </c>
      <c r="T38" s="47" t="e">
        <f>+(O29+#REF!+#REF!+#REF!+#REF!+#REF!+#REF!+P29+Q29+R29+S29+T29)/$F$29</f>
        <v>#REF!</v>
      </c>
      <c r="U38" s="47" t="e">
        <f>+(O29+#REF!+#REF!+#REF!+#REF!+#REF!+#REF!+P29+Q29+R29+S29+T29+U29)/$F$29</f>
        <v>#REF!</v>
      </c>
      <c r="V38" s="47" t="e">
        <f>+(O29+#REF!+#REF!+#REF!+#REF!+#REF!+#REF!+P29+Q29+R29+S29+T29+U29+V29)/$F$29</f>
        <v>#REF!</v>
      </c>
      <c r="W38" s="47" t="e">
        <f>+(O29+#REF!+#REF!+#REF!+#REF!+#REF!+#REF!+P29+Q29+R29+S29+T29+U29+V29+W29)/$F$29</f>
        <v>#REF!</v>
      </c>
      <c r="X38" s="47" t="e">
        <f>+(O29+#REF!+#REF!+#REF!+#REF!+#REF!+#REF!+P29+Q29+R29+S29+T29+U29+V29+W29+X29)/$F$29</f>
        <v>#REF!</v>
      </c>
      <c r="Y38" s="47" t="e">
        <f>+(O29+#REF!+#REF!+#REF!+#REF!+#REF!+#REF!+P29+Q29+R29+S29+T29+U29+V29+W29+X29+Y29)/$F$29</f>
        <v>#REF!</v>
      </c>
      <c r="Z38" s="47" t="e">
        <f>+(O29+#REF!+#REF!+#REF!+#REF!+#REF!+#REF!+P29+Q29+R29+S29+T29+U29+V29+W29+X29+Y29+Z29)/$F$29</f>
        <v>#REF!</v>
      </c>
      <c r="AA38" s="47" t="e">
        <f>+(O29+#REF!+#REF!+#REF!+#REF!+#REF!+#REF!+P29+Q29+R29+S29+T29+U29+V29+W29+X29+Y29+Z29+AA29)/$F$29</f>
        <v>#REF!</v>
      </c>
      <c r="AB38" s="47" t="e">
        <f>+(O29+#REF!+#REF!+#REF!+#REF!+#REF!+#REF!+P29+Q29+R29+S29+T29+U29+V29+W29+X29+Y29+Z29+AA29+AB29)/$F$29</f>
        <v>#REF!</v>
      </c>
      <c r="AC38" s="49" t="e">
        <f>+(O29+#REF!+#REF!+#REF!+#REF!+#REF!+#REF!+P29+Q29+R29+S29+T29+U29+V29+W29+X29+Y29+Z29+AA29+AB29+AC29)/$F$29</f>
        <v>#REF!</v>
      </c>
      <c r="AD38" s="47" t="e">
        <f>+(O29+#REF!+#REF!+#REF!+#REF!+#REF!+#REF!+P29+Q29+R29+S29+T29+U29+V29+W29+X29+Y29+Z29+AA29+AB29+AC29+AD29)/$F$29</f>
        <v>#REF!</v>
      </c>
      <c r="AE38" s="69"/>
    </row>
    <row r="39" spans="8:31" ht="30" hidden="1" customHeight="1" x14ac:dyDescent="0.35">
      <c r="I39" s="251" t="s">
        <v>141</v>
      </c>
      <c r="J39" s="251"/>
      <c r="K39" s="50"/>
      <c r="L39" s="50"/>
      <c r="M39" s="50"/>
      <c r="N39" s="50"/>
      <c r="O39" s="50"/>
      <c r="P39" s="47" t="e">
        <f>+P30/P34</f>
        <v>#REF!</v>
      </c>
      <c r="Q39" s="51"/>
      <c r="R39" s="50"/>
      <c r="S39" s="50"/>
      <c r="T39" s="47" t="e">
        <f>+T30/T34</f>
        <v>#REF!</v>
      </c>
      <c r="U39" s="50"/>
      <c r="V39" s="50"/>
      <c r="W39" s="50"/>
      <c r="X39" s="47" t="e">
        <f>+X30/X34</f>
        <v>#REF!</v>
      </c>
      <c r="Y39" s="50"/>
      <c r="Z39" s="50"/>
      <c r="AA39" s="50"/>
      <c r="AB39" s="47" t="e">
        <f>+AB30/AB34</f>
        <v>#REF!</v>
      </c>
      <c r="AC39" s="51"/>
      <c r="AD39" s="50"/>
      <c r="AE39" s="70"/>
    </row>
    <row r="40" spans="8:31" ht="30" hidden="1" customHeight="1" x14ac:dyDescent="0.35">
      <c r="I40" s="252" t="s">
        <v>142</v>
      </c>
      <c r="J40" s="252"/>
      <c r="K40" s="50"/>
      <c r="L40" s="50"/>
      <c r="M40" s="50"/>
      <c r="N40" s="50"/>
      <c r="O40" s="50"/>
      <c r="P40" s="47" t="e">
        <f>+(#REF!+P30)/$F$29</f>
        <v>#REF!</v>
      </c>
      <c r="Q40" s="51"/>
      <c r="R40" s="50"/>
      <c r="S40" s="50"/>
      <c r="T40" s="47" t="e">
        <f>+(#REF!+P30+T30)/$F$29</f>
        <v>#REF!</v>
      </c>
      <c r="U40" s="50"/>
      <c r="V40" s="50"/>
      <c r="W40" s="50"/>
      <c r="X40" s="47" t="e">
        <f>+(#REF!+P30+T30+X30)/$F$29</f>
        <v>#REF!</v>
      </c>
      <c r="Y40" s="50"/>
      <c r="Z40" s="50"/>
      <c r="AA40" s="50"/>
      <c r="AB40" s="47" t="e">
        <f>+(#REF!+P30+T30+X30+AB30)/$F$29</f>
        <v>#REF!</v>
      </c>
      <c r="AC40" s="51"/>
      <c r="AD40" s="50"/>
      <c r="AE40" s="70"/>
    </row>
    <row r="41" spans="8:31" ht="30" hidden="1" customHeight="1" x14ac:dyDescent="0.35">
      <c r="I41" s="251" t="s">
        <v>143</v>
      </c>
      <c r="J41" s="251"/>
      <c r="K41" s="50"/>
      <c r="L41" s="50"/>
      <c r="M41" s="50"/>
      <c r="N41" s="50"/>
      <c r="O41" s="50"/>
      <c r="P41" s="47" t="e">
        <f>+(#REF!+P30)/(#REF!+P34)</f>
        <v>#REF!</v>
      </c>
      <c r="Q41" s="51"/>
      <c r="R41" s="50"/>
      <c r="S41" s="50"/>
      <c r="T41" s="50"/>
      <c r="U41" s="50"/>
      <c r="V41" s="50"/>
      <c r="W41" s="50"/>
      <c r="X41" s="50"/>
      <c r="Y41" s="50"/>
      <c r="Z41" s="50"/>
      <c r="AA41" s="50"/>
      <c r="AB41" s="47" t="e">
        <f>+(#REF!+P30+T30+X30+AB30)/(#REF!+P34+T34+X34+AB34)</f>
        <v>#REF!</v>
      </c>
      <c r="AC41" s="51"/>
      <c r="AD41" s="50"/>
      <c r="AE41" s="70"/>
    </row>
    <row r="42" spans="8:31" ht="30" hidden="1" customHeight="1" x14ac:dyDescent="0.35">
      <c r="I42" s="251" t="s">
        <v>144</v>
      </c>
      <c r="J42" s="251"/>
      <c r="K42" s="50"/>
      <c r="L42" s="50"/>
      <c r="M42" s="50"/>
      <c r="N42" s="50"/>
      <c r="O42" s="50"/>
      <c r="P42" s="47" t="e">
        <f>+(#REF!+P30)/$F$29</f>
        <v>#REF!</v>
      </c>
      <c r="Q42" s="51"/>
      <c r="R42" s="50"/>
      <c r="S42" s="50"/>
      <c r="T42" s="50"/>
      <c r="U42" s="50"/>
      <c r="V42" s="50"/>
      <c r="W42" s="50"/>
      <c r="X42" s="50"/>
      <c r="Y42" s="50"/>
      <c r="Z42" s="50"/>
      <c r="AA42" s="50"/>
      <c r="AB42" s="47" t="e">
        <f>+(+#REF!+P30+T30+X30+AB30)/$F$29</f>
        <v>#REF!</v>
      </c>
      <c r="AC42" s="51"/>
      <c r="AD42" s="50"/>
      <c r="AE42" s="70"/>
    </row>
    <row r="43" spans="8:31" ht="15" hidden="1" customHeight="1" x14ac:dyDescent="0.35"/>
    <row r="44" spans="8:31" ht="35.15" hidden="1" customHeight="1" x14ac:dyDescent="0.35">
      <c r="H44" s="250" t="s">
        <v>145</v>
      </c>
      <c r="I44" s="250"/>
      <c r="J44" s="30" t="e">
        <f>+#REF!</f>
        <v>#REF!</v>
      </c>
      <c r="K44" s="32"/>
      <c r="L44" s="32"/>
      <c r="M44" s="32"/>
      <c r="N44" s="32"/>
      <c r="O44" s="32"/>
    </row>
    <row r="45" spans="8:31" ht="35.15" hidden="1" customHeight="1" x14ac:dyDescent="0.35">
      <c r="H45" s="250" t="s">
        <v>146</v>
      </c>
      <c r="I45" s="250"/>
      <c r="J45" s="25">
        <f>+F29</f>
        <v>1</v>
      </c>
      <c r="K45" s="32"/>
      <c r="L45" s="32"/>
      <c r="M45" s="32"/>
      <c r="N45" s="32"/>
      <c r="O45" s="32"/>
    </row>
    <row r="46" spans="8:31" ht="35.15" hidden="1" customHeight="1" x14ac:dyDescent="0.35">
      <c r="H46" s="250" t="s">
        <v>147</v>
      </c>
      <c r="I46" s="250"/>
      <c r="J46" s="31" t="e">
        <f>+J44/J45</f>
        <v>#REF!</v>
      </c>
      <c r="K46" s="32"/>
      <c r="L46" s="32"/>
      <c r="M46" s="32"/>
      <c r="N46" s="32"/>
      <c r="O46" s="32"/>
    </row>
    <row r="47" spans="8:31" ht="15" customHeight="1" x14ac:dyDescent="0.35">
      <c r="K47" s="32"/>
      <c r="L47" s="32"/>
      <c r="M47" s="32"/>
      <c r="N47" s="32"/>
      <c r="O47" s="32"/>
    </row>
    <row r="48" spans="8:31" ht="15" customHeight="1" x14ac:dyDescent="0.35">
      <c r="K48" s="32"/>
      <c r="L48" s="32"/>
      <c r="M48" s="32"/>
      <c r="N48" s="32"/>
      <c r="O48" s="32"/>
    </row>
    <row r="49" spans="11:15" ht="15" customHeight="1" x14ac:dyDescent="0.35">
      <c r="K49" s="32"/>
      <c r="L49" s="32"/>
      <c r="M49" s="32"/>
      <c r="N49" s="32"/>
      <c r="O49" s="32"/>
    </row>
  </sheetData>
  <autoFilter ref="A12:AI27" xr:uid="{00000000-0001-0000-0100-000000000000}"/>
  <mergeCells count="205">
    <mergeCell ref="D1:AI3"/>
    <mergeCell ref="AE6:AF10"/>
    <mergeCell ref="AG6:AG10"/>
    <mergeCell ref="AH6:AH10"/>
    <mergeCell ref="AH14:AH15"/>
    <mergeCell ref="AI14:AI15"/>
    <mergeCell ref="AF14:AF15"/>
    <mergeCell ref="AF24:AF25"/>
    <mergeCell ref="AF26:AF27"/>
    <mergeCell ref="AG16:AG17"/>
    <mergeCell ref="AG18:AG19"/>
    <mergeCell ref="AG20:AG21"/>
    <mergeCell ref="AG22:AG23"/>
    <mergeCell ref="AG24:AG25"/>
    <mergeCell ref="AG26:AG27"/>
    <mergeCell ref="AH16:AH17"/>
    <mergeCell ref="AH18:AH19"/>
    <mergeCell ref="AH20:AH21"/>
    <mergeCell ref="AH22:AH23"/>
    <mergeCell ref="AH24:AH25"/>
    <mergeCell ref="AH26:AH27"/>
    <mergeCell ref="AI16:AI17"/>
    <mergeCell ref="AI18:AI19"/>
    <mergeCell ref="AI20:AI21"/>
    <mergeCell ref="AI22:AI23"/>
    <mergeCell ref="AI24:AI25"/>
    <mergeCell ref="AI26:AI27"/>
    <mergeCell ref="AH12:AH13"/>
    <mergeCell ref="AI12:AI13"/>
    <mergeCell ref="P11:AE11"/>
    <mergeCell ref="AF11:AI11"/>
    <mergeCell ref="AE12:AE13"/>
    <mergeCell ref="AF12:AF13"/>
    <mergeCell ref="AG12:AG13"/>
    <mergeCell ref="Y12:Y13"/>
    <mergeCell ref="Z12:Z13"/>
    <mergeCell ref="AA12:AA13"/>
    <mergeCell ref="AB12:AB13"/>
    <mergeCell ref="AC12:AC13"/>
    <mergeCell ref="AD12:AD13"/>
    <mergeCell ref="P12:P13"/>
    <mergeCell ref="Q12:Q13"/>
    <mergeCell ref="R12:R13"/>
    <mergeCell ref="S12:S13"/>
    <mergeCell ref="T12:T13"/>
    <mergeCell ref="U12:U13"/>
    <mergeCell ref="V12:V13"/>
    <mergeCell ref="W12:W13"/>
    <mergeCell ref="X12:X13"/>
    <mergeCell ref="S6:V10"/>
    <mergeCell ref="W6:Z10"/>
    <mergeCell ref="AA6:AD10"/>
    <mergeCell ref="G6:G10"/>
    <mergeCell ref="H6:I10"/>
    <mergeCell ref="J6:J10"/>
    <mergeCell ref="M6:M10"/>
    <mergeCell ref="P6:R10"/>
    <mergeCell ref="G4:G5"/>
    <mergeCell ref="K6:L10"/>
    <mergeCell ref="A4:A5"/>
    <mergeCell ref="N6:O10"/>
    <mergeCell ref="A1:C3"/>
    <mergeCell ref="A6:B10"/>
    <mergeCell ref="C6:D10"/>
    <mergeCell ref="E6:F10"/>
    <mergeCell ref="J24:J25"/>
    <mergeCell ref="K24:K25"/>
    <mergeCell ref="L24:L25"/>
    <mergeCell ref="M24:M25"/>
    <mergeCell ref="N24:N25"/>
    <mergeCell ref="O24:O25"/>
    <mergeCell ref="J20:J21"/>
    <mergeCell ref="K20:K21"/>
    <mergeCell ref="L20:L21"/>
    <mergeCell ref="M20:M21"/>
    <mergeCell ref="N20:N21"/>
    <mergeCell ref="O20:O21"/>
    <mergeCell ref="A22:A23"/>
    <mergeCell ref="B22:B23"/>
    <mergeCell ref="C22:C23"/>
    <mergeCell ref="D22:D23"/>
    <mergeCell ref="A26:A27"/>
    <mergeCell ref="B26:B27"/>
    <mergeCell ref="C26:C27"/>
    <mergeCell ref="D26:D27"/>
    <mergeCell ref="E26:E27"/>
    <mergeCell ref="F26:F27"/>
    <mergeCell ref="G26:G27"/>
    <mergeCell ref="H26:H27"/>
    <mergeCell ref="I26:I27"/>
    <mergeCell ref="A24:A25"/>
    <mergeCell ref="B24:B25"/>
    <mergeCell ref="C24:C25"/>
    <mergeCell ref="D24:D25"/>
    <mergeCell ref="E24:E25"/>
    <mergeCell ref="F24:F25"/>
    <mergeCell ref="G24:G25"/>
    <mergeCell ref="H24:H25"/>
    <mergeCell ref="I24:I25"/>
    <mergeCell ref="K22:K23"/>
    <mergeCell ref="L22:L23"/>
    <mergeCell ref="M22:M23"/>
    <mergeCell ref="J26:J27"/>
    <mergeCell ref="K26:K27"/>
    <mergeCell ref="L26:L27"/>
    <mergeCell ref="M26:M27"/>
    <mergeCell ref="N26:N27"/>
    <mergeCell ref="O26:O27"/>
    <mergeCell ref="M18:M19"/>
    <mergeCell ref="N18:N19"/>
    <mergeCell ref="O18:O19"/>
    <mergeCell ref="A16:A17"/>
    <mergeCell ref="B16:B17"/>
    <mergeCell ref="C16:C17"/>
    <mergeCell ref="D16:D17"/>
    <mergeCell ref="N22:N23"/>
    <mergeCell ref="O22:O23"/>
    <mergeCell ref="A20:A21"/>
    <mergeCell ref="B20:B21"/>
    <mergeCell ref="C20:C21"/>
    <mergeCell ref="D20:D21"/>
    <mergeCell ref="E20:E21"/>
    <mergeCell ref="F20:F21"/>
    <mergeCell ref="G20:G21"/>
    <mergeCell ref="H20:H21"/>
    <mergeCell ref="I20:I21"/>
    <mergeCell ref="E22:E23"/>
    <mergeCell ref="F22:F23"/>
    <mergeCell ref="G22:G23"/>
    <mergeCell ref="H22:H23"/>
    <mergeCell ref="I22:I23"/>
    <mergeCell ref="J22:J23"/>
    <mergeCell ref="A18:A19"/>
    <mergeCell ref="B18:B19"/>
    <mergeCell ref="C18:C19"/>
    <mergeCell ref="D18:D19"/>
    <mergeCell ref="E18:E19"/>
    <mergeCell ref="F18:F19"/>
    <mergeCell ref="G18:G19"/>
    <mergeCell ref="H18:H19"/>
    <mergeCell ref="I18:I19"/>
    <mergeCell ref="E16:E17"/>
    <mergeCell ref="F16:F17"/>
    <mergeCell ref="G16:G17"/>
    <mergeCell ref="H16:H17"/>
    <mergeCell ref="I16:I17"/>
    <mergeCell ref="A14:A15"/>
    <mergeCell ref="B14:B15"/>
    <mergeCell ref="C14:C15"/>
    <mergeCell ref="D14:D15"/>
    <mergeCell ref="E14:E15"/>
    <mergeCell ref="F14:F15"/>
    <mergeCell ref="G14:G15"/>
    <mergeCell ref="H14:H15"/>
    <mergeCell ref="I14:I15"/>
    <mergeCell ref="A11:F11"/>
    <mergeCell ref="G11:O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H46:I46"/>
    <mergeCell ref="H29:H32"/>
    <mergeCell ref="H33:H36"/>
    <mergeCell ref="I37:J37"/>
    <mergeCell ref="AF22:AF23"/>
    <mergeCell ref="AF20:AF21"/>
    <mergeCell ref="AF18:AF19"/>
    <mergeCell ref="AG14:AG15"/>
    <mergeCell ref="J14:J15"/>
    <mergeCell ref="K14:K15"/>
    <mergeCell ref="L14:L15"/>
    <mergeCell ref="M14:M15"/>
    <mergeCell ref="N14:N15"/>
    <mergeCell ref="O14:O15"/>
    <mergeCell ref="J16:J17"/>
    <mergeCell ref="AF16:AF17"/>
    <mergeCell ref="K16:K17"/>
    <mergeCell ref="L16:L17"/>
    <mergeCell ref="M16:M17"/>
    <mergeCell ref="N16:N17"/>
    <mergeCell ref="O16:O17"/>
    <mergeCell ref="J18:J19"/>
    <mergeCell ref="K18:K19"/>
    <mergeCell ref="L18:L19"/>
    <mergeCell ref="D30:E30"/>
    <mergeCell ref="D29:E29"/>
    <mergeCell ref="H44:I44"/>
    <mergeCell ref="H45:I45"/>
    <mergeCell ref="I42:J42"/>
    <mergeCell ref="I41:J41"/>
    <mergeCell ref="I38:J38"/>
    <mergeCell ref="I39:J39"/>
    <mergeCell ref="I40:J40"/>
  </mergeCells>
  <phoneticPr fontId="10" type="noConversion"/>
  <conditionalFormatting sqref="I4">
    <cfRule type="cellIs" dxfId="187" priority="97" operator="lessThanOrEqual">
      <formula>$C$4</formula>
    </cfRule>
  </conditionalFormatting>
  <conditionalFormatting sqref="J6">
    <cfRule type="cellIs" dxfId="186" priority="105" operator="greaterThanOrEqual">
      <formula>$C$5</formula>
    </cfRule>
    <cfRule type="cellIs" dxfId="185" priority="106" operator="lessThanOrEqual">
      <formula>$C$4</formula>
    </cfRule>
    <cfRule type="cellIs" dxfId="184" priority="107" operator="between">
      <formula>$C$5</formula>
      <formula>$C$4</formula>
    </cfRule>
  </conditionalFormatting>
  <conditionalFormatting sqref="P6">
    <cfRule type="cellIs" dxfId="183" priority="93" operator="greaterThanOrEqual">
      <formula>$I$5</formula>
    </cfRule>
    <cfRule type="cellIs" dxfId="182" priority="94" operator="lessThanOrEqual">
      <formula>$I$4</formula>
    </cfRule>
    <cfRule type="cellIs" dxfId="181" priority="95" operator="between">
      <formula>$I$5</formula>
      <formula>$I$4</formula>
    </cfRule>
  </conditionalFormatting>
  <conditionalFormatting sqref="R14:R27">
    <cfRule type="cellIs" dxfId="180" priority="10" operator="greaterThanOrEqual">
      <formula>$C$5</formula>
    </cfRule>
    <cfRule type="cellIs" dxfId="179" priority="11" operator="lessThanOrEqual">
      <formula>$C$4</formula>
    </cfRule>
    <cfRule type="cellIs" dxfId="178" priority="12" operator="between">
      <formula>$C$5</formula>
      <formula>$C$4</formula>
    </cfRule>
  </conditionalFormatting>
  <conditionalFormatting sqref="T37:T40 X37:X40 P37:P42 AB37:AB42 K38:AE38 J46">
    <cfRule type="cellIs" dxfId="177" priority="619" operator="greaterThanOrEqual">
      <formula>$D$9</formula>
    </cfRule>
    <cfRule type="cellIs" dxfId="176" priority="620" operator="lessThanOrEqual">
      <formula>$C$6</formula>
    </cfRule>
    <cfRule type="cellIs" dxfId="175" priority="621" operator="between">
      <formula>$C$6</formula>
      <formula>$D$9</formula>
    </cfRule>
  </conditionalFormatting>
  <conditionalFormatting sqref="W6">
    <cfRule type="cellIs" dxfId="174" priority="7" operator="greaterThanOrEqual">
      <formula>$I$5</formula>
    </cfRule>
    <cfRule type="cellIs" dxfId="173" priority="8" operator="lessThanOrEqual">
      <formula>$I$4</formula>
    </cfRule>
    <cfRule type="cellIs" dxfId="172" priority="9" operator="between">
      <formula>$I$5</formula>
      <formula>$I$4</formula>
    </cfRule>
  </conditionalFormatting>
  <conditionalFormatting sqref="AE6">
    <cfRule type="cellIs" dxfId="171" priority="4" operator="greaterThanOrEqual">
      <formula>$I$5</formula>
    </cfRule>
    <cfRule type="cellIs" dxfId="170" priority="5" operator="lessThanOrEqual">
      <formula>$I$4</formula>
    </cfRule>
    <cfRule type="cellIs" dxfId="169" priority="6" operator="between">
      <formula>$I$5</formula>
      <formula>$I$4</formula>
    </cfRule>
  </conditionalFormatting>
  <conditionalFormatting sqref="AH6">
    <cfRule type="cellIs" dxfId="168" priority="1" operator="greaterThanOrEqual">
      <formula>$I$5</formula>
    </cfRule>
    <cfRule type="cellIs" dxfId="167" priority="2" operator="lessThanOrEqual">
      <formula>$I$4</formula>
    </cfRule>
    <cfRule type="cellIs" dxfId="166" priority="3" operator="between">
      <formula>$I$5</formula>
      <formula>$I$4</formula>
    </cfRule>
  </conditionalFormatting>
  <dataValidations xWindow="1526" yWindow="674" count="4">
    <dataValidation type="decimal" allowBlank="1" showInputMessage="1" showErrorMessage="1" prompt="valor porcentual de la activida - Indique el peso porcentual de la actividad dentro del proyecto" sqref="Q14 Q24 Q20 Q18 Q22 Q16 Q26" xr:uid="{00000000-0002-0000-0100-000003000000}">
      <formula1>0</formula1>
      <formula2>1</formula2>
    </dataValidation>
    <dataValidation type="decimal" allowBlank="1" showInputMessage="1" showErrorMessage="1" prompt="campo calculado  - indica el % de avance  que aporta la activadad a todo el proyecto" sqref="Q25 Q23 Q21 Q15 Q19 Q17 Q27" xr:uid="{00000000-0002-0000-0100-000006000000}">
      <formula1>0</formula1>
      <formula2>1</formula2>
    </dataValidation>
    <dataValidation type="decimal" allowBlank="1" showInputMessage="1" showErrorMessage="1" prompt="% de avance en la actividad - indique el % programado de avance durante esta semana_x000a_" sqref="S14:U23 S25:U27 V14:AE27" xr:uid="{00000000-0002-0000-0100-000007000000}">
      <formula1>0</formula1>
      <formula2>1</formula2>
    </dataValidation>
    <dataValidation allowBlank="1" showErrorMessage="1" sqref="R14:R27" xr:uid="{EC83102E-B98D-4DA6-8816-AD063C239582}"/>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347B-EBF9-4B9E-B402-EBAAC9B87EF8}">
  <dimension ref="A1:AI47"/>
  <sheetViews>
    <sheetView showGridLines="0" view="pageBreakPreview" topLeftCell="R1" zoomScale="60" zoomScaleNormal="10" zoomScalePageLayoutView="48" workbookViewId="0">
      <selection activeCell="B4" sqref="B4"/>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5" width="18.26953125" style="1" customWidth="1"/>
    <col min="16" max="18" width="13.26953125" style="1" customWidth="1"/>
    <col min="19" max="31" width="9.54296875" style="1" customWidth="1"/>
    <col min="32" max="32" width="35.7265625" style="1" customWidth="1"/>
    <col min="33" max="35" width="42.54296875" style="1" customWidth="1"/>
    <col min="36" max="16384" width="12.54296875" style="1"/>
  </cols>
  <sheetData>
    <row r="1" spans="1:35" s="60" customFormat="1" ht="15" customHeight="1" x14ac:dyDescent="0.35">
      <c r="A1" s="293"/>
      <c r="B1" s="294"/>
      <c r="C1" s="295"/>
      <c r="D1" s="361" t="s">
        <v>216</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row>
    <row r="2" spans="1:35"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row>
    <row r="3" spans="1:35"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row>
    <row r="4" spans="1:35"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row>
    <row r="5" spans="1:35"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row>
    <row r="6" spans="1:35" ht="20.149999999999999" customHeight="1" x14ac:dyDescent="0.35">
      <c r="A6" s="292" t="s">
        <v>28</v>
      </c>
      <c r="B6" s="292"/>
      <c r="C6" s="302" t="s">
        <v>105</v>
      </c>
      <c r="D6" s="302"/>
      <c r="E6" s="303" t="s">
        <v>30</v>
      </c>
      <c r="F6" s="303"/>
      <c r="G6" s="324">
        <f>+Q15+Q17+Q19+Q21+Q23+Q25</f>
        <v>0.99999999999999989</v>
      </c>
      <c r="H6" s="303" t="s">
        <v>31</v>
      </c>
      <c r="I6" s="303"/>
      <c r="J6" s="327">
        <f>(Q14+Q16+Q18+Q20+Q22+Q24)/M6</f>
        <v>0.52631578947368418</v>
      </c>
      <c r="K6" s="286" t="s">
        <v>32</v>
      </c>
      <c r="L6" s="287"/>
      <c r="M6" s="330">
        <v>0.95</v>
      </c>
      <c r="N6" s="292" t="s">
        <v>33</v>
      </c>
      <c r="O6" s="292"/>
      <c r="P6" s="370">
        <f>(SUM(S14:V14,S16:V16,S18:V18,S20:V20,S22:V22,S24:V24)/SUM(S15:V15,S17:V17,S19:V19,S21:V21,S23:V23,S25:V25))/M6</f>
        <v>1.0526315789473688</v>
      </c>
      <c r="Q6" s="370"/>
      <c r="R6" s="370"/>
      <c r="S6" s="306" t="s">
        <v>34</v>
      </c>
      <c r="T6" s="307"/>
      <c r="U6" s="307"/>
      <c r="V6" s="308"/>
      <c r="W6" s="315">
        <f>SUM(W14:Y14,W16:Y16,W18:Y18,W20:Y20,W22:Y22,W24:Y24)/SUM(W15:Y15,W17:Y17,W19:Y19,W21:Y21,W23:Y23,W25:Y25)/M6</f>
        <v>1.0526315789473684</v>
      </c>
      <c r="X6" s="316"/>
      <c r="Y6" s="316"/>
      <c r="Z6" s="317"/>
      <c r="AA6" s="306" t="s">
        <v>35</v>
      </c>
      <c r="AB6" s="307"/>
      <c r="AC6" s="307"/>
      <c r="AD6" s="308"/>
      <c r="AE6" s="315">
        <f>SUM(AB14,AB16,AB18,AB20,AB22,AB24)/SUM(AB15,AB17,AB19,AB21,AB23,AB25)/M6</f>
        <v>0</v>
      </c>
      <c r="AF6" s="316"/>
      <c r="AG6" s="306" t="s">
        <v>36</v>
      </c>
      <c r="AH6" s="315">
        <f>SUM(AE14,AE16,AE18,AE20,AE22,AE24)/SUM(AE15,AE17,AE19,AE21,AE23,AE25)/M6</f>
        <v>0</v>
      </c>
    </row>
    <row r="7" spans="1:35" ht="15" customHeight="1" x14ac:dyDescent="0.35">
      <c r="A7" s="292"/>
      <c r="B7" s="292"/>
      <c r="C7" s="302"/>
      <c r="D7" s="302"/>
      <c r="E7" s="303"/>
      <c r="F7" s="303"/>
      <c r="G7" s="325"/>
      <c r="H7" s="303"/>
      <c r="I7" s="303"/>
      <c r="J7" s="328"/>
      <c r="K7" s="288"/>
      <c r="L7" s="289"/>
      <c r="M7" s="331"/>
      <c r="N7" s="292"/>
      <c r="O7" s="292"/>
      <c r="P7" s="370"/>
      <c r="Q7" s="370"/>
      <c r="R7" s="370"/>
      <c r="S7" s="309"/>
      <c r="T7" s="310"/>
      <c r="U7" s="310"/>
      <c r="V7" s="311"/>
      <c r="W7" s="318"/>
      <c r="X7" s="319"/>
      <c r="Y7" s="319"/>
      <c r="Z7" s="320"/>
      <c r="AA7" s="309"/>
      <c r="AB7" s="310"/>
      <c r="AC7" s="310"/>
      <c r="AD7" s="311"/>
      <c r="AE7" s="318"/>
      <c r="AF7" s="319"/>
      <c r="AG7" s="309"/>
      <c r="AH7" s="318"/>
    </row>
    <row r="8" spans="1:35" ht="25.15" customHeight="1" x14ac:dyDescent="0.35">
      <c r="A8" s="292"/>
      <c r="B8" s="292"/>
      <c r="C8" s="302"/>
      <c r="D8" s="302"/>
      <c r="E8" s="303"/>
      <c r="F8" s="303"/>
      <c r="G8" s="325"/>
      <c r="H8" s="303"/>
      <c r="I8" s="303"/>
      <c r="J8" s="328"/>
      <c r="K8" s="288"/>
      <c r="L8" s="289"/>
      <c r="M8" s="331"/>
      <c r="N8" s="292"/>
      <c r="O8" s="292"/>
      <c r="P8" s="370"/>
      <c r="Q8" s="370"/>
      <c r="R8" s="370"/>
      <c r="S8" s="309"/>
      <c r="T8" s="310"/>
      <c r="U8" s="310"/>
      <c r="V8" s="311"/>
      <c r="W8" s="318"/>
      <c r="X8" s="319"/>
      <c r="Y8" s="319"/>
      <c r="Z8" s="320"/>
      <c r="AA8" s="309"/>
      <c r="AB8" s="310"/>
      <c r="AC8" s="310"/>
      <c r="AD8" s="311"/>
      <c r="AE8" s="318"/>
      <c r="AF8" s="319"/>
      <c r="AG8" s="309"/>
      <c r="AH8" s="318"/>
    </row>
    <row r="9" spans="1:35" ht="25.15" customHeight="1" x14ac:dyDescent="0.35">
      <c r="A9" s="292"/>
      <c r="B9" s="292"/>
      <c r="C9" s="302"/>
      <c r="D9" s="302"/>
      <c r="E9" s="303"/>
      <c r="F9" s="303"/>
      <c r="G9" s="325"/>
      <c r="H9" s="303"/>
      <c r="I9" s="303"/>
      <c r="J9" s="328"/>
      <c r="K9" s="288"/>
      <c r="L9" s="289"/>
      <c r="M9" s="331"/>
      <c r="N9" s="292"/>
      <c r="O9" s="292"/>
      <c r="P9" s="370"/>
      <c r="Q9" s="370"/>
      <c r="R9" s="370"/>
      <c r="S9" s="309"/>
      <c r="T9" s="310"/>
      <c r="U9" s="310"/>
      <c r="V9" s="311"/>
      <c r="W9" s="318"/>
      <c r="X9" s="319"/>
      <c r="Y9" s="319"/>
      <c r="Z9" s="320"/>
      <c r="AA9" s="309"/>
      <c r="AB9" s="310"/>
      <c r="AC9" s="310"/>
      <c r="AD9" s="311"/>
      <c r="AE9" s="318"/>
      <c r="AF9" s="319"/>
      <c r="AG9" s="309"/>
      <c r="AH9" s="318"/>
    </row>
    <row r="10" spans="1:35" ht="15" customHeight="1" thickBot="1" x14ac:dyDescent="0.4">
      <c r="A10" s="292"/>
      <c r="B10" s="292"/>
      <c r="C10" s="302"/>
      <c r="D10" s="302"/>
      <c r="E10" s="303"/>
      <c r="F10" s="303"/>
      <c r="G10" s="326"/>
      <c r="H10" s="303"/>
      <c r="I10" s="303"/>
      <c r="J10" s="329"/>
      <c r="K10" s="290"/>
      <c r="L10" s="291"/>
      <c r="M10" s="332"/>
      <c r="N10" s="292"/>
      <c r="O10" s="292"/>
      <c r="P10" s="370"/>
      <c r="Q10" s="370"/>
      <c r="R10" s="370"/>
      <c r="S10" s="312"/>
      <c r="T10" s="313"/>
      <c r="U10" s="313"/>
      <c r="V10" s="314"/>
      <c r="W10" s="321"/>
      <c r="X10" s="322"/>
      <c r="Y10" s="322"/>
      <c r="Z10" s="323"/>
      <c r="AA10" s="312"/>
      <c r="AB10" s="313"/>
      <c r="AC10" s="313"/>
      <c r="AD10" s="314"/>
      <c r="AE10" s="321"/>
      <c r="AF10" s="322"/>
      <c r="AG10" s="312"/>
      <c r="AH10" s="321"/>
    </row>
    <row r="11" spans="1:35" s="12" customFormat="1" ht="40.15" customHeight="1" thickBot="1" x14ac:dyDescent="0.4">
      <c r="A11" s="268" t="s">
        <v>37</v>
      </c>
      <c r="B11" s="268"/>
      <c r="C11" s="268"/>
      <c r="D11" s="268"/>
      <c r="E11" s="268"/>
      <c r="F11" s="269"/>
      <c r="G11" s="270" t="s">
        <v>38</v>
      </c>
      <c r="H11" s="271"/>
      <c r="I11" s="271"/>
      <c r="J11" s="271"/>
      <c r="K11" s="271"/>
      <c r="L11" s="271"/>
      <c r="M11" s="271"/>
      <c r="N11" s="271"/>
      <c r="O11" s="272"/>
      <c r="P11" s="345" t="s">
        <v>39</v>
      </c>
      <c r="Q11" s="346"/>
      <c r="R11" s="346"/>
      <c r="S11" s="346"/>
      <c r="T11" s="346"/>
      <c r="U11" s="346"/>
      <c r="V11" s="346"/>
      <c r="W11" s="346"/>
      <c r="X11" s="346"/>
      <c r="Y11" s="346"/>
      <c r="Z11" s="346"/>
      <c r="AA11" s="346"/>
      <c r="AB11" s="346"/>
      <c r="AC11" s="346"/>
      <c r="AD11" s="346"/>
      <c r="AE11" s="347"/>
      <c r="AF11" s="345" t="s">
        <v>40</v>
      </c>
      <c r="AG11" s="346"/>
      <c r="AH11" s="346"/>
      <c r="AI11" s="346"/>
    </row>
    <row r="12" spans="1:35" ht="39" customHeight="1" x14ac:dyDescent="0.35">
      <c r="A12" s="273" t="s">
        <v>41</v>
      </c>
      <c r="B12" s="275" t="s">
        <v>42</v>
      </c>
      <c r="C12" s="275" t="s">
        <v>43</v>
      </c>
      <c r="D12" s="275" t="s">
        <v>44</v>
      </c>
      <c r="E12" s="275" t="s">
        <v>45</v>
      </c>
      <c r="F12" s="275" t="s">
        <v>9</v>
      </c>
      <c r="G12" s="275" t="s">
        <v>46</v>
      </c>
      <c r="H12" s="275" t="s">
        <v>217</v>
      </c>
      <c r="I12" s="275" t="s">
        <v>218</v>
      </c>
      <c r="J12" s="275" t="s">
        <v>49</v>
      </c>
      <c r="K12" s="275" t="s">
        <v>50</v>
      </c>
      <c r="L12" s="275" t="s">
        <v>51</v>
      </c>
      <c r="M12" s="275" t="s">
        <v>52</v>
      </c>
      <c r="N12" s="275" t="s">
        <v>53</v>
      </c>
      <c r="O12" s="275" t="s">
        <v>54</v>
      </c>
      <c r="P12" s="356" t="s">
        <v>55</v>
      </c>
      <c r="Q12" s="357" t="s">
        <v>56</v>
      </c>
      <c r="R12" s="358" t="s">
        <v>57</v>
      </c>
      <c r="S12" s="354" t="s">
        <v>58</v>
      </c>
      <c r="T12" s="352" t="s">
        <v>59</v>
      </c>
      <c r="U12" s="350" t="s">
        <v>60</v>
      </c>
      <c r="V12" s="304" t="s">
        <v>61</v>
      </c>
      <c r="W12" s="359" t="s">
        <v>62</v>
      </c>
      <c r="X12" s="304" t="s">
        <v>63</v>
      </c>
      <c r="Y12" s="350" t="s">
        <v>64</v>
      </c>
      <c r="Z12" s="352" t="s">
        <v>65</v>
      </c>
      <c r="AA12" s="354" t="s">
        <v>66</v>
      </c>
      <c r="AB12" s="352" t="s">
        <v>67</v>
      </c>
      <c r="AC12" s="350" t="s">
        <v>68</v>
      </c>
      <c r="AD12" s="304" t="s">
        <v>69</v>
      </c>
      <c r="AE12" s="348" t="s">
        <v>70</v>
      </c>
      <c r="AF12" s="344" t="s">
        <v>71</v>
      </c>
      <c r="AG12" s="344" t="s">
        <v>72</v>
      </c>
      <c r="AH12" s="344" t="s">
        <v>73</v>
      </c>
      <c r="AI12" s="344" t="s">
        <v>74</v>
      </c>
    </row>
    <row r="13" spans="1:35" ht="60" customHeight="1" thickBot="1" x14ac:dyDescent="0.4">
      <c r="A13" s="274"/>
      <c r="B13" s="274"/>
      <c r="C13" s="274"/>
      <c r="D13" s="274"/>
      <c r="E13" s="274"/>
      <c r="F13" s="274"/>
      <c r="G13" s="274"/>
      <c r="H13" s="274"/>
      <c r="I13" s="274"/>
      <c r="J13" s="274"/>
      <c r="K13" s="274"/>
      <c r="L13" s="274"/>
      <c r="M13" s="274"/>
      <c r="N13" s="274"/>
      <c r="O13" s="274"/>
      <c r="P13" s="356"/>
      <c r="Q13" s="357"/>
      <c r="R13" s="358"/>
      <c r="S13" s="355"/>
      <c r="T13" s="353"/>
      <c r="U13" s="351"/>
      <c r="V13" s="305"/>
      <c r="W13" s="360"/>
      <c r="X13" s="305"/>
      <c r="Y13" s="351"/>
      <c r="Z13" s="353"/>
      <c r="AA13" s="355"/>
      <c r="AB13" s="353"/>
      <c r="AC13" s="351"/>
      <c r="AD13" s="305"/>
      <c r="AE13" s="349"/>
      <c r="AF13" s="344"/>
      <c r="AG13" s="344"/>
      <c r="AH13" s="344"/>
      <c r="AI13" s="344"/>
    </row>
    <row r="14" spans="1:35" ht="40.15" customHeight="1" thickBot="1" x14ac:dyDescent="0.4">
      <c r="A14" s="259">
        <v>1</v>
      </c>
      <c r="B14" s="259" t="s">
        <v>219</v>
      </c>
      <c r="C14" s="259" t="s">
        <v>114</v>
      </c>
      <c r="D14" s="259" t="s">
        <v>115</v>
      </c>
      <c r="E14" s="259" t="s">
        <v>104</v>
      </c>
      <c r="F14" s="277" t="s">
        <v>79</v>
      </c>
      <c r="G14" s="259" t="s">
        <v>220</v>
      </c>
      <c r="H14" s="259" t="s">
        <v>221</v>
      </c>
      <c r="I14" s="259" t="s">
        <v>222</v>
      </c>
      <c r="J14" s="259" t="s">
        <v>223</v>
      </c>
      <c r="K14" s="261" t="s">
        <v>224</v>
      </c>
      <c r="L14" s="261" t="s">
        <v>225</v>
      </c>
      <c r="M14" s="261" t="s">
        <v>85</v>
      </c>
      <c r="N14" s="263">
        <v>44896</v>
      </c>
      <c r="O14" s="263">
        <v>45290</v>
      </c>
      <c r="P14" s="64" t="s">
        <v>86</v>
      </c>
      <c r="Q14" s="53">
        <f>+(Q15*R14)</f>
        <v>8.3333333333333329E-2</v>
      </c>
      <c r="R14" s="71">
        <f t="shared" ref="R14:R25" si="0">SUM(S14:AE14)</f>
        <v>0.5</v>
      </c>
      <c r="S14" s="43"/>
      <c r="T14" s="43">
        <v>0.1</v>
      </c>
      <c r="U14" s="43">
        <v>0.1</v>
      </c>
      <c r="V14" s="43">
        <v>0.05</v>
      </c>
      <c r="W14" s="43">
        <v>0.1</v>
      </c>
      <c r="X14" s="43">
        <v>0.05</v>
      </c>
      <c r="Y14" s="43">
        <v>0.1</v>
      </c>
      <c r="Z14" s="43"/>
      <c r="AA14" s="44"/>
      <c r="AB14" s="44"/>
      <c r="AC14" s="44"/>
      <c r="AD14" s="44"/>
      <c r="AE14" s="44"/>
      <c r="AF14" s="257" t="s">
        <v>226</v>
      </c>
      <c r="AG14" s="366" t="s">
        <v>227</v>
      </c>
      <c r="AH14" s="342"/>
      <c r="AI14" s="342"/>
    </row>
    <row r="15" spans="1:35" ht="56.25" customHeight="1" thickBot="1" x14ac:dyDescent="0.4">
      <c r="A15" s="260"/>
      <c r="B15" s="260"/>
      <c r="C15" s="260"/>
      <c r="D15" s="260"/>
      <c r="E15" s="260"/>
      <c r="F15" s="280"/>
      <c r="G15" s="260"/>
      <c r="H15" s="260"/>
      <c r="I15" s="260"/>
      <c r="J15" s="260"/>
      <c r="K15" s="266"/>
      <c r="L15" s="266"/>
      <c r="M15" s="266"/>
      <c r="N15" s="267"/>
      <c r="O15" s="267"/>
      <c r="P15" s="64" t="s">
        <v>89</v>
      </c>
      <c r="Q15" s="52">
        <f>100%/6</f>
        <v>0.16666666666666666</v>
      </c>
      <c r="R15" s="71">
        <f t="shared" si="0"/>
        <v>1</v>
      </c>
      <c r="S15" s="42"/>
      <c r="T15" s="42"/>
      <c r="U15" s="42"/>
      <c r="V15" s="42">
        <v>0.25</v>
      </c>
      <c r="W15" s="42"/>
      <c r="X15" s="42"/>
      <c r="Y15" s="42">
        <v>0.25</v>
      </c>
      <c r="Z15" s="42"/>
      <c r="AA15" s="42"/>
      <c r="AB15" s="42">
        <v>0.25</v>
      </c>
      <c r="AC15" s="42"/>
      <c r="AD15" s="42"/>
      <c r="AE15" s="42">
        <v>0.25</v>
      </c>
      <c r="AF15" s="258"/>
      <c r="AG15" s="367"/>
      <c r="AH15" s="343"/>
      <c r="AI15" s="343"/>
    </row>
    <row r="16" spans="1:35" ht="85.5" customHeight="1" thickBot="1" x14ac:dyDescent="0.4">
      <c r="A16" s="259">
        <v>2</v>
      </c>
      <c r="B16" s="259" t="s">
        <v>219</v>
      </c>
      <c r="C16" s="259" t="s">
        <v>114</v>
      </c>
      <c r="D16" s="259" t="s">
        <v>115</v>
      </c>
      <c r="E16" s="259" t="s">
        <v>104</v>
      </c>
      <c r="F16" s="277" t="s">
        <v>79</v>
      </c>
      <c r="G16" s="259" t="s">
        <v>228</v>
      </c>
      <c r="H16" s="259" t="s">
        <v>229</v>
      </c>
      <c r="I16" s="259" t="s">
        <v>230</v>
      </c>
      <c r="J16" s="259" t="s">
        <v>223</v>
      </c>
      <c r="K16" s="261" t="s">
        <v>224</v>
      </c>
      <c r="L16" s="261" t="s">
        <v>225</v>
      </c>
      <c r="M16" s="261" t="s">
        <v>85</v>
      </c>
      <c r="N16" s="263">
        <v>44896</v>
      </c>
      <c r="O16" s="263">
        <v>45290</v>
      </c>
      <c r="P16" s="64" t="s">
        <v>86</v>
      </c>
      <c r="Q16" s="53">
        <f>+(Q17*R16)</f>
        <v>8.3333333333333329E-2</v>
      </c>
      <c r="R16" s="71">
        <f t="shared" si="0"/>
        <v>0.5</v>
      </c>
      <c r="S16" s="43"/>
      <c r="T16" s="43"/>
      <c r="U16" s="43">
        <v>0.2</v>
      </c>
      <c r="V16" s="43">
        <v>0.05</v>
      </c>
      <c r="W16" s="43">
        <v>0.05</v>
      </c>
      <c r="X16" s="43">
        <v>0.05</v>
      </c>
      <c r="Y16" s="43">
        <v>0.15</v>
      </c>
      <c r="Z16" s="43"/>
      <c r="AA16" s="44"/>
      <c r="AB16" s="44"/>
      <c r="AC16" s="44"/>
      <c r="AD16" s="44"/>
      <c r="AE16" s="44"/>
      <c r="AF16" s="257" t="s">
        <v>231</v>
      </c>
      <c r="AG16" s="366" t="s">
        <v>232</v>
      </c>
      <c r="AH16" s="342"/>
      <c r="AI16" s="342"/>
    </row>
    <row r="17" spans="1:35" ht="85.5" customHeight="1" thickBot="1" x14ac:dyDescent="0.4">
      <c r="A17" s="260"/>
      <c r="B17" s="260"/>
      <c r="C17" s="260"/>
      <c r="D17" s="260"/>
      <c r="E17" s="260"/>
      <c r="F17" s="278"/>
      <c r="G17" s="260"/>
      <c r="H17" s="260"/>
      <c r="I17" s="260"/>
      <c r="J17" s="260"/>
      <c r="K17" s="266"/>
      <c r="L17" s="266"/>
      <c r="M17" s="266"/>
      <c r="N17" s="267"/>
      <c r="O17" s="267"/>
      <c r="P17" s="64" t="s">
        <v>89</v>
      </c>
      <c r="Q17" s="52">
        <f>100%/6</f>
        <v>0.16666666666666666</v>
      </c>
      <c r="R17" s="71">
        <f t="shared" si="0"/>
        <v>1</v>
      </c>
      <c r="S17" s="42"/>
      <c r="T17" s="42"/>
      <c r="U17" s="42"/>
      <c r="V17" s="42">
        <v>0.25</v>
      </c>
      <c r="W17" s="42"/>
      <c r="X17" s="42"/>
      <c r="Y17" s="42">
        <v>0.25</v>
      </c>
      <c r="Z17" s="42"/>
      <c r="AA17" s="42"/>
      <c r="AB17" s="42">
        <v>0.25</v>
      </c>
      <c r="AC17" s="42"/>
      <c r="AD17" s="42"/>
      <c r="AE17" s="42">
        <v>0.25</v>
      </c>
      <c r="AF17" s="363"/>
      <c r="AG17" s="367"/>
      <c r="AH17" s="343"/>
      <c r="AI17" s="343"/>
    </row>
    <row r="18" spans="1:35" ht="104.25" customHeight="1" thickBot="1" x14ac:dyDescent="0.4">
      <c r="A18" s="259">
        <v>3</v>
      </c>
      <c r="B18" s="259" t="s">
        <v>219</v>
      </c>
      <c r="C18" s="259" t="s">
        <v>114</v>
      </c>
      <c r="D18" s="259" t="s">
        <v>115</v>
      </c>
      <c r="E18" s="259" t="s">
        <v>104</v>
      </c>
      <c r="F18" s="277" t="s">
        <v>79</v>
      </c>
      <c r="G18" s="259" t="s">
        <v>228</v>
      </c>
      <c r="H18" s="259" t="s">
        <v>233</v>
      </c>
      <c r="I18" s="259" t="s">
        <v>234</v>
      </c>
      <c r="J18" s="259" t="s">
        <v>223</v>
      </c>
      <c r="K18" s="261" t="s">
        <v>224</v>
      </c>
      <c r="L18" s="261" t="s">
        <v>225</v>
      </c>
      <c r="M18" s="261" t="s">
        <v>85</v>
      </c>
      <c r="N18" s="263">
        <v>44896</v>
      </c>
      <c r="O18" s="263">
        <v>45290</v>
      </c>
      <c r="P18" s="64" t="s">
        <v>86</v>
      </c>
      <c r="Q18" s="53">
        <f>+(Q19*R18)</f>
        <v>8.3333333333333329E-2</v>
      </c>
      <c r="R18" s="71">
        <f t="shared" si="0"/>
        <v>0.5</v>
      </c>
      <c r="S18" s="43"/>
      <c r="T18" s="43">
        <v>0.05</v>
      </c>
      <c r="U18" s="43">
        <v>0.09</v>
      </c>
      <c r="V18" s="43">
        <v>0.11</v>
      </c>
      <c r="W18" s="43">
        <v>0.12</v>
      </c>
      <c r="X18" s="43">
        <v>0.06</v>
      </c>
      <c r="Y18" s="43">
        <v>7.0000000000000007E-2</v>
      </c>
      <c r="Z18" s="43"/>
      <c r="AA18" s="44"/>
      <c r="AB18" s="44"/>
      <c r="AC18" s="44"/>
      <c r="AD18" s="44"/>
      <c r="AE18" s="44"/>
      <c r="AF18" s="257" t="s">
        <v>235</v>
      </c>
      <c r="AG18" s="366" t="s">
        <v>236</v>
      </c>
      <c r="AH18" s="342"/>
      <c r="AI18" s="342"/>
    </row>
    <row r="19" spans="1:35" ht="104.25" customHeight="1" thickBot="1" x14ac:dyDescent="0.4">
      <c r="A19" s="260"/>
      <c r="B19" s="260"/>
      <c r="C19" s="260"/>
      <c r="D19" s="260"/>
      <c r="E19" s="260"/>
      <c r="F19" s="278"/>
      <c r="G19" s="260"/>
      <c r="H19" s="260"/>
      <c r="I19" s="260"/>
      <c r="J19" s="260"/>
      <c r="K19" s="266"/>
      <c r="L19" s="266"/>
      <c r="M19" s="266"/>
      <c r="N19" s="267"/>
      <c r="O19" s="267"/>
      <c r="P19" s="64" t="s">
        <v>89</v>
      </c>
      <c r="Q19" s="52">
        <f>100%/6</f>
        <v>0.16666666666666666</v>
      </c>
      <c r="R19" s="71">
        <f t="shared" si="0"/>
        <v>1</v>
      </c>
      <c r="S19" s="42"/>
      <c r="T19" s="42"/>
      <c r="U19" s="42"/>
      <c r="V19" s="42">
        <v>0.25</v>
      </c>
      <c r="W19" s="42"/>
      <c r="X19" s="42"/>
      <c r="Y19" s="42">
        <v>0.25</v>
      </c>
      <c r="Z19" s="42"/>
      <c r="AA19" s="42"/>
      <c r="AB19" s="42">
        <v>0.25</v>
      </c>
      <c r="AC19" s="42"/>
      <c r="AD19" s="42"/>
      <c r="AE19" s="42">
        <v>0.25</v>
      </c>
      <c r="AF19" s="258"/>
      <c r="AG19" s="367"/>
      <c r="AH19" s="343"/>
      <c r="AI19" s="343"/>
    </row>
    <row r="20" spans="1:35" ht="88.5" customHeight="1" thickBot="1" x14ac:dyDescent="0.4">
      <c r="A20" s="259">
        <v>4</v>
      </c>
      <c r="B20" s="259" t="s">
        <v>219</v>
      </c>
      <c r="C20" s="259" t="s">
        <v>114</v>
      </c>
      <c r="D20" s="259" t="s">
        <v>115</v>
      </c>
      <c r="E20" s="259" t="s">
        <v>104</v>
      </c>
      <c r="F20" s="277" t="s">
        <v>79</v>
      </c>
      <c r="G20" s="259" t="s">
        <v>228</v>
      </c>
      <c r="H20" s="259" t="s">
        <v>237</v>
      </c>
      <c r="I20" s="259" t="s">
        <v>238</v>
      </c>
      <c r="J20" s="259" t="s">
        <v>223</v>
      </c>
      <c r="K20" s="261" t="s">
        <v>224</v>
      </c>
      <c r="L20" s="261" t="s">
        <v>225</v>
      </c>
      <c r="M20" s="261" t="s">
        <v>85</v>
      </c>
      <c r="N20" s="263">
        <v>44896</v>
      </c>
      <c r="O20" s="263">
        <v>45290</v>
      </c>
      <c r="P20" s="64" t="s">
        <v>86</v>
      </c>
      <c r="Q20" s="53">
        <f>+(Q21*R20)</f>
        <v>8.3333333333333329E-2</v>
      </c>
      <c r="R20" s="71">
        <f t="shared" si="0"/>
        <v>0.5</v>
      </c>
      <c r="S20" s="43"/>
      <c r="T20" s="43">
        <v>0.08</v>
      </c>
      <c r="U20" s="43">
        <v>0.1</v>
      </c>
      <c r="V20" s="43">
        <v>7.0000000000000007E-2</v>
      </c>
      <c r="W20" s="43"/>
      <c r="X20" s="43">
        <v>0.1</v>
      </c>
      <c r="Y20" s="43">
        <v>0.15</v>
      </c>
      <c r="Z20" s="43"/>
      <c r="AA20" s="44"/>
      <c r="AB20" s="44"/>
      <c r="AC20" s="44"/>
      <c r="AD20" s="44"/>
      <c r="AE20" s="44"/>
      <c r="AF20" s="257" t="s">
        <v>239</v>
      </c>
      <c r="AG20" s="366" t="s">
        <v>240</v>
      </c>
      <c r="AH20" s="342"/>
      <c r="AI20" s="342"/>
    </row>
    <row r="21" spans="1:35" ht="88.5" customHeight="1" thickBot="1" x14ac:dyDescent="0.4">
      <c r="A21" s="260"/>
      <c r="B21" s="260"/>
      <c r="C21" s="260"/>
      <c r="D21" s="260"/>
      <c r="E21" s="260"/>
      <c r="F21" s="278"/>
      <c r="G21" s="260"/>
      <c r="H21" s="260"/>
      <c r="I21" s="260"/>
      <c r="J21" s="260"/>
      <c r="K21" s="266"/>
      <c r="L21" s="266"/>
      <c r="M21" s="266"/>
      <c r="N21" s="267"/>
      <c r="O21" s="267"/>
      <c r="P21" s="64" t="s">
        <v>89</v>
      </c>
      <c r="Q21" s="52">
        <f>100%/6</f>
        <v>0.16666666666666666</v>
      </c>
      <c r="R21" s="71">
        <f t="shared" si="0"/>
        <v>1</v>
      </c>
      <c r="S21" s="105"/>
      <c r="T21" s="105"/>
      <c r="U21" s="105"/>
      <c r="V21" s="42">
        <v>0.25</v>
      </c>
      <c r="W21" s="42"/>
      <c r="X21" s="42"/>
      <c r="Y21" s="42">
        <v>0.25</v>
      </c>
      <c r="Z21" s="42"/>
      <c r="AA21" s="42"/>
      <c r="AB21" s="42">
        <v>0.25</v>
      </c>
      <c r="AC21" s="42"/>
      <c r="AD21" s="42"/>
      <c r="AE21" s="42">
        <v>0.25</v>
      </c>
      <c r="AF21" s="258"/>
      <c r="AG21" s="367"/>
      <c r="AH21" s="343"/>
      <c r="AI21" s="343"/>
    </row>
    <row r="22" spans="1:35" ht="37.15" customHeight="1" thickBot="1" x14ac:dyDescent="0.4">
      <c r="A22" s="259">
        <v>5</v>
      </c>
      <c r="B22" s="259" t="s">
        <v>219</v>
      </c>
      <c r="C22" s="259" t="s">
        <v>114</v>
      </c>
      <c r="D22" s="259" t="s">
        <v>115</v>
      </c>
      <c r="E22" s="259" t="s">
        <v>104</v>
      </c>
      <c r="F22" s="277" t="s">
        <v>79</v>
      </c>
      <c r="G22" s="259" t="s">
        <v>228</v>
      </c>
      <c r="H22" s="259" t="s">
        <v>241</v>
      </c>
      <c r="I22" s="259" t="s">
        <v>242</v>
      </c>
      <c r="J22" s="259" t="s">
        <v>223</v>
      </c>
      <c r="K22" s="261" t="s">
        <v>224</v>
      </c>
      <c r="L22" s="261" t="s">
        <v>225</v>
      </c>
      <c r="M22" s="261" t="s">
        <v>85</v>
      </c>
      <c r="N22" s="263">
        <v>44896</v>
      </c>
      <c r="O22" s="263">
        <v>45290</v>
      </c>
      <c r="P22" s="64" t="s">
        <v>86</v>
      </c>
      <c r="Q22" s="53">
        <f>+(Q23*R22)</f>
        <v>8.3333333333333329E-2</v>
      </c>
      <c r="R22" s="71">
        <f t="shared" si="0"/>
        <v>0.5</v>
      </c>
      <c r="S22" s="105"/>
      <c r="T22" s="105"/>
      <c r="U22" s="105"/>
      <c r="V22" s="43">
        <v>0.25</v>
      </c>
      <c r="W22" s="43"/>
      <c r="X22" s="43"/>
      <c r="Y22" s="43">
        <v>0.25</v>
      </c>
      <c r="Z22" s="43"/>
      <c r="AA22" s="44"/>
      <c r="AB22" s="44"/>
      <c r="AC22" s="44"/>
      <c r="AD22" s="44"/>
      <c r="AE22" s="44"/>
      <c r="AF22" s="257" t="s">
        <v>243</v>
      </c>
      <c r="AG22" s="366" t="s">
        <v>244</v>
      </c>
      <c r="AH22" s="342"/>
      <c r="AI22" s="342"/>
    </row>
    <row r="23" spans="1:35" ht="37.15" customHeight="1" thickBot="1" x14ac:dyDescent="0.4">
      <c r="A23" s="260"/>
      <c r="B23" s="260"/>
      <c r="C23" s="260"/>
      <c r="D23" s="260"/>
      <c r="E23" s="260"/>
      <c r="F23" s="278"/>
      <c r="G23" s="260"/>
      <c r="H23" s="260"/>
      <c r="I23" s="260"/>
      <c r="J23" s="260"/>
      <c r="K23" s="266"/>
      <c r="L23" s="266"/>
      <c r="M23" s="266"/>
      <c r="N23" s="267"/>
      <c r="O23" s="267"/>
      <c r="P23" s="64" t="s">
        <v>89</v>
      </c>
      <c r="Q23" s="52">
        <f>100%/6</f>
        <v>0.16666666666666666</v>
      </c>
      <c r="R23" s="71">
        <f t="shared" si="0"/>
        <v>1</v>
      </c>
      <c r="S23" s="42"/>
      <c r="T23" s="42"/>
      <c r="U23" s="42"/>
      <c r="V23" s="42">
        <v>0.25</v>
      </c>
      <c r="W23" s="42"/>
      <c r="X23" s="42"/>
      <c r="Y23" s="42">
        <v>0.25</v>
      </c>
      <c r="Z23" s="42"/>
      <c r="AA23" s="42"/>
      <c r="AB23" s="42">
        <v>0.25</v>
      </c>
      <c r="AC23" s="42"/>
      <c r="AD23" s="42"/>
      <c r="AE23" s="42">
        <v>0.25</v>
      </c>
      <c r="AF23" s="258"/>
      <c r="AG23" s="367"/>
      <c r="AH23" s="343"/>
      <c r="AI23" s="343"/>
    </row>
    <row r="24" spans="1:35" ht="50.25" customHeight="1" thickBot="1" x14ac:dyDescent="0.4">
      <c r="A24" s="259">
        <v>6</v>
      </c>
      <c r="B24" s="259" t="s">
        <v>219</v>
      </c>
      <c r="C24" s="259" t="s">
        <v>114</v>
      </c>
      <c r="D24" s="259" t="s">
        <v>115</v>
      </c>
      <c r="E24" s="259" t="s">
        <v>104</v>
      </c>
      <c r="F24" s="277" t="s">
        <v>79</v>
      </c>
      <c r="G24" s="259" t="s">
        <v>228</v>
      </c>
      <c r="H24" s="259" t="s">
        <v>245</v>
      </c>
      <c r="I24" s="259" t="s">
        <v>246</v>
      </c>
      <c r="J24" s="259" t="s">
        <v>223</v>
      </c>
      <c r="K24" s="261" t="s">
        <v>224</v>
      </c>
      <c r="L24" s="261" t="s">
        <v>225</v>
      </c>
      <c r="M24" s="261" t="s">
        <v>85</v>
      </c>
      <c r="N24" s="263">
        <v>44896</v>
      </c>
      <c r="O24" s="263">
        <v>45290</v>
      </c>
      <c r="P24" s="64" t="s">
        <v>86</v>
      </c>
      <c r="Q24" s="53">
        <f>+(Q25*R24)</f>
        <v>8.3333333333333329E-2</v>
      </c>
      <c r="R24" s="71">
        <f t="shared" si="0"/>
        <v>0.5</v>
      </c>
      <c r="S24" s="105">
        <v>0.1</v>
      </c>
      <c r="T24" s="105">
        <v>0.05</v>
      </c>
      <c r="U24" s="105">
        <v>0.05</v>
      </c>
      <c r="V24" s="43">
        <v>0.05</v>
      </c>
      <c r="W24" s="43">
        <v>0.15</v>
      </c>
      <c r="X24" s="43">
        <v>0.05</v>
      </c>
      <c r="Y24" s="43">
        <v>0.05</v>
      </c>
      <c r="Z24" s="43"/>
      <c r="AA24" s="44"/>
      <c r="AB24" s="44"/>
      <c r="AC24" s="44"/>
      <c r="AD24" s="44"/>
      <c r="AE24" s="44"/>
      <c r="AF24" s="257" t="s">
        <v>247</v>
      </c>
      <c r="AG24" s="366" t="s">
        <v>248</v>
      </c>
      <c r="AH24" s="342"/>
      <c r="AI24" s="342"/>
    </row>
    <row r="25" spans="1:35" ht="50.25" customHeight="1" x14ac:dyDescent="0.35">
      <c r="A25" s="260"/>
      <c r="B25" s="260"/>
      <c r="C25" s="260"/>
      <c r="D25" s="260"/>
      <c r="E25" s="260"/>
      <c r="F25" s="278"/>
      <c r="G25" s="260"/>
      <c r="H25" s="260"/>
      <c r="I25" s="260"/>
      <c r="J25" s="260"/>
      <c r="K25" s="266"/>
      <c r="L25" s="266"/>
      <c r="M25" s="266"/>
      <c r="N25" s="267"/>
      <c r="O25" s="267"/>
      <c r="P25" s="64" t="s">
        <v>89</v>
      </c>
      <c r="Q25" s="52">
        <f>100%/6</f>
        <v>0.16666666666666666</v>
      </c>
      <c r="R25" s="71">
        <f t="shared" si="0"/>
        <v>1</v>
      </c>
      <c r="S25" s="42"/>
      <c r="T25" s="42"/>
      <c r="U25" s="42"/>
      <c r="V25" s="42">
        <v>0.25</v>
      </c>
      <c r="W25" s="42"/>
      <c r="X25" s="42"/>
      <c r="Y25" s="42">
        <v>0.25</v>
      </c>
      <c r="Z25" s="42"/>
      <c r="AA25" s="42"/>
      <c r="AB25" s="42">
        <v>0.25</v>
      </c>
      <c r="AC25" s="42"/>
      <c r="AD25" s="42"/>
      <c r="AE25" s="42">
        <v>0.25</v>
      </c>
      <c r="AF25" s="258"/>
      <c r="AG25" s="367"/>
      <c r="AH25" s="343"/>
      <c r="AI25" s="343"/>
    </row>
    <row r="27" spans="1:35" s="13" customFormat="1" ht="30" hidden="1" customHeight="1" x14ac:dyDescent="0.35">
      <c r="D27" s="249" t="s">
        <v>32</v>
      </c>
      <c r="E27" s="249"/>
      <c r="F27" s="21">
        <v>1</v>
      </c>
      <c r="H27" s="253" t="s">
        <v>129</v>
      </c>
      <c r="I27" s="22" t="s">
        <v>130</v>
      </c>
      <c r="J27" s="54" t="e">
        <f>SUM(O27:AD27)</f>
        <v>#REF!</v>
      </c>
      <c r="K27" s="33"/>
      <c r="L27" s="33"/>
      <c r="M27" s="33"/>
      <c r="N27" s="33"/>
      <c r="O27" s="33" t="e">
        <f>+(W14*$Q$15)+(W16*$Q$17)+(W18*$Q$19)+(W20*$Q$21)+(W22*$Q$23)+(W25*$Q$25)+(#REF!*#REF!)+(#REF!*#REF!)+(#REF!*#REF!)+(#REF!*#REF!)+(#REF!*#REF!)+(#REF!*#REF!)+(#REF!*#REF!)</f>
        <v>#REF!</v>
      </c>
      <c r="P27" s="33" t="e">
        <f>+(AD14*$Q$15)+(AD16*$Q$17)+(AD18*$Q$19)+(AD20*$Q$21)+(AD22*$Q$23)+(AD25*$Q$25)+(#REF!*#REF!)+(#REF!*#REF!)+(#REF!*#REF!)+(#REF!*#REF!)+(#REF!*#REF!)+(#REF!*#REF!)+(#REF!*#REF!)</f>
        <v>#REF!</v>
      </c>
      <c r="Q27" s="36" t="e">
        <f>+(#REF!*$Q$15)+(#REF!*$Q$17)+(#REF!*$Q$19)+(#REF!*$Q$21)+(#REF!*$Q$23)+(#REF!*$Q$25)+(#REF!*#REF!)+(#REF!*#REF!)+(#REF!*#REF!)+(#REF!*#REF!)+(#REF!*#REF!)+(#REF!*#REF!)+(#REF!*#REF!)</f>
        <v>#REF!</v>
      </c>
      <c r="R27" s="33" t="e">
        <f>+(#REF!*$Q$15)+(#REF!*$Q$17)+(#REF!*$Q$19)+(#REF!*$Q$21)+(#REF!*$Q$23)+(#REF!*$Q$25)+(#REF!*#REF!)+(#REF!*#REF!)+(#REF!*#REF!)+(#REF!*#REF!)+(#REF!*#REF!)+(#REF!*#REF!)+(#REF!*#REF!)</f>
        <v>#REF!</v>
      </c>
      <c r="S27" s="33" t="e">
        <f>+(#REF!*$Q$15)+(#REF!*$Q$17)+(#REF!*$Q$19)+(#REF!*$Q$21)+(#REF!*$Q$23)+(#REF!*$Q$25)+(#REF!*#REF!)+(#REF!*#REF!)+(#REF!*#REF!)+(#REF!*#REF!)+(#REF!*#REF!)+(#REF!*#REF!)+(#REF!*#REF!)</f>
        <v>#REF!</v>
      </c>
      <c r="T27" s="33" t="e">
        <f>+(#REF!*$Q$15)+(#REF!*$Q$17)+(#REF!*$Q$19)+(#REF!*$Q$21)+(#REF!*$Q$23)+(#REF!*$Q$25)+(#REF!*#REF!)+(#REF!*#REF!)+(#REF!*#REF!)+(#REF!*#REF!)+(#REF!*#REF!)+(#REF!*#REF!)+(#REF!*#REF!)</f>
        <v>#REF!</v>
      </c>
      <c r="U27" s="33" t="e">
        <f>+(#REF!*$Q$15)+(#REF!*$Q$17)+(#REF!*$Q$19)+(#REF!*$Q$21)+(#REF!*$Q$23)+(#REF!*$Q$25)+(#REF!*#REF!)+(#REF!*#REF!)+(#REF!*#REF!)+(#REF!*#REF!)+(#REF!*#REF!)+(#REF!*#REF!)+(#REF!*#REF!)</f>
        <v>#REF!</v>
      </c>
      <c r="V27" s="33" t="e">
        <f>+(#REF!*$Q$15)+(#REF!*$Q$17)+(#REF!*$Q$19)+(#REF!*$Q$21)+(#REF!*$Q$23)+(#REF!*$Q$25)+(#REF!*#REF!)+(#REF!*#REF!)+(#REF!*#REF!)+(#REF!*#REF!)+(#REF!*#REF!)+(#REF!*#REF!)+(#REF!*#REF!)</f>
        <v>#REF!</v>
      </c>
      <c r="W27" s="33" t="e">
        <f>+(#REF!*$Q$15)+(#REF!*$Q$17)+(#REF!*$Q$19)+(#REF!*$Q$21)+(#REF!*$Q$23)+(#REF!*$Q$25)+(#REF!*#REF!)+(#REF!*#REF!)+(#REF!*#REF!)+(#REF!*#REF!)+(#REF!*#REF!)+(#REF!*#REF!)+(#REF!*#REF!)</f>
        <v>#REF!</v>
      </c>
      <c r="X27" s="33" t="e">
        <f>+(#REF!*$Q$15)+(#REF!*$Q$17)+(#REF!*$Q$19)+(#REF!*$Q$21)+(#REF!*$Q$23)+(#REF!*$Q$25)+(#REF!*#REF!)+(#REF!*#REF!)+(#REF!*#REF!)+(#REF!*#REF!)+(#REF!*#REF!)+(#REF!*#REF!)+(#REF!*#REF!)</f>
        <v>#REF!</v>
      </c>
      <c r="Y27" s="33" t="e">
        <f>+(#REF!*$Q$15)+(#REF!*$Q$17)+(#REF!*$Q$19)+(#REF!*$Q$21)+(#REF!*$Q$23)+(#REF!*$Q$25)+(#REF!*#REF!)+(#REF!*#REF!)+(#REF!*#REF!)+(#REF!*#REF!)+(#REF!*#REF!)+(#REF!*#REF!)+(#REF!*#REF!)</f>
        <v>#REF!</v>
      </c>
      <c r="Z27" s="33" t="e">
        <f>+(#REF!*$Q$15)+(#REF!*$Q$17)+(#REF!*$Q$19)+(#REF!*$Q$21)+(#REF!*$Q$23)+(#REF!*$Q$25)+(#REF!*#REF!)+(#REF!*#REF!)+(#REF!*#REF!)+(#REF!*#REF!)+(#REF!*#REF!)+(#REF!*#REF!)+(#REF!*#REF!)</f>
        <v>#REF!</v>
      </c>
      <c r="AA27" s="33" t="e">
        <f>+(#REF!*$Q$15)+(#REF!*$Q$17)+(#REF!*$Q$19)+(#REF!*$Q$21)+(#REF!*$Q$23)+(#REF!*$Q$25)+(#REF!*#REF!)+(#REF!*#REF!)+(#REF!*#REF!)+(#REF!*#REF!)+(#REF!*#REF!)+(#REF!*#REF!)+(#REF!*#REF!)</f>
        <v>#REF!</v>
      </c>
      <c r="AB27" s="33" t="e">
        <f>+(#REF!*$Q$15)+(#REF!*$Q$17)+(#REF!*$Q$19)+(#REF!*$Q$21)+(#REF!*$Q$23)+(#REF!*$Q$25)+(#REF!*#REF!)+(#REF!*#REF!)+(#REF!*#REF!)+(#REF!*#REF!)+(#REF!*#REF!)+(#REF!*#REF!)+(#REF!*#REF!)</f>
        <v>#REF!</v>
      </c>
      <c r="AC27" s="36" t="e">
        <f>+(#REF!*$Q$15)+(#REF!*$Q$17)+(#REF!*$Q$19)+(#REF!*$Q$21)+(#REF!*$Q$23)+(#REF!*$Q$25)+(#REF!*#REF!)+(#REF!*#REF!)+(#REF!*#REF!)+(#REF!*#REF!)+(#REF!*#REF!)+(#REF!*#REF!)+(#REF!*#REF!)</f>
        <v>#REF!</v>
      </c>
      <c r="AD27" s="33" t="e">
        <f>+(#REF!*$Q$15)+(#REF!*$Q$17)+(#REF!*$Q$19)+(#REF!*$Q$21)+(#REF!*$Q$23)+(#REF!*$Q$25)+(#REF!*#REF!)+(#REF!*#REF!)+(#REF!*#REF!)+(#REF!*#REF!)+(#REF!*#REF!)+(#REF!*#REF!)+(#REF!*#REF!)</f>
        <v>#REF!</v>
      </c>
      <c r="AE27" s="66"/>
    </row>
    <row r="28" spans="1:35" s="13" customFormat="1" ht="30" hidden="1" customHeight="1" x14ac:dyDescent="0.35">
      <c r="D28" s="249"/>
      <c r="E28" s="249"/>
      <c r="F28" s="21"/>
      <c r="H28" s="254"/>
      <c r="I28" s="15" t="s">
        <v>131</v>
      </c>
      <c r="J28" s="17"/>
      <c r="K28" s="34"/>
      <c r="L28" s="34"/>
      <c r="M28" s="34"/>
      <c r="N28" s="34"/>
      <c r="O28" s="34"/>
      <c r="P28" s="34" t="e">
        <f>SUM(P27:P27)</f>
        <v>#REF!</v>
      </c>
      <c r="Q28" s="37"/>
      <c r="R28" s="34"/>
      <c r="S28" s="34"/>
      <c r="T28" s="27" t="e">
        <f>SUM(Q27:T27)</f>
        <v>#REF!</v>
      </c>
      <c r="U28" s="27"/>
      <c r="V28" s="27"/>
      <c r="W28" s="27"/>
      <c r="X28" s="27" t="e">
        <f>SUM(U27:X27)</f>
        <v>#REF!</v>
      </c>
      <c r="Y28" s="27"/>
      <c r="Z28" s="27"/>
      <c r="AA28" s="27"/>
      <c r="AB28" s="27" t="e">
        <f>SUM(Y27:AB27)</f>
        <v>#REF!</v>
      </c>
      <c r="AC28" s="39"/>
      <c r="AD28" s="27"/>
      <c r="AE28" s="67"/>
    </row>
    <row r="29" spans="1:35" s="13" customFormat="1" ht="30" hidden="1" customHeight="1" x14ac:dyDescent="0.35">
      <c r="H29" s="254"/>
      <c r="I29" s="15" t="s">
        <v>132</v>
      </c>
      <c r="J29" s="14"/>
      <c r="K29" s="34"/>
      <c r="L29" s="34"/>
      <c r="M29" s="34"/>
      <c r="N29" s="34"/>
      <c r="O29" s="34"/>
      <c r="P29" s="34" t="e">
        <f>+#REF!+P28</f>
        <v>#REF!</v>
      </c>
      <c r="Q29" s="37"/>
      <c r="R29" s="34"/>
      <c r="S29" s="34"/>
      <c r="T29" s="26"/>
      <c r="U29" s="27"/>
      <c r="V29" s="27"/>
      <c r="W29" s="27"/>
      <c r="X29" s="27"/>
      <c r="Y29" s="27"/>
      <c r="Z29" s="27"/>
      <c r="AA29" s="27"/>
      <c r="AB29" s="27" t="e">
        <f>+T28+X28+AB28</f>
        <v>#REF!</v>
      </c>
      <c r="AC29" s="39"/>
      <c r="AD29" s="27"/>
      <c r="AE29" s="67"/>
    </row>
    <row r="30" spans="1:35" s="13" customFormat="1" ht="30" hidden="1" customHeight="1" x14ac:dyDescent="0.35">
      <c r="H30" s="255"/>
      <c r="I30" s="18" t="s">
        <v>133</v>
      </c>
      <c r="J30" s="19"/>
      <c r="K30" s="35"/>
      <c r="L30" s="35"/>
      <c r="M30" s="35"/>
      <c r="N30" s="35"/>
      <c r="O30" s="35"/>
      <c r="P30" s="35"/>
      <c r="Q30" s="38"/>
      <c r="R30" s="35"/>
      <c r="S30" s="35"/>
      <c r="T30" s="28"/>
      <c r="U30" s="29"/>
      <c r="V30" s="29"/>
      <c r="W30" s="29"/>
      <c r="X30" s="29"/>
      <c r="Y30" s="29"/>
      <c r="Z30" s="29"/>
      <c r="AA30" s="29"/>
      <c r="AB30" s="29" t="e">
        <f>+P29+AB29</f>
        <v>#REF!</v>
      </c>
      <c r="AC30" s="40"/>
      <c r="AD30" s="29"/>
      <c r="AE30" s="67"/>
    </row>
    <row r="31" spans="1:35" s="13" customFormat="1" ht="30" hidden="1" customHeight="1" x14ac:dyDescent="0.35">
      <c r="H31" s="256" t="s">
        <v>134</v>
      </c>
      <c r="I31" s="15" t="s">
        <v>135</v>
      </c>
      <c r="J31" s="23" t="e">
        <f>SUM(O31:AD31)</f>
        <v>#REF!</v>
      </c>
      <c r="K31" s="34"/>
      <c r="L31" s="34"/>
      <c r="M31" s="34"/>
      <c r="N31" s="34"/>
      <c r="O31" s="34" t="e">
        <f>+(W15*$Q$15)+(W17*$Q$17)+(W19*$Q$19)+(W21*$Q$21)+(#REF!*$Q$23)+(#REF!*$Q$25)+(#REF!*#REF!)+(#REF!*#REF!)+(#REF!*#REF!)+(#REF!*#REF!)+(#REF!*#REF!)+(#REF!*#REF!)+(#REF!*#REF!)</f>
        <v>#REF!</v>
      </c>
      <c r="P31" s="34" t="e">
        <f>+(AD15*$Q$15)+(AD17*$Q$17)+(AD19*$Q$19)+(AD21*$Q$21)+(#REF!*$Q$23)+(#REF!*$Q$25)+(#REF!*#REF!)+(#REF!*#REF!)+(#REF!*#REF!)+(#REF!*#REF!)+(#REF!*#REF!)+(#REF!*#REF!)+(#REF!*#REF!)</f>
        <v>#REF!</v>
      </c>
      <c r="Q31" s="37" t="e">
        <f>+(#REF!*$Q$15)+(#REF!*$Q$17)+(#REF!*$Q$19)+(#REF!*$Q$21)+(#REF!*$Q$23)+(#REF!*$Q$25)+(#REF!*#REF!)+(#REF!*#REF!)+(#REF!*#REF!)+(#REF!*#REF!)+(#REF!*#REF!)+(#REF!*#REF!)+(#REF!*#REF!)</f>
        <v>#REF!</v>
      </c>
      <c r="R31" s="34" t="e">
        <f>+(#REF!*$Q$15)+(#REF!*$Q$17)+(#REF!*$Q$19)+(#REF!*$Q$21)+(#REF!*$Q$23)+(#REF!*$Q$25)+(#REF!*#REF!)+(#REF!*#REF!)+(#REF!*#REF!)+(#REF!*#REF!)+(#REF!*#REF!)+(#REF!*#REF!)+(#REF!*#REF!)</f>
        <v>#REF!</v>
      </c>
      <c r="S31" s="34" t="e">
        <f>+(#REF!*$Q$15)+(#REF!*$Q$17)+(#REF!*$Q$19)+(#REF!*$Q$21)+(#REF!*$Q$23)+(#REF!*$Q$25)+(#REF!*#REF!)+(#REF!*#REF!)+(#REF!*#REF!)+(#REF!*#REF!)+(#REF!*#REF!)+(#REF!*#REF!)+(#REF!*#REF!)</f>
        <v>#REF!</v>
      </c>
      <c r="T31" s="34" t="e">
        <f>+(#REF!*$Q$15)+(#REF!*$Q$17)+(#REF!*$Q$19)+(#REF!*$Q$21)+(#REF!*$Q$23)+(#REF!*$Q$25)+(#REF!*#REF!)+(#REF!*#REF!)+(#REF!*#REF!)+(#REF!*#REF!)+(#REF!*#REF!)+(#REF!*#REF!)+(#REF!*#REF!)</f>
        <v>#REF!</v>
      </c>
      <c r="U31" s="34" t="e">
        <f>+(#REF!*$Q$15)+(#REF!*$Q$17)+(#REF!*$Q$19)+(#REF!*$Q$21)+(#REF!*$Q$23)+(#REF!*$Q$25)+(#REF!*#REF!)+(#REF!*#REF!)+(#REF!*#REF!)+(#REF!*#REF!)+(#REF!*#REF!)+(#REF!*#REF!)+(#REF!*#REF!)</f>
        <v>#REF!</v>
      </c>
      <c r="V31" s="34" t="e">
        <f>+(#REF!*$Q$15)+(#REF!*$Q$17)+(#REF!*$Q$19)+(#REF!*$Q$21)+(#REF!*$Q$23)+(#REF!*$Q$25)+(#REF!*#REF!)+(#REF!*#REF!)+(#REF!*#REF!)+(#REF!*#REF!)+(#REF!*#REF!)+(#REF!*#REF!)+(#REF!*#REF!)</f>
        <v>#REF!</v>
      </c>
      <c r="W31" s="34" t="e">
        <f>+(#REF!*$Q$15)+(#REF!*$Q$17)+(#REF!*$Q$19)+(#REF!*$Q$21)+(#REF!*$Q$23)+(#REF!*$Q$25)+(#REF!*#REF!)+(#REF!*#REF!)+(#REF!*#REF!)+(#REF!*#REF!)+(#REF!*#REF!)+(#REF!*#REF!)+(#REF!*#REF!)</f>
        <v>#REF!</v>
      </c>
      <c r="X31" s="34" t="e">
        <f>+(#REF!*$Q$15)+(#REF!*$Q$17)+(#REF!*$Q$19)+(#REF!*$Q$21)+(#REF!*$Q$23)+(#REF!*$Q$25)+(#REF!*#REF!)+(#REF!*#REF!)+(#REF!*#REF!)+(#REF!*#REF!)+(#REF!*#REF!)+(#REF!*#REF!)+(#REF!*#REF!)</f>
        <v>#REF!</v>
      </c>
      <c r="Y31" s="34" t="e">
        <f>+(#REF!*$Q$15)+(#REF!*$Q$17)+(#REF!*$Q$19)+(#REF!*$Q$21)+(#REF!*$Q$23)+(#REF!*$Q$25)+(#REF!*#REF!)+(#REF!*#REF!)+(#REF!*#REF!)+(#REF!*#REF!)+(#REF!*#REF!)+(#REF!*#REF!)+(#REF!*#REF!)</f>
        <v>#REF!</v>
      </c>
      <c r="Z31" s="34" t="e">
        <f>+(#REF!*$Q$15)+(#REF!*$Q$17)+(#REF!*$Q$19)+(#REF!*$Q$21)+(#REF!*$Q$23)+(#REF!*$Q$25)+(#REF!*#REF!)+(#REF!*#REF!)+(#REF!*#REF!)+(#REF!*#REF!)+(#REF!*#REF!)+(#REF!*#REF!)+(#REF!*#REF!)</f>
        <v>#REF!</v>
      </c>
      <c r="AA31" s="34" t="e">
        <f>+(#REF!*$Q$15)+(#REF!*$Q$17)+(#REF!*$Q$19)+(#REF!*$Q$21)+(#REF!*$Q$23)+(#REF!*$Q$25)+(#REF!*#REF!)+(#REF!*#REF!)+(#REF!*#REF!)+(#REF!*#REF!)+(#REF!*#REF!)+(#REF!*#REF!)+(#REF!*#REF!)</f>
        <v>#REF!</v>
      </c>
      <c r="AB31" s="34" t="e">
        <f>+(#REF!*$Q$15)+(#REF!*$Q$17)+(#REF!*$Q$19)+(#REF!*$Q$21)+(#REF!*$Q$23)+(#REF!*$Q$25)+(#REF!*#REF!)+(#REF!*#REF!)+(#REF!*#REF!)+(#REF!*#REF!)+(#REF!*#REF!)+(#REF!*#REF!)+(#REF!*#REF!)</f>
        <v>#REF!</v>
      </c>
      <c r="AC31" s="37" t="e">
        <f>+(#REF!*$Q$15)+(#REF!*$Q$17)+(#REF!*$Q$19)+(#REF!*$Q$21)+(#REF!*$Q$23)+(#REF!*$Q$25)+(#REF!*#REF!)+(#REF!*#REF!)+(#REF!*#REF!)+(#REF!*#REF!)+(#REF!*#REF!)+(#REF!*#REF!)+(#REF!*#REF!)</f>
        <v>#REF!</v>
      </c>
      <c r="AD31" s="34" t="e">
        <f>+(#REF!*$Q$15)+(#REF!*$Q$17)+(#REF!*$Q$19)+(#REF!*$Q$21)+(#REF!*$Q$23)+(#REF!*$Q$25)+(#REF!*#REF!)+(#REF!*#REF!)+(#REF!*#REF!)+(#REF!*#REF!)+(#REF!*#REF!)+(#REF!*#REF!)+(#REF!*#REF!)</f>
        <v>#REF!</v>
      </c>
      <c r="AE31" s="66"/>
    </row>
    <row r="32" spans="1:35" s="13" customFormat="1" ht="30" hidden="1" customHeight="1" x14ac:dyDescent="0.35">
      <c r="H32" s="254"/>
      <c r="I32" s="15" t="s">
        <v>136</v>
      </c>
      <c r="J32" s="16"/>
      <c r="K32" s="34"/>
      <c r="L32" s="34"/>
      <c r="M32" s="34"/>
      <c r="N32" s="34"/>
      <c r="O32" s="34"/>
      <c r="P32" s="34" t="e">
        <f>SUM(P31:P31)</f>
        <v>#REF!</v>
      </c>
      <c r="Q32" s="37"/>
      <c r="R32" s="34"/>
      <c r="S32" s="34"/>
      <c r="T32" s="34" t="e">
        <f>SUM(Q31:T31)</f>
        <v>#REF!</v>
      </c>
      <c r="U32" s="34"/>
      <c r="V32" s="34"/>
      <c r="W32" s="34"/>
      <c r="X32" s="34" t="e">
        <f>SUM(U31:X31)</f>
        <v>#REF!</v>
      </c>
      <c r="Y32" s="34"/>
      <c r="Z32" s="34"/>
      <c r="AA32" s="34"/>
      <c r="AB32" s="34" t="e">
        <f>SUM(Y31:AB31)</f>
        <v>#REF!</v>
      </c>
      <c r="AC32" s="37"/>
      <c r="AD32" s="34"/>
      <c r="AE32" s="66"/>
    </row>
    <row r="33" spans="8:31" s="13" customFormat="1" ht="30" hidden="1" customHeight="1" x14ac:dyDescent="0.35">
      <c r="H33" s="254"/>
      <c r="I33" s="15" t="s">
        <v>137</v>
      </c>
      <c r="J33" s="14"/>
      <c r="K33" s="34"/>
      <c r="L33" s="34"/>
      <c r="M33" s="34"/>
      <c r="N33" s="34"/>
      <c r="O33" s="34"/>
      <c r="P33" s="34" t="e">
        <f>+#REF!+P32</f>
        <v>#REF!</v>
      </c>
      <c r="Q33" s="37"/>
      <c r="R33" s="34"/>
      <c r="S33" s="34"/>
      <c r="T33" s="26"/>
      <c r="U33" s="27"/>
      <c r="V33" s="27"/>
      <c r="W33" s="27"/>
      <c r="X33" s="27"/>
      <c r="Y33" s="27"/>
      <c r="Z33" s="27"/>
      <c r="AA33" s="27"/>
      <c r="AB33" s="27" t="e">
        <f>+T32+X32+AB32</f>
        <v>#REF!</v>
      </c>
      <c r="AC33" s="39"/>
      <c r="AD33" s="27"/>
      <c r="AE33" s="67"/>
    </row>
    <row r="34" spans="8:31" s="13" customFormat="1" ht="30" hidden="1" customHeight="1" x14ac:dyDescent="0.35">
      <c r="H34" s="255"/>
      <c r="I34" s="20" t="s">
        <v>138</v>
      </c>
      <c r="J34" s="19"/>
      <c r="K34" s="35"/>
      <c r="L34" s="35"/>
      <c r="M34" s="35"/>
      <c r="N34" s="35"/>
      <c r="O34" s="35"/>
      <c r="P34" s="35"/>
      <c r="Q34" s="38"/>
      <c r="R34" s="35"/>
      <c r="S34" s="35"/>
      <c r="T34" s="28"/>
      <c r="U34" s="29"/>
      <c r="V34" s="29"/>
      <c r="W34" s="29"/>
      <c r="X34" s="29"/>
      <c r="Y34" s="29"/>
      <c r="Z34" s="29"/>
      <c r="AA34" s="29"/>
      <c r="AB34" s="29" t="e">
        <f>+P33+AB33</f>
        <v>#REF!</v>
      </c>
      <c r="AC34" s="40"/>
      <c r="AD34" s="41"/>
      <c r="AE34" s="67"/>
    </row>
    <row r="35" spans="8:31" ht="30" hidden="1" customHeight="1" x14ac:dyDescent="0.35">
      <c r="H35" s="24"/>
      <c r="I35" s="251" t="s">
        <v>139</v>
      </c>
      <c r="J35" s="251"/>
      <c r="K35" s="46"/>
      <c r="L35" s="46"/>
      <c r="M35" s="46"/>
      <c r="N35" s="46"/>
      <c r="O35" s="46" t="e">
        <f>+O27/O31</f>
        <v>#REF!</v>
      </c>
      <c r="P35" s="47" t="e">
        <f>+(O27+#REF!+#REF!+#REF!+#REF!+#REF!+#REF!+P27)/(O31+#REF!+#REF!+#REF!+#REF!+#REF!+#REF!+P31)</f>
        <v>#REF!</v>
      </c>
      <c r="Q35" s="48" t="e">
        <f>+(O27+#REF!+#REF!+#REF!+#REF!+#REF!+#REF!+P27+Q27)/(O31+#REF!+#REF!+#REF!+#REF!+#REF!+#REF!+P31+Q31)</f>
        <v>#REF!</v>
      </c>
      <c r="R35" s="46" t="e">
        <f>+(O27+#REF!+#REF!+#REF!+#REF!+#REF!+#REF!+P27+Q27+R27)/(O31+#REF!+#REF!+#REF!+#REF!+#REF!+#REF!+P31+Q31+R31)</f>
        <v>#REF!</v>
      </c>
      <c r="S35" s="46" t="e">
        <f>+(O27+#REF!+#REF!+#REF!+#REF!+#REF!+#REF!+P27+Q27+R27+S27)/(O31+#REF!+#REF!+#REF!+#REF!+#REF!+#REF!+P31+Q31+R31+S31)</f>
        <v>#REF!</v>
      </c>
      <c r="T35" s="47" t="e">
        <f>+(O27+#REF!+#REF!+#REF!+#REF!+#REF!+#REF!+P27+Q27+R27+S27+T27)/(O31+#REF!+#REF!+#REF!+#REF!+#REF!+#REF!+P31+Q31+R31+S31+T31)</f>
        <v>#REF!</v>
      </c>
      <c r="U35" s="46" t="e">
        <f>+(O27+#REF!+#REF!+#REF!+#REF!+#REF!+#REF!+P27+Q27+R27+S27+T27+U27)/(O31+#REF!+#REF!+#REF!+#REF!+#REF!+#REF!+P31+Q31+R31+S31+T31+U31)</f>
        <v>#REF!</v>
      </c>
      <c r="V35" s="46" t="e">
        <f>+(O27+#REF!+#REF!+#REF!+#REF!+#REF!+#REF!+P27+Q27+R27+S27+T27+U27+V27)/(O31+#REF!+#REF!+#REF!+#REF!+#REF!+#REF!+P31+Q31+R31+S31+T31+U31+V31)</f>
        <v>#REF!</v>
      </c>
      <c r="W35" s="46" t="e">
        <f>+(O27+#REF!+#REF!+#REF!+#REF!+#REF!+#REF!+P27+Q27+R27+S27+T27+U27+V27+W27)/(O31+#REF!+#REF!+#REF!+#REF!+#REF!+#REF!+P31+Q31+R31+S31+T31+U31+V31+W31)</f>
        <v>#REF!</v>
      </c>
      <c r="X35" s="47" t="e">
        <f>+(O27+#REF!+#REF!+#REF!+#REF!+#REF!+#REF!+P27+Q27+R27+S27+T27+U27+V27+W27+X27)/(O31+#REF!+#REF!+#REF!+#REF!+#REF!+#REF!+P31+Q31+R31+S31+T31+U31+V31+W31+X31)</f>
        <v>#REF!</v>
      </c>
      <c r="Y35" s="46" t="e">
        <f>+(O27+#REF!+#REF!+#REF!+#REF!+#REF!+#REF!+P27+Q27+R27+S27+T27+U27+V27+W27+X27+Y27)/(O31+#REF!+#REF!+#REF!+#REF!+#REF!+#REF!+P31+Q31+R31+S31+T31+U31+V31+W31+X31+Y31)</f>
        <v>#REF!</v>
      </c>
      <c r="Z35" s="46" t="e">
        <f>+(O27+#REF!+#REF!+#REF!+#REF!+#REF!+#REF!+P27+Q27+R27+S27+T27+U27+V27+W27+X27+Y27+Z27)/(O31+#REF!+#REF!+#REF!+#REF!+#REF!+#REF!+P31+Q31+R31+S31+T31+U31+V31+W31+X31+Y31+Z31)</f>
        <v>#REF!</v>
      </c>
      <c r="AA35" s="46" t="e">
        <f>+(O27+#REF!+#REF!+#REF!+#REF!+#REF!+#REF!+P27+Q27+R27+S27+T27+U27+V27+W27+X27+Y27+Z27+AA27)/(O31+#REF!+#REF!+#REF!+#REF!+#REF!+#REF!+P31+Q31+R31+S31+T31+U31+V31+W31+X31+Y31+Z31+AA31)</f>
        <v>#REF!</v>
      </c>
      <c r="AB35" s="47" t="e">
        <f>+(O27+#REF!+#REF!+#REF!+#REF!+#REF!+#REF!+P27+Q27+R27+S27+T27+U27+V27+W27+X27+Y27+Z27+AA27+AB27)/(O31+#REF!+#REF!+#REF!+#REF!+#REF!+#REF!+P31+Q31+R31+S31+T31+U31+V31+W31+X31+Y31+Z31+AA31+AB31)</f>
        <v>#REF!</v>
      </c>
      <c r="AC35" s="48" t="e">
        <f>+(O27+#REF!+#REF!+#REF!+#REF!+#REF!+#REF!+P27+Q27+R27+S27+T27+U27+V27+W27+X27+Y27+Z27+AA27+AB27+AC27)/(O31+#REF!+#REF!+#REF!+#REF!+#REF!+#REF!+P31+Q31+R31+S31+T31+U31+V31+W31+X31+Y31+Z31+AA31+AB31+AC31)</f>
        <v>#REF!</v>
      </c>
      <c r="AD35" s="46" t="e">
        <f>+(O27+#REF!+#REF!+#REF!+#REF!+#REF!+#REF!+P27+Q27+R27+S27+T27+U27+V27+W27+X27+Y27+Z27+AA27+AB27+AC27+AD27)/(O31+#REF!+#REF!+#REF!+#REF!+#REF!+#REF!+P31+Q31+R31+S31+T31+U31+V31+W31+X31+Y31+Z31+AA31+AB31+AC31+AD31)</f>
        <v>#REF!</v>
      </c>
      <c r="AE35" s="68"/>
    </row>
    <row r="36" spans="8:31" ht="30" hidden="1" customHeight="1" x14ac:dyDescent="0.35">
      <c r="H36" s="24"/>
      <c r="I36" s="252" t="s">
        <v>140</v>
      </c>
      <c r="J36" s="252"/>
      <c r="K36" s="47"/>
      <c r="L36" s="47"/>
      <c r="M36" s="47"/>
      <c r="N36" s="47"/>
      <c r="O36" s="47" t="e">
        <f>+O27/$F$27</f>
        <v>#REF!</v>
      </c>
      <c r="P36" s="47" t="e">
        <f>+(O27+#REF!+#REF!+#REF!+#REF!+#REF!+#REF!+P27)/$F$27</f>
        <v>#REF!</v>
      </c>
      <c r="Q36" s="49" t="e">
        <f>+(O27+#REF!+#REF!+#REF!+#REF!+#REF!+#REF!+P27+Q27)/$F$27</f>
        <v>#REF!</v>
      </c>
      <c r="R36" s="47" t="e">
        <f>+(O27+#REF!+#REF!+#REF!+#REF!+#REF!+#REF!+P27+Q27+R27)/$F$27</f>
        <v>#REF!</v>
      </c>
      <c r="S36" s="47" t="e">
        <f>+(O27+#REF!+#REF!+#REF!+#REF!+#REF!+#REF!+P27+Q27+R27+S27)/$F$27</f>
        <v>#REF!</v>
      </c>
      <c r="T36" s="47" t="e">
        <f>+(O27+#REF!+#REF!+#REF!+#REF!+#REF!+#REF!+P27+Q27+R27+S27+T27)/$F$27</f>
        <v>#REF!</v>
      </c>
      <c r="U36" s="47" t="e">
        <f>+(O27+#REF!+#REF!+#REF!+#REF!+#REF!+#REF!+P27+Q27+R27+S27+T27+U27)/$F$27</f>
        <v>#REF!</v>
      </c>
      <c r="V36" s="47" t="e">
        <f>+(O27+#REF!+#REF!+#REF!+#REF!+#REF!+#REF!+P27+Q27+R27+S27+T27+U27+V27)/$F$27</f>
        <v>#REF!</v>
      </c>
      <c r="W36" s="47" t="e">
        <f>+(O27+#REF!+#REF!+#REF!+#REF!+#REF!+#REF!+P27+Q27+R27+S27+T27+U27+V27+W27)/$F$27</f>
        <v>#REF!</v>
      </c>
      <c r="X36" s="47" t="e">
        <f>+(O27+#REF!+#REF!+#REF!+#REF!+#REF!+#REF!+P27+Q27+R27+S27+T27+U27+V27+W27+X27)/$F$27</f>
        <v>#REF!</v>
      </c>
      <c r="Y36" s="47" t="e">
        <f>+(O27+#REF!+#REF!+#REF!+#REF!+#REF!+#REF!+P27+Q27+R27+S27+T27+U27+V27+W27+X27+Y27)/$F$27</f>
        <v>#REF!</v>
      </c>
      <c r="Z36" s="47" t="e">
        <f>+(O27+#REF!+#REF!+#REF!+#REF!+#REF!+#REF!+P27+Q27+R27+S27+T27+U27+V27+W27+X27+Y27+Z27)/$F$27</f>
        <v>#REF!</v>
      </c>
      <c r="AA36" s="47" t="e">
        <f>+(O27+#REF!+#REF!+#REF!+#REF!+#REF!+#REF!+P27+Q27+R27+S27+T27+U27+V27+W27+X27+Y27+Z27+AA27)/$F$27</f>
        <v>#REF!</v>
      </c>
      <c r="AB36" s="47" t="e">
        <f>+(O27+#REF!+#REF!+#REF!+#REF!+#REF!+#REF!+P27+Q27+R27+S27+T27+U27+V27+W27+X27+Y27+Z27+AA27+AB27)/$F$27</f>
        <v>#REF!</v>
      </c>
      <c r="AC36" s="49" t="e">
        <f>+(O27+#REF!+#REF!+#REF!+#REF!+#REF!+#REF!+P27+Q27+R27+S27+T27+U27+V27+W27+X27+Y27+Z27+AA27+AB27+AC27)/$F$27</f>
        <v>#REF!</v>
      </c>
      <c r="AD36" s="47" t="e">
        <f>+(O27+#REF!+#REF!+#REF!+#REF!+#REF!+#REF!+P27+Q27+R27+S27+T27+U27+V27+W27+X27+Y27+Z27+AA27+AB27+AC27+AD27)/$F$27</f>
        <v>#REF!</v>
      </c>
      <c r="AE36" s="69"/>
    </row>
    <row r="37" spans="8:31" ht="30" hidden="1" customHeight="1" x14ac:dyDescent="0.35">
      <c r="I37" s="251" t="s">
        <v>141</v>
      </c>
      <c r="J37" s="251"/>
      <c r="K37" s="50"/>
      <c r="L37" s="50"/>
      <c r="M37" s="50"/>
      <c r="N37" s="50"/>
      <c r="O37" s="50"/>
      <c r="P37" s="47" t="e">
        <f>+P28/P32</f>
        <v>#REF!</v>
      </c>
      <c r="Q37" s="51"/>
      <c r="R37" s="50"/>
      <c r="S37" s="50"/>
      <c r="T37" s="47" t="e">
        <f>+T28/T32</f>
        <v>#REF!</v>
      </c>
      <c r="U37" s="50"/>
      <c r="V37" s="50"/>
      <c r="W37" s="50"/>
      <c r="X37" s="47" t="e">
        <f>+X28/X32</f>
        <v>#REF!</v>
      </c>
      <c r="Y37" s="50"/>
      <c r="Z37" s="50"/>
      <c r="AA37" s="50"/>
      <c r="AB37" s="47" t="e">
        <f>+AB28/AB32</f>
        <v>#REF!</v>
      </c>
      <c r="AC37" s="51"/>
      <c r="AD37" s="50"/>
      <c r="AE37" s="70"/>
    </row>
    <row r="38" spans="8:31" ht="30" hidden="1" customHeight="1" x14ac:dyDescent="0.35">
      <c r="I38" s="252" t="s">
        <v>142</v>
      </c>
      <c r="J38" s="252"/>
      <c r="K38" s="50"/>
      <c r="L38" s="50"/>
      <c r="M38" s="50"/>
      <c r="N38" s="50"/>
      <c r="O38" s="50"/>
      <c r="P38" s="47" t="e">
        <f>+(#REF!+P28)/$F$27</f>
        <v>#REF!</v>
      </c>
      <c r="Q38" s="51"/>
      <c r="R38" s="50"/>
      <c r="S38" s="50"/>
      <c r="T38" s="47" t="e">
        <f>+(#REF!+P28+T28)/$F$27</f>
        <v>#REF!</v>
      </c>
      <c r="U38" s="50"/>
      <c r="V38" s="50"/>
      <c r="W38" s="50"/>
      <c r="X38" s="47" t="e">
        <f>+(#REF!+P28+T28+X28)/$F$27</f>
        <v>#REF!</v>
      </c>
      <c r="Y38" s="50"/>
      <c r="Z38" s="50"/>
      <c r="AA38" s="50"/>
      <c r="AB38" s="47" t="e">
        <f>+(#REF!+P28+T28+X28+AB28)/$F$27</f>
        <v>#REF!</v>
      </c>
      <c r="AC38" s="51"/>
      <c r="AD38" s="50"/>
      <c r="AE38" s="70"/>
    </row>
    <row r="39" spans="8:31" ht="30" hidden="1" customHeight="1" x14ac:dyDescent="0.35">
      <c r="I39" s="251" t="s">
        <v>143</v>
      </c>
      <c r="J39" s="251"/>
      <c r="K39" s="50"/>
      <c r="L39" s="50"/>
      <c r="M39" s="50"/>
      <c r="N39" s="50"/>
      <c r="O39" s="50"/>
      <c r="P39" s="47" t="e">
        <f>+(#REF!+P28)/(#REF!+P32)</f>
        <v>#REF!</v>
      </c>
      <c r="Q39" s="51"/>
      <c r="R39" s="50"/>
      <c r="S39" s="50"/>
      <c r="T39" s="50"/>
      <c r="U39" s="50"/>
      <c r="V39" s="50"/>
      <c r="W39" s="50"/>
      <c r="X39" s="50"/>
      <c r="Y39" s="50"/>
      <c r="Z39" s="50"/>
      <c r="AA39" s="50"/>
      <c r="AB39" s="47" t="e">
        <f>+(#REF!+P28+T28+X28+AB28)/(#REF!+P32+T32+X32+AB32)</f>
        <v>#REF!</v>
      </c>
      <c r="AC39" s="51"/>
      <c r="AD39" s="50"/>
      <c r="AE39" s="70"/>
    </row>
    <row r="40" spans="8:31" ht="30" hidden="1" customHeight="1" x14ac:dyDescent="0.35">
      <c r="I40" s="251" t="s">
        <v>144</v>
      </c>
      <c r="J40" s="251"/>
      <c r="K40" s="50"/>
      <c r="L40" s="50"/>
      <c r="M40" s="50"/>
      <c r="N40" s="50"/>
      <c r="O40" s="50"/>
      <c r="P40" s="47" t="e">
        <f>+(#REF!+P28)/$F$27</f>
        <v>#REF!</v>
      </c>
      <c r="Q40" s="51"/>
      <c r="R40" s="50"/>
      <c r="S40" s="50"/>
      <c r="T40" s="50"/>
      <c r="U40" s="50"/>
      <c r="V40" s="50"/>
      <c r="W40" s="50"/>
      <c r="X40" s="50"/>
      <c r="Y40" s="50"/>
      <c r="Z40" s="50"/>
      <c r="AA40" s="50"/>
      <c r="AB40" s="47" t="e">
        <f>+(+#REF!+P28+T28+X28+AB28)/$F$27</f>
        <v>#REF!</v>
      </c>
      <c r="AC40" s="51"/>
      <c r="AD40" s="50"/>
      <c r="AE40" s="70"/>
    </row>
    <row r="41" spans="8:31" ht="15" hidden="1" customHeight="1" x14ac:dyDescent="0.35"/>
    <row r="42" spans="8:31" ht="35.15" hidden="1" customHeight="1" x14ac:dyDescent="0.35">
      <c r="H42" s="250" t="s">
        <v>145</v>
      </c>
      <c r="I42" s="250"/>
      <c r="J42" s="30" t="e">
        <f>+#REF!</f>
        <v>#REF!</v>
      </c>
      <c r="K42" s="32"/>
      <c r="L42" s="32"/>
      <c r="M42" s="32"/>
      <c r="N42" s="32"/>
      <c r="O42" s="32"/>
    </row>
    <row r="43" spans="8:31" ht="35.15" hidden="1" customHeight="1" x14ac:dyDescent="0.35">
      <c r="H43" s="250" t="s">
        <v>146</v>
      </c>
      <c r="I43" s="250"/>
      <c r="J43" s="25">
        <f>+F27</f>
        <v>1</v>
      </c>
      <c r="K43" s="32"/>
      <c r="L43" s="32"/>
      <c r="M43" s="32"/>
      <c r="N43" s="32"/>
      <c r="O43" s="32"/>
    </row>
    <row r="44" spans="8:31" ht="35.15" hidden="1" customHeight="1" x14ac:dyDescent="0.35">
      <c r="H44" s="250" t="s">
        <v>147</v>
      </c>
      <c r="I44" s="250"/>
      <c r="J44" s="31" t="e">
        <f>+J42/J43</f>
        <v>#REF!</v>
      </c>
      <c r="K44" s="32"/>
      <c r="L44" s="32"/>
      <c r="M44" s="32"/>
      <c r="N44" s="32"/>
      <c r="O44" s="32"/>
    </row>
    <row r="45" spans="8:31" ht="15" customHeight="1" x14ac:dyDescent="0.35">
      <c r="K45" s="32"/>
      <c r="L45" s="32"/>
      <c r="M45" s="32"/>
      <c r="N45" s="32"/>
      <c r="O45" s="32"/>
    </row>
    <row r="46" spans="8:31" ht="15" customHeight="1" x14ac:dyDescent="0.35">
      <c r="K46" s="32"/>
      <c r="L46" s="32"/>
      <c r="M46" s="32"/>
      <c r="N46" s="32"/>
      <c r="O46" s="32"/>
    </row>
    <row r="47" spans="8:31" ht="15" customHeight="1" x14ac:dyDescent="0.35">
      <c r="K47" s="32"/>
      <c r="L47" s="32"/>
      <c r="M47" s="32"/>
      <c r="N47" s="32"/>
      <c r="O47" s="32"/>
    </row>
  </sheetData>
  <mergeCells count="186">
    <mergeCell ref="H42:I42"/>
    <mergeCell ref="H43:I43"/>
    <mergeCell ref="H44:I44"/>
    <mergeCell ref="I35:J35"/>
    <mergeCell ref="I36:J36"/>
    <mergeCell ref="I37:J37"/>
    <mergeCell ref="I38:J38"/>
    <mergeCell ref="I39:J39"/>
    <mergeCell ref="I40:J40"/>
    <mergeCell ref="D27:E27"/>
    <mergeCell ref="H27:H30"/>
    <mergeCell ref="D28:E28"/>
    <mergeCell ref="H31:H34"/>
    <mergeCell ref="O24:O25"/>
    <mergeCell ref="AF24:AF25"/>
    <mergeCell ref="AG24:AG25"/>
    <mergeCell ref="AH24:AH25"/>
    <mergeCell ref="AI24:AI25"/>
    <mergeCell ref="I24:I25"/>
    <mergeCell ref="J24:J25"/>
    <mergeCell ref="K24:K25"/>
    <mergeCell ref="L24:L25"/>
    <mergeCell ref="M24:M25"/>
    <mergeCell ref="N24:N25"/>
    <mergeCell ref="A24:A25"/>
    <mergeCell ref="B24:B25"/>
    <mergeCell ref="C24:C25"/>
    <mergeCell ref="D24:D25"/>
    <mergeCell ref="E24:E25"/>
    <mergeCell ref="F24:F25"/>
    <mergeCell ref="G24:G25"/>
    <mergeCell ref="H24:H25"/>
    <mergeCell ref="L22:L23"/>
    <mergeCell ref="F22:F23"/>
    <mergeCell ref="G22:G23"/>
    <mergeCell ref="H22:H23"/>
    <mergeCell ref="I22:I23"/>
    <mergeCell ref="J22:J23"/>
    <mergeCell ref="K22:K23"/>
    <mergeCell ref="AH20:AH21"/>
    <mergeCell ref="AI20:AI21"/>
    <mergeCell ref="A22:A23"/>
    <mergeCell ref="B22:B23"/>
    <mergeCell ref="C22:C23"/>
    <mergeCell ref="D22:D23"/>
    <mergeCell ref="E22:E23"/>
    <mergeCell ref="I20:I21"/>
    <mergeCell ref="J20:J21"/>
    <mergeCell ref="K20:K21"/>
    <mergeCell ref="L20:L21"/>
    <mergeCell ref="M20:M21"/>
    <mergeCell ref="N20:N21"/>
    <mergeCell ref="AH22:AH23"/>
    <mergeCell ref="AI22:AI23"/>
    <mergeCell ref="M22:M23"/>
    <mergeCell ref="N22:N23"/>
    <mergeCell ref="O22:O23"/>
    <mergeCell ref="AF22:AF23"/>
    <mergeCell ref="AG22:AG23"/>
    <mergeCell ref="A20:A21"/>
    <mergeCell ref="AF18:AF19"/>
    <mergeCell ref="AG18:AG19"/>
    <mergeCell ref="A16:A17"/>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O20:O21"/>
    <mergeCell ref="AF20:AF21"/>
    <mergeCell ref="AG20:AG21"/>
    <mergeCell ref="I14:I15"/>
    <mergeCell ref="J14:J15"/>
    <mergeCell ref="K14:K15"/>
    <mergeCell ref="O16:O17"/>
    <mergeCell ref="AF16:AF17"/>
    <mergeCell ref="AG16:AG17"/>
    <mergeCell ref="AH16:AH17"/>
    <mergeCell ref="AI16:AI17"/>
    <mergeCell ref="A18:A19"/>
    <mergeCell ref="B18:B19"/>
    <mergeCell ref="C18:C19"/>
    <mergeCell ref="D18:D19"/>
    <mergeCell ref="E18:E19"/>
    <mergeCell ref="I16:I17"/>
    <mergeCell ref="J16:J17"/>
    <mergeCell ref="K16:K17"/>
    <mergeCell ref="L16:L17"/>
    <mergeCell ref="M16:M17"/>
    <mergeCell ref="N16:N17"/>
    <mergeCell ref="AH18:AH19"/>
    <mergeCell ref="AI18:AI19"/>
    <mergeCell ref="M18:M19"/>
    <mergeCell ref="N18:N19"/>
    <mergeCell ref="O18:O19"/>
    <mergeCell ref="AI14:AI15"/>
    <mergeCell ref="M14:M15"/>
    <mergeCell ref="A12:A13"/>
    <mergeCell ref="B16:B17"/>
    <mergeCell ref="C16:C17"/>
    <mergeCell ref="D16:D17"/>
    <mergeCell ref="E16:E17"/>
    <mergeCell ref="F16:F17"/>
    <mergeCell ref="G16:G17"/>
    <mergeCell ref="H16:H17"/>
    <mergeCell ref="L14:L15"/>
    <mergeCell ref="AH12:AH13"/>
    <mergeCell ref="B12:B13"/>
    <mergeCell ref="C12:C13"/>
    <mergeCell ref="D12:D13"/>
    <mergeCell ref="E12:E13"/>
    <mergeCell ref="F12:F13"/>
    <mergeCell ref="N14:N15"/>
    <mergeCell ref="O14:O15"/>
    <mergeCell ref="AF14:AF15"/>
    <mergeCell ref="AG14:AG15"/>
    <mergeCell ref="F14:F15"/>
    <mergeCell ref="G14:G15"/>
    <mergeCell ref="H14:H15"/>
    <mergeCell ref="AE12:AE13"/>
    <mergeCell ref="AF12:AF13"/>
    <mergeCell ref="AG12:AG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H14:AH15"/>
    <mergeCell ref="O12:O13"/>
    <mergeCell ref="P12:P13"/>
    <mergeCell ref="Q12:Q13"/>
    <mergeCell ref="R12:R13"/>
    <mergeCell ref="G12:G13"/>
    <mergeCell ref="H12:H13"/>
    <mergeCell ref="I12:I13"/>
    <mergeCell ref="J12:J13"/>
    <mergeCell ref="K12:K13"/>
    <mergeCell ref="L12:L13"/>
    <mergeCell ref="A11:F11"/>
    <mergeCell ref="G11:O11"/>
    <mergeCell ref="P11:AE11"/>
    <mergeCell ref="AF11:AI11"/>
    <mergeCell ref="K6:L10"/>
    <mergeCell ref="M6:M10"/>
    <mergeCell ref="N6:O10"/>
    <mergeCell ref="P6:R10"/>
    <mergeCell ref="S6:V10"/>
    <mergeCell ref="W6:Z10"/>
    <mergeCell ref="AA6:AD10"/>
    <mergeCell ref="AE6:AF10"/>
    <mergeCell ref="AG6:AG10"/>
    <mergeCell ref="A1:C3"/>
    <mergeCell ref="D1:AI3"/>
    <mergeCell ref="A4:A5"/>
    <mergeCell ref="G4:G5"/>
    <mergeCell ref="A6:B10"/>
    <mergeCell ref="C6:D10"/>
    <mergeCell ref="E6:F10"/>
    <mergeCell ref="G6:G10"/>
    <mergeCell ref="H6:I10"/>
    <mergeCell ref="J6:J10"/>
    <mergeCell ref="AH6:AH10"/>
  </mergeCells>
  <conditionalFormatting sqref="I4">
    <cfRule type="cellIs" dxfId="149" priority="16" operator="lessThanOrEqual">
      <formula>$C$4</formula>
    </cfRule>
  </conditionalFormatting>
  <conditionalFormatting sqref="J6">
    <cfRule type="cellIs" dxfId="148" priority="17" operator="greaterThanOrEqual">
      <formula>$C$5</formula>
    </cfRule>
    <cfRule type="cellIs" dxfId="147" priority="18" operator="lessThanOrEqual">
      <formula>$C$4</formula>
    </cfRule>
    <cfRule type="cellIs" dxfId="146" priority="19" operator="between">
      <formula>$C$5</formula>
      <formula>$C$4</formula>
    </cfRule>
  </conditionalFormatting>
  <conditionalFormatting sqref="P6">
    <cfRule type="cellIs" dxfId="145" priority="13" operator="greaterThanOrEqual">
      <formula>$I$5</formula>
    </cfRule>
    <cfRule type="cellIs" dxfId="144" priority="14" operator="lessThanOrEqual">
      <formula>$I$4</formula>
    </cfRule>
    <cfRule type="cellIs" dxfId="143" priority="15" operator="between">
      <formula>$I$5</formula>
      <formula>$I$4</formula>
    </cfRule>
  </conditionalFormatting>
  <conditionalFormatting sqref="R14:R25">
    <cfRule type="cellIs" dxfId="142" priority="10" operator="greaterThanOrEqual">
      <formula>$C$5</formula>
    </cfRule>
    <cfRule type="cellIs" dxfId="141" priority="11" operator="lessThanOrEqual">
      <formula>$C$4</formula>
    </cfRule>
    <cfRule type="cellIs" dxfId="140" priority="12" operator="between">
      <formula>$C$5</formula>
      <formula>$C$4</formula>
    </cfRule>
  </conditionalFormatting>
  <conditionalFormatting sqref="T35:T38 X35:X38 P35:P40 AB35:AB40 K36:O36 Q36:S36 U36:W36 Y36:AA36 AC36:AE36 J44">
    <cfRule type="cellIs" dxfId="139" priority="20" operator="greaterThanOrEqual">
      <formula>$D$9</formula>
    </cfRule>
    <cfRule type="cellIs" dxfId="138" priority="21" operator="lessThanOrEqual">
      <formula>$C$6</formula>
    </cfRule>
    <cfRule type="cellIs" dxfId="137" priority="22" operator="between">
      <formula>$C$6</formula>
      <formula>$D$9</formula>
    </cfRule>
  </conditionalFormatting>
  <conditionalFormatting sqref="W6">
    <cfRule type="cellIs" dxfId="136" priority="7" operator="greaterThanOrEqual">
      <formula>$I$5</formula>
    </cfRule>
    <cfRule type="cellIs" dxfId="135" priority="8" operator="lessThanOrEqual">
      <formula>$I$4</formula>
    </cfRule>
    <cfRule type="cellIs" dxfId="134" priority="9" operator="between">
      <formula>$I$5</formula>
      <formula>$I$4</formula>
    </cfRule>
  </conditionalFormatting>
  <conditionalFormatting sqref="AE6">
    <cfRule type="cellIs" dxfId="133" priority="4" operator="greaterThanOrEqual">
      <formula>$I$5</formula>
    </cfRule>
    <cfRule type="cellIs" dxfId="132" priority="5" operator="lessThanOrEqual">
      <formula>$I$4</formula>
    </cfRule>
    <cfRule type="cellIs" dxfId="131" priority="6" operator="between">
      <formula>$I$5</formula>
      <formula>$I$4</formula>
    </cfRule>
  </conditionalFormatting>
  <conditionalFormatting sqref="AH6">
    <cfRule type="cellIs" dxfId="130" priority="1" operator="greaterThanOrEqual">
      <formula>$I$5</formula>
    </cfRule>
    <cfRule type="cellIs" dxfId="129" priority="2" operator="lessThanOrEqual">
      <formula>$I$4</formula>
    </cfRule>
    <cfRule type="cellIs" dxfId="128" priority="3" operator="between">
      <formula>$I$5</formula>
      <formula>$I$4</formula>
    </cfRule>
  </conditionalFormatting>
  <dataValidations disablePrompts="1" count="4">
    <dataValidation allowBlank="1" showErrorMessage="1" sqref="R14:R25" xr:uid="{668C2E6E-6849-4D50-8400-DEB90648B25D}"/>
    <dataValidation type="decimal" allowBlank="1" showInputMessage="1" showErrorMessage="1" prompt="% de avance en la actividad - indique el % programado de avance durante esta semana_x000a_" sqref="V14:AE25 S25:U25 S14:U23" xr:uid="{4BE4BED8-21FD-428F-B66B-9D3BF53F8CD3}">
      <formula1>0</formula1>
      <formula2>1</formula2>
    </dataValidation>
    <dataValidation type="decimal" allowBlank="1" showInputMessage="1" showErrorMessage="1" prompt="campo calculado  - indica el % de avance  que aporta la activadad a todo el proyecto" sqref="Q23 Q21 Q19 Q15 Q17 Q25" xr:uid="{616FA6CA-97C2-40F1-9899-3A03C23AB2B3}">
      <formula1>0</formula1>
      <formula2>1</formula2>
    </dataValidation>
    <dataValidation type="decimal" allowBlank="1" showInputMessage="1" showErrorMessage="1" prompt="valor porcentual de la activida - Indique el peso porcentual de la actividad dentro del proyecto" sqref="Q14 Q22 Q18 Q16 Q20 Q24" xr:uid="{05BA2F3B-9109-46C6-850A-0F4DCC4FAB44}">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0F22-B3B3-4045-8856-ACFFB1302C97}">
  <dimension ref="A1:AL35"/>
  <sheetViews>
    <sheetView showGridLines="0" view="pageBreakPreview" topLeftCell="L15" zoomScale="60" zoomScaleNormal="10" zoomScalePageLayoutView="48" workbookViewId="0">
      <selection activeCell="AF16" sqref="AF16:AF17"/>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5" width="18.26953125" style="1" customWidth="1"/>
    <col min="16" max="18" width="13.7265625" style="1" customWidth="1"/>
    <col min="19" max="31" width="9.54296875" style="1" customWidth="1"/>
    <col min="32" max="33" width="50.54296875" style="1" customWidth="1"/>
    <col min="34" max="35" width="42.54296875" style="1" customWidth="1"/>
    <col min="36" max="16384" width="12.54296875" style="1"/>
  </cols>
  <sheetData>
    <row r="1" spans="1:35" s="60" customFormat="1" ht="15" customHeight="1" x14ac:dyDescent="0.35">
      <c r="A1" s="293"/>
      <c r="B1" s="294"/>
      <c r="C1" s="295"/>
      <c r="D1" s="361" t="s">
        <v>148</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row>
    <row r="2" spans="1:35"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row>
    <row r="3" spans="1:35"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row>
    <row r="4" spans="1:35"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row>
    <row r="5" spans="1:35"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row>
    <row r="6" spans="1:35" ht="20.149999999999999" customHeight="1" x14ac:dyDescent="0.35">
      <c r="A6" s="292" t="s">
        <v>28</v>
      </c>
      <c r="B6" s="292"/>
      <c r="C6" s="372" t="s">
        <v>149</v>
      </c>
      <c r="D6" s="302"/>
      <c r="E6" s="303" t="s">
        <v>30</v>
      </c>
      <c r="F6" s="303"/>
      <c r="G6" s="324">
        <f>+Q15+Q17+Q19+Q21+Q23+Q25+Q27+Q29+Q31+Q33+Q35</f>
        <v>1.0000000000000002</v>
      </c>
      <c r="H6" s="303" t="s">
        <v>31</v>
      </c>
      <c r="I6" s="303"/>
      <c r="J6" s="327">
        <f>(Q14+Q16+Q18+Q20+Q22+Q24+Q26+Q28+Q30+Q32+Q34)/M6</f>
        <v>0.47296062711323772</v>
      </c>
      <c r="K6" s="286" t="s">
        <v>32</v>
      </c>
      <c r="L6" s="287"/>
      <c r="M6" s="330">
        <v>0.95</v>
      </c>
      <c r="N6" s="292" t="s">
        <v>33</v>
      </c>
      <c r="O6" s="292"/>
      <c r="P6" s="370">
        <f>(SUM(V14,V16,V18,V20,V22,T24:V24,T30:V30,T32:V32)/SUM(V15,V17,V19,V21,V23,T25:V25,T31:V31,T33:V33))/M6</f>
        <v>1.0530315829474086</v>
      </c>
      <c r="Q6" s="370"/>
      <c r="R6" s="370"/>
      <c r="S6" s="306" t="s">
        <v>34</v>
      </c>
      <c r="T6" s="307"/>
      <c r="U6" s="307"/>
      <c r="V6" s="308"/>
      <c r="W6" s="315">
        <f>SUM(W14:Y14,W16:Y16,W18:Y18,W20:Y20,W22:Y22,W24:Y24,W26:Y26,W28:Y28,W30:Y30,W32:Y32,W34:Y34)/SUM(W15:Y15,W17:Y17,V19:Y19,W21:Y21,W23:Y23,W25:Y25,W27:Y27,W29:Y29,W31:Y31,W33:Y33,W35:Y35)/M6</f>
        <v>1.0241390134856836</v>
      </c>
      <c r="X6" s="316"/>
      <c r="Y6" s="316"/>
      <c r="Z6" s="317"/>
      <c r="AA6" s="306" t="s">
        <v>35</v>
      </c>
      <c r="AB6" s="307"/>
      <c r="AC6" s="307"/>
      <c r="AD6" s="308"/>
      <c r="AE6" s="315">
        <f>SUM(AB14,AB16,AB18,AB20,AB22,Z24:AB24,Z30:AB30,Z32:AB32,Z34:AB34)/SUM(AB15,AB17,AB19,AB21,AB23,Z25:AB25,Z31:AB31,Z33:AB33,Z35:AB35)/M6</f>
        <v>0</v>
      </c>
      <c r="AF6" s="316"/>
      <c r="AG6" s="306" t="s">
        <v>36</v>
      </c>
      <c r="AH6" s="315">
        <f>SUM(AE14,AE16,AE18,AE20,AE22,AC24:AE24,AC30:AE30,AC32:AE32,AC34:AE34,AE26,AE28)/SUM(AE15,AE17,AE19,AE21,AE23,AC25:AE25,AC31:AE31,AC33:AE33,AC35:AE35,AE27,AE29)/M6</f>
        <v>0</v>
      </c>
    </row>
    <row r="7" spans="1:35" ht="15" customHeight="1" x14ac:dyDescent="0.35">
      <c r="A7" s="292"/>
      <c r="B7" s="292"/>
      <c r="C7" s="302"/>
      <c r="D7" s="302"/>
      <c r="E7" s="303"/>
      <c r="F7" s="303"/>
      <c r="G7" s="325"/>
      <c r="H7" s="303"/>
      <c r="I7" s="303"/>
      <c r="J7" s="328"/>
      <c r="K7" s="288"/>
      <c r="L7" s="289"/>
      <c r="M7" s="331"/>
      <c r="N7" s="292"/>
      <c r="O7" s="292"/>
      <c r="P7" s="370"/>
      <c r="Q7" s="370"/>
      <c r="R7" s="370"/>
      <c r="S7" s="309"/>
      <c r="T7" s="310"/>
      <c r="U7" s="310"/>
      <c r="V7" s="311"/>
      <c r="W7" s="318"/>
      <c r="X7" s="319"/>
      <c r="Y7" s="319"/>
      <c r="Z7" s="320"/>
      <c r="AA7" s="309"/>
      <c r="AB7" s="310"/>
      <c r="AC7" s="310"/>
      <c r="AD7" s="311"/>
      <c r="AE7" s="318"/>
      <c r="AF7" s="319"/>
      <c r="AG7" s="309"/>
      <c r="AH7" s="318"/>
    </row>
    <row r="8" spans="1:35" ht="25.15" customHeight="1" x14ac:dyDescent="0.35">
      <c r="A8" s="292"/>
      <c r="B8" s="292"/>
      <c r="C8" s="302"/>
      <c r="D8" s="302"/>
      <c r="E8" s="303"/>
      <c r="F8" s="303"/>
      <c r="G8" s="325"/>
      <c r="H8" s="303"/>
      <c r="I8" s="303"/>
      <c r="J8" s="328"/>
      <c r="K8" s="288"/>
      <c r="L8" s="289"/>
      <c r="M8" s="331"/>
      <c r="N8" s="292"/>
      <c r="O8" s="292"/>
      <c r="P8" s="370"/>
      <c r="Q8" s="370"/>
      <c r="R8" s="370"/>
      <c r="S8" s="309"/>
      <c r="T8" s="310"/>
      <c r="U8" s="310"/>
      <c r="V8" s="311"/>
      <c r="W8" s="318"/>
      <c r="X8" s="319"/>
      <c r="Y8" s="319"/>
      <c r="Z8" s="320"/>
      <c r="AA8" s="309"/>
      <c r="AB8" s="310"/>
      <c r="AC8" s="310"/>
      <c r="AD8" s="311"/>
      <c r="AE8" s="318"/>
      <c r="AF8" s="319"/>
      <c r="AG8" s="309"/>
      <c r="AH8" s="318"/>
    </row>
    <row r="9" spans="1:35" ht="25.15" customHeight="1" x14ac:dyDescent="0.35">
      <c r="A9" s="292"/>
      <c r="B9" s="292"/>
      <c r="C9" s="302"/>
      <c r="D9" s="302"/>
      <c r="E9" s="303"/>
      <c r="F9" s="303"/>
      <c r="G9" s="325"/>
      <c r="H9" s="303"/>
      <c r="I9" s="303"/>
      <c r="J9" s="328"/>
      <c r="K9" s="288"/>
      <c r="L9" s="289"/>
      <c r="M9" s="331"/>
      <c r="N9" s="292"/>
      <c r="O9" s="292"/>
      <c r="P9" s="370"/>
      <c r="Q9" s="370"/>
      <c r="R9" s="370"/>
      <c r="S9" s="309"/>
      <c r="T9" s="310"/>
      <c r="U9" s="310"/>
      <c r="V9" s="311"/>
      <c r="W9" s="318"/>
      <c r="X9" s="319"/>
      <c r="Y9" s="319"/>
      <c r="Z9" s="320"/>
      <c r="AA9" s="309"/>
      <c r="AB9" s="310"/>
      <c r="AC9" s="310"/>
      <c r="AD9" s="311"/>
      <c r="AE9" s="318"/>
      <c r="AF9" s="319"/>
      <c r="AG9" s="309"/>
      <c r="AH9" s="318"/>
    </row>
    <row r="10" spans="1:35" ht="15" customHeight="1" thickBot="1" x14ac:dyDescent="0.4">
      <c r="A10" s="292"/>
      <c r="B10" s="292"/>
      <c r="C10" s="302"/>
      <c r="D10" s="302"/>
      <c r="E10" s="303"/>
      <c r="F10" s="303"/>
      <c r="G10" s="325"/>
      <c r="H10" s="373"/>
      <c r="I10" s="373"/>
      <c r="J10" s="328"/>
      <c r="K10" s="288"/>
      <c r="L10" s="289"/>
      <c r="M10" s="331"/>
      <c r="N10" s="369"/>
      <c r="O10" s="369"/>
      <c r="P10" s="371"/>
      <c r="Q10" s="371"/>
      <c r="R10" s="371"/>
      <c r="S10" s="309"/>
      <c r="T10" s="310"/>
      <c r="U10" s="310"/>
      <c r="V10" s="311"/>
      <c r="W10" s="318"/>
      <c r="X10" s="319"/>
      <c r="Y10" s="319"/>
      <c r="Z10" s="320"/>
      <c r="AA10" s="309"/>
      <c r="AB10" s="310"/>
      <c r="AC10" s="310"/>
      <c r="AD10" s="311"/>
      <c r="AE10" s="318"/>
      <c r="AF10" s="319"/>
      <c r="AG10" s="309"/>
      <c r="AH10" s="318"/>
    </row>
    <row r="11" spans="1:35" s="12" customFormat="1" ht="40.15" customHeight="1" thickBot="1" x14ac:dyDescent="0.4">
      <c r="A11" s="268" t="s">
        <v>37</v>
      </c>
      <c r="B11" s="268"/>
      <c r="C11" s="268"/>
      <c r="D11" s="268"/>
      <c r="E11" s="268"/>
      <c r="F11" s="268"/>
      <c r="G11" s="385" t="s">
        <v>38</v>
      </c>
      <c r="H11" s="386"/>
      <c r="I11" s="386"/>
      <c r="J11" s="386"/>
      <c r="K11" s="386"/>
      <c r="L11" s="386"/>
      <c r="M11" s="386"/>
      <c r="N11" s="386"/>
      <c r="O11" s="387"/>
      <c r="P11" s="385" t="s">
        <v>39</v>
      </c>
      <c r="Q11" s="386"/>
      <c r="R11" s="386"/>
      <c r="S11" s="386"/>
      <c r="T11" s="386"/>
      <c r="U11" s="386"/>
      <c r="V11" s="386"/>
      <c r="W11" s="386"/>
      <c r="X11" s="386"/>
      <c r="Y11" s="386"/>
      <c r="Z11" s="386"/>
      <c r="AA11" s="386"/>
      <c r="AB11" s="386"/>
      <c r="AC11" s="386"/>
      <c r="AD11" s="386"/>
      <c r="AE11" s="387"/>
      <c r="AF11" s="385" t="s">
        <v>40</v>
      </c>
      <c r="AG11" s="386"/>
      <c r="AH11" s="386"/>
      <c r="AI11" s="387"/>
    </row>
    <row r="12" spans="1:35" ht="39" customHeight="1" x14ac:dyDescent="0.35">
      <c r="A12" s="273" t="s">
        <v>41</v>
      </c>
      <c r="B12" s="275" t="s">
        <v>42</v>
      </c>
      <c r="C12" s="275" t="s">
        <v>43</v>
      </c>
      <c r="D12" s="275" t="s">
        <v>44</v>
      </c>
      <c r="E12" s="275" t="s">
        <v>45</v>
      </c>
      <c r="F12" s="275" t="s">
        <v>9</v>
      </c>
      <c r="G12" s="379" t="s">
        <v>46</v>
      </c>
      <c r="H12" s="274" t="s">
        <v>47</v>
      </c>
      <c r="I12" s="379" t="s">
        <v>48</v>
      </c>
      <c r="J12" s="379" t="s">
        <v>49</v>
      </c>
      <c r="K12" s="379" t="s">
        <v>50</v>
      </c>
      <c r="L12" s="379" t="s">
        <v>51</v>
      </c>
      <c r="M12" s="379" t="s">
        <v>52</v>
      </c>
      <c r="N12" s="379" t="s">
        <v>53</v>
      </c>
      <c r="O12" s="374" t="s">
        <v>54</v>
      </c>
      <c r="P12" s="376" t="s">
        <v>55</v>
      </c>
      <c r="Q12" s="377" t="s">
        <v>56</v>
      </c>
      <c r="R12" s="378" t="s">
        <v>57</v>
      </c>
      <c r="S12" s="392" t="s">
        <v>58</v>
      </c>
      <c r="T12" s="390" t="s">
        <v>59</v>
      </c>
      <c r="U12" s="388" t="s">
        <v>60</v>
      </c>
      <c r="V12" s="394" t="s">
        <v>61</v>
      </c>
      <c r="W12" s="396" t="s">
        <v>62</v>
      </c>
      <c r="X12" s="394" t="s">
        <v>63</v>
      </c>
      <c r="Y12" s="388" t="s">
        <v>64</v>
      </c>
      <c r="Z12" s="390" t="s">
        <v>65</v>
      </c>
      <c r="AA12" s="392" t="s">
        <v>66</v>
      </c>
      <c r="AB12" s="390" t="s">
        <v>67</v>
      </c>
      <c r="AC12" s="388" t="s">
        <v>68</v>
      </c>
      <c r="AD12" s="394" t="s">
        <v>69</v>
      </c>
      <c r="AE12" s="380" t="s">
        <v>70</v>
      </c>
      <c r="AF12" s="382" t="s">
        <v>71</v>
      </c>
      <c r="AG12" s="384" t="s">
        <v>72</v>
      </c>
      <c r="AH12" s="384" t="s">
        <v>73</v>
      </c>
      <c r="AI12" s="384" t="s">
        <v>74</v>
      </c>
    </row>
    <row r="13" spans="1:35" ht="60" customHeight="1" x14ac:dyDescent="0.35">
      <c r="A13" s="274"/>
      <c r="B13" s="274"/>
      <c r="C13" s="274"/>
      <c r="D13" s="274"/>
      <c r="E13" s="274"/>
      <c r="F13" s="274"/>
      <c r="G13" s="274"/>
      <c r="H13" s="276"/>
      <c r="I13" s="274"/>
      <c r="J13" s="274"/>
      <c r="K13" s="274"/>
      <c r="L13" s="274"/>
      <c r="M13" s="274"/>
      <c r="N13" s="274"/>
      <c r="O13" s="375"/>
      <c r="P13" s="356"/>
      <c r="Q13" s="357"/>
      <c r="R13" s="358"/>
      <c r="S13" s="393"/>
      <c r="T13" s="391"/>
      <c r="U13" s="389"/>
      <c r="V13" s="395"/>
      <c r="W13" s="397"/>
      <c r="X13" s="395"/>
      <c r="Y13" s="389"/>
      <c r="Z13" s="391"/>
      <c r="AA13" s="393"/>
      <c r="AB13" s="391"/>
      <c r="AC13" s="389"/>
      <c r="AD13" s="395"/>
      <c r="AE13" s="381"/>
      <c r="AF13" s="383"/>
      <c r="AG13" s="344"/>
      <c r="AH13" s="344"/>
      <c r="AI13" s="344"/>
    </row>
    <row r="14" spans="1:35" ht="88.5" customHeight="1" x14ac:dyDescent="0.35">
      <c r="A14" s="259">
        <v>1</v>
      </c>
      <c r="B14" s="259" t="s">
        <v>150</v>
      </c>
      <c r="C14" s="259" t="s">
        <v>103</v>
      </c>
      <c r="D14" s="259" t="s">
        <v>77</v>
      </c>
      <c r="E14" s="259" t="s">
        <v>151</v>
      </c>
      <c r="F14" s="398" t="s">
        <v>152</v>
      </c>
      <c r="G14" s="259" t="s">
        <v>29</v>
      </c>
      <c r="H14" s="400" t="s">
        <v>153</v>
      </c>
      <c r="I14" s="400" t="s">
        <v>154</v>
      </c>
      <c r="J14" s="400" t="s">
        <v>155</v>
      </c>
      <c r="K14" s="403">
        <v>259216141</v>
      </c>
      <c r="L14" s="259" t="s">
        <v>156</v>
      </c>
      <c r="M14" s="261" t="s">
        <v>85</v>
      </c>
      <c r="N14" s="405">
        <v>44958</v>
      </c>
      <c r="O14" s="407">
        <v>45291</v>
      </c>
      <c r="P14" s="64" t="s">
        <v>86</v>
      </c>
      <c r="Q14" s="53">
        <f>+(Q15*R14)</f>
        <v>4.1545454545454545E-2</v>
      </c>
      <c r="R14" s="226">
        <f t="shared" ref="R14:R35" si="0">SUM(S14:AE14)</f>
        <v>0.45699999999999996</v>
      </c>
      <c r="S14" s="43"/>
      <c r="T14" s="43"/>
      <c r="U14" s="43"/>
      <c r="V14" s="109">
        <v>0.222</v>
      </c>
      <c r="W14" s="43"/>
      <c r="X14" s="227">
        <v>0.23499999999999999</v>
      </c>
      <c r="Y14" s="43"/>
      <c r="Z14" s="43"/>
      <c r="AA14" s="44"/>
      <c r="AB14" s="44"/>
      <c r="AC14" s="44"/>
      <c r="AD14" s="44"/>
      <c r="AE14" s="44"/>
      <c r="AF14" s="257" t="s">
        <v>157</v>
      </c>
      <c r="AG14" s="257" t="s">
        <v>158</v>
      </c>
      <c r="AH14" s="362"/>
      <c r="AI14" s="362"/>
    </row>
    <row r="15" spans="1:35" ht="88.5" customHeight="1" x14ac:dyDescent="0.35">
      <c r="A15" s="279"/>
      <c r="B15" s="279"/>
      <c r="C15" s="279"/>
      <c r="D15" s="279"/>
      <c r="E15" s="279"/>
      <c r="F15" s="399"/>
      <c r="G15" s="279"/>
      <c r="H15" s="401"/>
      <c r="I15" s="401"/>
      <c r="J15" s="402"/>
      <c r="K15" s="404"/>
      <c r="L15" s="279"/>
      <c r="M15" s="262"/>
      <c r="N15" s="406"/>
      <c r="O15" s="408"/>
      <c r="P15" s="64" t="s">
        <v>89</v>
      </c>
      <c r="Q15" s="52">
        <f>100%/11</f>
        <v>9.0909090909090912E-2</v>
      </c>
      <c r="R15" s="226">
        <f t="shared" si="0"/>
        <v>1</v>
      </c>
      <c r="S15" s="42"/>
      <c r="T15" s="42"/>
      <c r="U15" s="42"/>
      <c r="V15" s="42">
        <v>0.25</v>
      </c>
      <c r="W15" s="42"/>
      <c r="X15" s="42"/>
      <c r="Y15" s="42">
        <v>0.25</v>
      </c>
      <c r="Z15" s="42"/>
      <c r="AA15" s="42"/>
      <c r="AB15" s="42">
        <v>0.25</v>
      </c>
      <c r="AC15" s="42"/>
      <c r="AD15" s="42"/>
      <c r="AE15" s="42">
        <v>0.25</v>
      </c>
      <c r="AF15" s="258"/>
      <c r="AG15" s="258"/>
      <c r="AH15" s="363"/>
      <c r="AI15" s="363"/>
    </row>
    <row r="16" spans="1:35" ht="88.5" customHeight="1" x14ac:dyDescent="0.35">
      <c r="A16" s="259">
        <v>2</v>
      </c>
      <c r="B16" s="259" t="s">
        <v>150</v>
      </c>
      <c r="C16" s="259" t="s">
        <v>103</v>
      </c>
      <c r="D16" s="259" t="s">
        <v>77</v>
      </c>
      <c r="E16" s="259" t="s">
        <v>151</v>
      </c>
      <c r="F16" s="398" t="s">
        <v>152</v>
      </c>
      <c r="G16" s="259" t="s">
        <v>159</v>
      </c>
      <c r="H16" s="259" t="s">
        <v>160</v>
      </c>
      <c r="I16" s="259" t="s">
        <v>161</v>
      </c>
      <c r="J16" s="259" t="s">
        <v>162</v>
      </c>
      <c r="K16" s="259" t="s">
        <v>163</v>
      </c>
      <c r="L16" s="259" t="s">
        <v>156</v>
      </c>
      <c r="M16" s="261" t="s">
        <v>85</v>
      </c>
      <c r="N16" s="405">
        <v>44958</v>
      </c>
      <c r="O16" s="407">
        <v>45291</v>
      </c>
      <c r="P16" s="64" t="s">
        <v>86</v>
      </c>
      <c r="Q16" s="53">
        <f>+(Q17*R16)</f>
        <v>4.5454545454545456E-2</v>
      </c>
      <c r="R16" s="226">
        <f t="shared" si="0"/>
        <v>0.5</v>
      </c>
      <c r="S16" s="43"/>
      <c r="T16" s="43"/>
      <c r="U16" s="43"/>
      <c r="V16" s="43">
        <v>0.25</v>
      </c>
      <c r="W16" s="43"/>
      <c r="X16" s="43"/>
      <c r="Y16" s="43">
        <v>0.25</v>
      </c>
      <c r="Z16" s="43"/>
      <c r="AA16" s="44"/>
      <c r="AB16" s="44"/>
      <c r="AC16" s="44"/>
      <c r="AD16" s="44"/>
      <c r="AE16" s="44"/>
      <c r="AF16" s="257" t="s">
        <v>164</v>
      </c>
      <c r="AG16" s="257" t="s">
        <v>165</v>
      </c>
      <c r="AH16" s="362"/>
      <c r="AI16" s="362"/>
    </row>
    <row r="17" spans="1:38" ht="88.5" customHeight="1" x14ac:dyDescent="0.35">
      <c r="A17" s="279"/>
      <c r="B17" s="279"/>
      <c r="C17" s="279"/>
      <c r="D17" s="279"/>
      <c r="E17" s="279"/>
      <c r="F17" s="399"/>
      <c r="G17" s="279"/>
      <c r="H17" s="279"/>
      <c r="I17" s="279"/>
      <c r="J17" s="260"/>
      <c r="K17" s="260"/>
      <c r="L17" s="279"/>
      <c r="M17" s="262"/>
      <c r="N17" s="406"/>
      <c r="O17" s="408"/>
      <c r="P17" s="64" t="s">
        <v>89</v>
      </c>
      <c r="Q17" s="52">
        <f>100%/11</f>
        <v>9.0909090909090912E-2</v>
      </c>
      <c r="R17" s="226">
        <f t="shared" si="0"/>
        <v>1</v>
      </c>
      <c r="S17" s="42"/>
      <c r="T17" s="42"/>
      <c r="U17" s="42"/>
      <c r="V17" s="42">
        <v>0.25</v>
      </c>
      <c r="W17" s="42"/>
      <c r="X17" s="42"/>
      <c r="Y17" s="42">
        <v>0.25</v>
      </c>
      <c r="Z17" s="42"/>
      <c r="AA17" s="42"/>
      <c r="AB17" s="42">
        <v>0.25</v>
      </c>
      <c r="AC17" s="42"/>
      <c r="AD17" s="42"/>
      <c r="AE17" s="42">
        <v>0.25</v>
      </c>
      <c r="AF17" s="363"/>
      <c r="AG17" s="363"/>
      <c r="AH17" s="363"/>
      <c r="AI17" s="363"/>
    </row>
    <row r="18" spans="1:38" ht="88.5" customHeight="1" x14ac:dyDescent="0.35">
      <c r="A18" s="259">
        <v>3</v>
      </c>
      <c r="B18" s="259" t="s">
        <v>150</v>
      </c>
      <c r="C18" s="259" t="s">
        <v>166</v>
      </c>
      <c r="D18" s="259" t="s">
        <v>167</v>
      </c>
      <c r="E18" s="259" t="s">
        <v>167</v>
      </c>
      <c r="F18" s="72" t="s">
        <v>152</v>
      </c>
      <c r="G18" s="259" t="s">
        <v>29</v>
      </c>
      <c r="H18" s="259" t="s">
        <v>168</v>
      </c>
      <c r="I18" s="259" t="s">
        <v>169</v>
      </c>
      <c r="J18" s="259" t="s">
        <v>170</v>
      </c>
      <c r="K18" s="259" t="s">
        <v>163</v>
      </c>
      <c r="L18" s="259" t="s">
        <v>156</v>
      </c>
      <c r="M18" s="261" t="s">
        <v>85</v>
      </c>
      <c r="N18" s="405">
        <v>44958</v>
      </c>
      <c r="O18" s="407">
        <v>45291</v>
      </c>
      <c r="P18" s="64" t="s">
        <v>86</v>
      </c>
      <c r="Q18" s="53">
        <f>+(Q19*R18)</f>
        <v>1.8181818181818184E-2</v>
      </c>
      <c r="R18" s="226">
        <f t="shared" si="0"/>
        <v>0.2</v>
      </c>
      <c r="S18" s="43"/>
      <c r="T18" s="43"/>
      <c r="U18" s="43"/>
      <c r="V18" s="43"/>
      <c r="W18" s="43"/>
      <c r="X18" s="43"/>
      <c r="Y18" s="43">
        <v>0.2</v>
      </c>
      <c r="Z18" s="43"/>
      <c r="AA18" s="44"/>
      <c r="AB18" s="44"/>
      <c r="AC18" s="44"/>
      <c r="AD18" s="44"/>
      <c r="AE18" s="44"/>
      <c r="AF18" s="257"/>
      <c r="AG18" s="257" t="s">
        <v>171</v>
      </c>
      <c r="AH18" s="362"/>
      <c r="AI18" s="362"/>
    </row>
    <row r="19" spans="1:38" ht="88.5" customHeight="1" x14ac:dyDescent="0.35">
      <c r="A19" s="279"/>
      <c r="B19" s="260"/>
      <c r="C19" s="260"/>
      <c r="D19" s="260"/>
      <c r="E19" s="260"/>
      <c r="F19" s="72"/>
      <c r="G19" s="260"/>
      <c r="H19" s="260"/>
      <c r="I19" s="260"/>
      <c r="J19" s="260"/>
      <c r="K19" s="260"/>
      <c r="L19" s="260"/>
      <c r="M19" s="266"/>
      <c r="N19" s="409"/>
      <c r="O19" s="410"/>
      <c r="P19" s="64" t="s">
        <v>89</v>
      </c>
      <c r="Q19" s="52">
        <f>100%/11</f>
        <v>9.0909090909090912E-2</v>
      </c>
      <c r="R19" s="226">
        <f t="shared" si="0"/>
        <v>1</v>
      </c>
      <c r="S19" s="42"/>
      <c r="T19" s="42"/>
      <c r="U19" s="42"/>
      <c r="V19" s="42"/>
      <c r="W19" s="42"/>
      <c r="X19" s="42"/>
      <c r="Y19" s="42">
        <v>0.2</v>
      </c>
      <c r="Z19" s="42"/>
      <c r="AA19" s="42"/>
      <c r="AB19" s="42">
        <v>0.2</v>
      </c>
      <c r="AC19" s="42"/>
      <c r="AD19" s="42"/>
      <c r="AE19" s="42">
        <v>0.6</v>
      </c>
      <c r="AF19" s="258"/>
      <c r="AG19" s="258"/>
      <c r="AH19" s="363"/>
      <c r="AI19" s="363"/>
    </row>
    <row r="20" spans="1:38" ht="88.5" customHeight="1" x14ac:dyDescent="0.35">
      <c r="A20" s="259">
        <v>4</v>
      </c>
      <c r="B20" s="259" t="s">
        <v>172</v>
      </c>
      <c r="C20" s="259" t="s">
        <v>76</v>
      </c>
      <c r="D20" s="259" t="s">
        <v>173</v>
      </c>
      <c r="E20" s="259" t="s">
        <v>173</v>
      </c>
      <c r="F20" s="398" t="s">
        <v>152</v>
      </c>
      <c r="G20" s="259" t="s">
        <v>29</v>
      </c>
      <c r="H20" s="259" t="s">
        <v>174</v>
      </c>
      <c r="I20" s="259" t="s">
        <v>175</v>
      </c>
      <c r="J20" s="259" t="s">
        <v>176</v>
      </c>
      <c r="K20" s="259" t="s">
        <v>163</v>
      </c>
      <c r="L20" s="259" t="s">
        <v>156</v>
      </c>
      <c r="M20" s="261" t="s">
        <v>85</v>
      </c>
      <c r="N20" s="405">
        <v>44896</v>
      </c>
      <c r="O20" s="407">
        <v>44957</v>
      </c>
      <c r="P20" s="64" t="s">
        <v>86</v>
      </c>
      <c r="Q20" s="53">
        <f>+(Q21*R20)</f>
        <v>9.0909090909090912E-2</v>
      </c>
      <c r="R20" s="226">
        <f t="shared" si="0"/>
        <v>1</v>
      </c>
      <c r="S20" s="43"/>
      <c r="T20" s="43"/>
      <c r="U20" s="43"/>
      <c r="V20" s="43">
        <v>1</v>
      </c>
      <c r="W20" s="43"/>
      <c r="X20" s="43"/>
      <c r="Y20" s="43"/>
      <c r="Z20" s="43"/>
      <c r="AA20" s="44"/>
      <c r="AB20" s="44"/>
      <c r="AC20" s="44"/>
      <c r="AD20" s="44"/>
      <c r="AE20" s="44"/>
      <c r="AF20" s="257" t="s">
        <v>177</v>
      </c>
      <c r="AG20" s="362"/>
      <c r="AH20" s="362"/>
      <c r="AI20" s="362"/>
    </row>
    <row r="21" spans="1:38" ht="88.5" customHeight="1" x14ac:dyDescent="0.35">
      <c r="A21" s="279"/>
      <c r="B21" s="279"/>
      <c r="C21" s="279"/>
      <c r="D21" s="279"/>
      <c r="E21" s="279"/>
      <c r="F21" s="399"/>
      <c r="G21" s="279"/>
      <c r="H21" s="279"/>
      <c r="I21" s="279"/>
      <c r="J21" s="279"/>
      <c r="K21" s="260"/>
      <c r="L21" s="279"/>
      <c r="M21" s="262"/>
      <c r="N21" s="406"/>
      <c r="O21" s="408"/>
      <c r="P21" s="64" t="s">
        <v>89</v>
      </c>
      <c r="Q21" s="52">
        <f>100%/11</f>
        <v>9.0909090909090912E-2</v>
      </c>
      <c r="R21" s="226">
        <f t="shared" si="0"/>
        <v>1</v>
      </c>
      <c r="S21" s="42"/>
      <c r="T21" s="42"/>
      <c r="U21" s="42"/>
      <c r="V21" s="42">
        <v>1</v>
      </c>
      <c r="W21" s="42"/>
      <c r="X21" s="42"/>
      <c r="Y21" s="42"/>
      <c r="Z21" s="42"/>
      <c r="AA21" s="42"/>
      <c r="AB21" s="42"/>
      <c r="AC21" s="42"/>
      <c r="AD21" s="42"/>
      <c r="AE21" s="42"/>
      <c r="AF21" s="258"/>
      <c r="AG21" s="363"/>
      <c r="AH21" s="363"/>
      <c r="AI21" s="363"/>
    </row>
    <row r="22" spans="1:38" ht="88.5" customHeight="1" x14ac:dyDescent="0.35">
      <c r="A22" s="259">
        <v>5</v>
      </c>
      <c r="B22" s="259" t="s">
        <v>150</v>
      </c>
      <c r="C22" s="259" t="s">
        <v>98</v>
      </c>
      <c r="D22" s="259" t="s">
        <v>100</v>
      </c>
      <c r="E22" s="259" t="s">
        <v>100</v>
      </c>
      <c r="F22" s="398" t="s">
        <v>152</v>
      </c>
      <c r="G22" s="259" t="s">
        <v>29</v>
      </c>
      <c r="H22" s="259" t="s">
        <v>178</v>
      </c>
      <c r="I22" s="259" t="s">
        <v>178</v>
      </c>
      <c r="J22" s="259" t="s">
        <v>179</v>
      </c>
      <c r="K22" s="259" t="s">
        <v>163</v>
      </c>
      <c r="L22" s="259" t="s">
        <v>156</v>
      </c>
      <c r="M22" s="261" t="s">
        <v>85</v>
      </c>
      <c r="N22" s="405">
        <v>44896</v>
      </c>
      <c r="O22" s="407">
        <v>44957</v>
      </c>
      <c r="P22" s="64" t="s">
        <v>86</v>
      </c>
      <c r="Q22" s="53">
        <f>+(Q23*R22)</f>
        <v>3.0545454545454549E-2</v>
      </c>
      <c r="R22" s="226">
        <f t="shared" si="0"/>
        <v>0.33600000000000002</v>
      </c>
      <c r="S22" s="222"/>
      <c r="T22" s="222"/>
      <c r="U22" s="223">
        <v>9.1999999999999998E-2</v>
      </c>
      <c r="V22" s="223"/>
      <c r="W22" s="225"/>
      <c r="X22" s="225">
        <f>33.6%-U22</f>
        <v>0.24400000000000002</v>
      </c>
      <c r="Y22" s="225"/>
      <c r="Z22" s="225"/>
      <c r="AA22" s="224"/>
      <c r="AB22" s="224"/>
      <c r="AC22" s="224"/>
      <c r="AD22" s="224"/>
      <c r="AE22" s="224"/>
      <c r="AF22" s="257" t="s">
        <v>180</v>
      </c>
      <c r="AG22" s="257" t="s">
        <v>181</v>
      </c>
      <c r="AH22" s="362"/>
      <c r="AI22" s="362"/>
      <c r="AK22" t="s">
        <v>182</v>
      </c>
      <c r="AL22" s="109">
        <v>0.124</v>
      </c>
    </row>
    <row r="23" spans="1:38" ht="88.5" customHeight="1" x14ac:dyDescent="0.35">
      <c r="A23" s="279"/>
      <c r="B23" s="279"/>
      <c r="C23" s="279"/>
      <c r="D23" s="279"/>
      <c r="E23" s="279"/>
      <c r="F23" s="399"/>
      <c r="G23" s="279"/>
      <c r="H23" s="279"/>
      <c r="I23" s="279"/>
      <c r="J23" s="260"/>
      <c r="K23" s="260"/>
      <c r="L23" s="279"/>
      <c r="M23" s="262"/>
      <c r="N23" s="406"/>
      <c r="O23" s="408"/>
      <c r="P23" s="64" t="s">
        <v>89</v>
      </c>
      <c r="Q23" s="52">
        <f>100%/11</f>
        <v>9.0909090909090912E-2</v>
      </c>
      <c r="R23" s="226">
        <f t="shared" si="0"/>
        <v>1</v>
      </c>
      <c r="S23" s="108"/>
      <c r="T23" s="108"/>
      <c r="U23" s="108">
        <v>9.1999999999999998E-2</v>
      </c>
      <c r="V23" s="108"/>
      <c r="W23" s="108"/>
      <c r="X23" s="108">
        <f>32.1%-U23</f>
        <v>0.22900000000000001</v>
      </c>
      <c r="Y23" s="108"/>
      <c r="Z23" s="108"/>
      <c r="AA23" s="108">
        <f>74.3%-U23-X23</f>
        <v>0.42200000000000004</v>
      </c>
      <c r="AB23" s="108"/>
      <c r="AC23" s="108"/>
      <c r="AD23" s="108">
        <f>99%-U23-X23-AA23</f>
        <v>0.247</v>
      </c>
      <c r="AE23" s="108">
        <v>0.01</v>
      </c>
      <c r="AF23" s="363"/>
      <c r="AG23" s="363"/>
      <c r="AH23" s="363"/>
      <c r="AI23" s="363"/>
      <c r="AL23" s="108">
        <v>0.13500000000000001</v>
      </c>
    </row>
    <row r="24" spans="1:38" ht="88.5" customHeight="1" x14ac:dyDescent="0.35">
      <c r="A24" s="259">
        <v>6</v>
      </c>
      <c r="B24" s="259" t="s">
        <v>172</v>
      </c>
      <c r="C24" s="259" t="s">
        <v>183</v>
      </c>
      <c r="D24" s="259" t="s">
        <v>77</v>
      </c>
      <c r="E24" s="259" t="s">
        <v>151</v>
      </c>
      <c r="F24" s="72" t="s">
        <v>152</v>
      </c>
      <c r="G24" s="259" t="s">
        <v>184</v>
      </c>
      <c r="H24" s="259" t="s">
        <v>185</v>
      </c>
      <c r="I24" s="259" t="s">
        <v>186</v>
      </c>
      <c r="J24" s="259" t="s">
        <v>187</v>
      </c>
      <c r="K24" s="259" t="s">
        <v>188</v>
      </c>
      <c r="L24" s="259" t="s">
        <v>156</v>
      </c>
      <c r="M24" s="261" t="s">
        <v>189</v>
      </c>
      <c r="N24" s="405">
        <v>44958</v>
      </c>
      <c r="O24" s="407">
        <v>45291</v>
      </c>
      <c r="P24" s="64" t="s">
        <v>86</v>
      </c>
      <c r="Q24" s="53">
        <f>+(Q25*R24)</f>
        <v>4.4952747272727279E-2</v>
      </c>
      <c r="R24" s="226">
        <f t="shared" si="0"/>
        <v>0.49448022000000003</v>
      </c>
      <c r="S24" s="63"/>
      <c r="T24" s="108">
        <f>+T25*100%</f>
        <v>8.3330000000000001E-2</v>
      </c>
      <c r="U24" s="108">
        <f>+U25*100%</f>
        <v>8.3330000000000001E-2</v>
      </c>
      <c r="V24" s="108">
        <f>+V25*100%</f>
        <v>8.3330000000000001E-2</v>
      </c>
      <c r="W24" s="108">
        <f>+W25*100%</f>
        <v>8.3330000000000001E-2</v>
      </c>
      <c r="X24" s="108">
        <f>+X25*95.5%</f>
        <v>7.9580150000000002E-2</v>
      </c>
      <c r="Y24" s="108">
        <f>8.333%*97.9%</f>
        <v>8.1580070000000005E-2</v>
      </c>
      <c r="Z24" s="42"/>
      <c r="AA24" s="42"/>
      <c r="AB24" s="42"/>
      <c r="AC24" s="42"/>
      <c r="AD24" s="42"/>
      <c r="AE24" s="42"/>
      <c r="AF24" s="265" t="s">
        <v>190</v>
      </c>
      <c r="AG24" s="257" t="s">
        <v>191</v>
      </c>
      <c r="AH24" s="362"/>
      <c r="AI24" s="362"/>
    </row>
    <row r="25" spans="1:38" ht="88.5" customHeight="1" x14ac:dyDescent="0.35">
      <c r="A25" s="279"/>
      <c r="B25" s="260"/>
      <c r="C25" s="260"/>
      <c r="D25" s="260"/>
      <c r="E25" s="260"/>
      <c r="F25" s="73"/>
      <c r="G25" s="260"/>
      <c r="H25" s="260"/>
      <c r="I25" s="260"/>
      <c r="J25" s="260"/>
      <c r="K25" s="260"/>
      <c r="L25" s="260"/>
      <c r="M25" s="266"/>
      <c r="N25" s="409"/>
      <c r="O25" s="410"/>
      <c r="P25" s="64" t="s">
        <v>89</v>
      </c>
      <c r="Q25" s="52">
        <f>100%/11</f>
        <v>9.0909090909090912E-2</v>
      </c>
      <c r="R25" s="226">
        <f t="shared" si="0"/>
        <v>0.99996000000000007</v>
      </c>
      <c r="S25" s="42"/>
      <c r="T25" s="108">
        <v>8.3330000000000001E-2</v>
      </c>
      <c r="U25" s="108">
        <v>8.3330000000000001E-2</v>
      </c>
      <c r="V25" s="108">
        <v>8.3330000000000001E-2</v>
      </c>
      <c r="W25" s="108">
        <v>8.3330000000000001E-2</v>
      </c>
      <c r="X25" s="108">
        <v>8.3330000000000001E-2</v>
      </c>
      <c r="Y25" s="108">
        <v>8.3330000000000001E-2</v>
      </c>
      <c r="Z25" s="108">
        <v>8.3330000000000001E-2</v>
      </c>
      <c r="AA25" s="108">
        <v>8.3330000000000001E-2</v>
      </c>
      <c r="AB25" s="108">
        <v>8.3330000000000001E-2</v>
      </c>
      <c r="AC25" s="108">
        <v>8.3330000000000001E-2</v>
      </c>
      <c r="AD25" s="108">
        <v>8.3330000000000001E-2</v>
      </c>
      <c r="AE25" s="108">
        <v>8.3330000000000001E-2</v>
      </c>
      <c r="AF25" s="363"/>
      <c r="AG25" s="258"/>
      <c r="AH25" s="363"/>
      <c r="AI25" s="363"/>
    </row>
    <row r="26" spans="1:38" ht="88.5" customHeight="1" x14ac:dyDescent="0.35">
      <c r="A26" s="259">
        <v>7</v>
      </c>
      <c r="B26" s="283" t="s">
        <v>192</v>
      </c>
      <c r="C26" s="283" t="s">
        <v>110</v>
      </c>
      <c r="D26" s="283" t="s">
        <v>77</v>
      </c>
      <c r="E26" s="283" t="s">
        <v>111</v>
      </c>
      <c r="F26" s="75" t="s">
        <v>152</v>
      </c>
      <c r="G26" s="283" t="s">
        <v>184</v>
      </c>
      <c r="H26" s="283" t="s">
        <v>193</v>
      </c>
      <c r="I26" s="283" t="s">
        <v>194</v>
      </c>
      <c r="J26" s="283" t="s">
        <v>195</v>
      </c>
      <c r="K26" s="283" t="s">
        <v>163</v>
      </c>
      <c r="L26" s="283" t="s">
        <v>156</v>
      </c>
      <c r="M26" s="281" t="s">
        <v>126</v>
      </c>
      <c r="N26" s="411">
        <v>44927</v>
      </c>
      <c r="O26" s="412">
        <v>45291</v>
      </c>
      <c r="P26" s="64" t="s">
        <v>86</v>
      </c>
      <c r="Q26" s="53">
        <f>+(Q27*R26)</f>
        <v>4.5454545454545456E-2</v>
      </c>
      <c r="R26" s="226">
        <f t="shared" si="0"/>
        <v>0.5</v>
      </c>
      <c r="S26" s="45"/>
      <c r="T26" s="45"/>
      <c r="U26" s="45"/>
      <c r="V26" s="45"/>
      <c r="W26" s="45"/>
      <c r="X26" s="45"/>
      <c r="Y26" s="45">
        <v>0.5</v>
      </c>
      <c r="Z26" s="45"/>
      <c r="AA26" s="45"/>
      <c r="AB26" s="45"/>
      <c r="AC26" s="45"/>
      <c r="AD26" s="45"/>
      <c r="AE26" s="45"/>
      <c r="AF26" s="413" t="s">
        <v>84</v>
      </c>
      <c r="AG26" s="257" t="s">
        <v>196</v>
      </c>
      <c r="AH26" s="362"/>
      <c r="AI26" s="362"/>
    </row>
    <row r="27" spans="1:38" ht="88.5" customHeight="1" x14ac:dyDescent="0.35">
      <c r="A27" s="279"/>
      <c r="B27" s="283"/>
      <c r="C27" s="283"/>
      <c r="D27" s="283"/>
      <c r="E27" s="283"/>
      <c r="F27" s="75"/>
      <c r="G27" s="283"/>
      <c r="H27" s="283"/>
      <c r="I27" s="283"/>
      <c r="J27" s="283"/>
      <c r="K27" s="283"/>
      <c r="L27" s="283"/>
      <c r="M27" s="281"/>
      <c r="N27" s="411"/>
      <c r="O27" s="412"/>
      <c r="P27" s="64" t="s">
        <v>89</v>
      </c>
      <c r="Q27" s="52">
        <f>100%/11</f>
        <v>9.0909090909090912E-2</v>
      </c>
      <c r="R27" s="226">
        <f t="shared" si="0"/>
        <v>1</v>
      </c>
      <c r="S27" s="42"/>
      <c r="T27" s="42"/>
      <c r="U27" s="42"/>
      <c r="V27" s="42"/>
      <c r="W27" s="42"/>
      <c r="X27" s="42"/>
      <c r="Y27" s="42">
        <v>0.5</v>
      </c>
      <c r="Z27" s="42"/>
      <c r="AA27" s="42"/>
      <c r="AB27" s="42"/>
      <c r="AC27" s="42"/>
      <c r="AD27" s="42"/>
      <c r="AE27" s="42">
        <v>0.5</v>
      </c>
      <c r="AF27" s="363"/>
      <c r="AG27" s="258"/>
      <c r="AH27" s="363"/>
      <c r="AI27" s="363"/>
    </row>
    <row r="28" spans="1:38" s="13" customFormat="1" ht="88.5" customHeight="1" x14ac:dyDescent="0.35">
      <c r="A28" s="259">
        <v>8</v>
      </c>
      <c r="B28" s="259" t="s">
        <v>150</v>
      </c>
      <c r="C28" s="259" t="s">
        <v>197</v>
      </c>
      <c r="D28" s="259" t="s">
        <v>77</v>
      </c>
      <c r="E28" s="259" t="s">
        <v>151</v>
      </c>
      <c r="F28" s="398" t="s">
        <v>152</v>
      </c>
      <c r="G28" s="259" t="s">
        <v>184</v>
      </c>
      <c r="H28" s="259" t="s">
        <v>198</v>
      </c>
      <c r="I28" s="259" t="s">
        <v>199</v>
      </c>
      <c r="J28" s="259" t="s">
        <v>200</v>
      </c>
      <c r="K28" s="55" t="s">
        <v>163</v>
      </c>
      <c r="L28" s="259" t="s">
        <v>156</v>
      </c>
      <c r="M28" s="261" t="s">
        <v>126</v>
      </c>
      <c r="N28" s="405">
        <v>44927</v>
      </c>
      <c r="O28" s="407">
        <v>45291</v>
      </c>
      <c r="P28" s="64" t="s">
        <v>86</v>
      </c>
      <c r="Q28" s="53">
        <f>+(Q29*R28)</f>
        <v>4.5454545454545456E-2</v>
      </c>
      <c r="R28" s="226">
        <f t="shared" si="0"/>
        <v>0.5</v>
      </c>
      <c r="S28" s="45"/>
      <c r="T28" s="45"/>
      <c r="U28" s="45"/>
      <c r="V28" s="45"/>
      <c r="W28" s="45"/>
      <c r="X28" s="45"/>
      <c r="Y28" s="45">
        <v>0.5</v>
      </c>
      <c r="Z28" s="45"/>
      <c r="AA28" s="45"/>
      <c r="AB28" s="45"/>
      <c r="AC28" s="45"/>
      <c r="AD28" s="45"/>
      <c r="AE28" s="45"/>
      <c r="AF28" s="413" t="s">
        <v>84</v>
      </c>
      <c r="AG28" s="257" t="s">
        <v>196</v>
      </c>
      <c r="AH28" s="362"/>
      <c r="AI28" s="362"/>
    </row>
    <row r="29" spans="1:38" s="13" customFormat="1" ht="88.5" customHeight="1" x14ac:dyDescent="0.35">
      <c r="A29" s="279"/>
      <c r="B29" s="279"/>
      <c r="C29" s="279"/>
      <c r="D29" s="279"/>
      <c r="E29" s="279"/>
      <c r="F29" s="399"/>
      <c r="G29" s="279"/>
      <c r="H29" s="279"/>
      <c r="I29" s="279"/>
      <c r="J29" s="279"/>
      <c r="K29" s="74"/>
      <c r="L29" s="279"/>
      <c r="M29" s="262"/>
      <c r="N29" s="406"/>
      <c r="O29" s="408"/>
      <c r="P29" s="64" t="s">
        <v>89</v>
      </c>
      <c r="Q29" s="52">
        <f>100%/11</f>
        <v>9.0909090909090912E-2</v>
      </c>
      <c r="R29" s="226">
        <f t="shared" si="0"/>
        <v>1</v>
      </c>
      <c r="S29" s="42"/>
      <c r="T29" s="42"/>
      <c r="U29" s="42"/>
      <c r="V29" s="42"/>
      <c r="W29" s="42"/>
      <c r="X29" s="42"/>
      <c r="Y29" s="42">
        <v>0.5</v>
      </c>
      <c r="Z29" s="42"/>
      <c r="AA29" s="42"/>
      <c r="AB29" s="42"/>
      <c r="AC29" s="42"/>
      <c r="AD29" s="42"/>
      <c r="AE29" s="42">
        <v>0.5</v>
      </c>
      <c r="AF29" s="363"/>
      <c r="AG29" s="258"/>
      <c r="AH29" s="363"/>
      <c r="AI29" s="363"/>
    </row>
    <row r="30" spans="1:38" ht="88.5" customHeight="1" x14ac:dyDescent="0.35">
      <c r="A30" s="259">
        <v>9</v>
      </c>
      <c r="B30" s="259" t="s">
        <v>150</v>
      </c>
      <c r="C30" s="259" t="s">
        <v>197</v>
      </c>
      <c r="D30" s="259" t="s">
        <v>77</v>
      </c>
      <c r="E30" s="259" t="s">
        <v>151</v>
      </c>
      <c r="F30" s="76" t="s">
        <v>152</v>
      </c>
      <c r="G30" s="259" t="s">
        <v>184</v>
      </c>
      <c r="H30" s="259" t="s">
        <v>201</v>
      </c>
      <c r="I30" s="259" t="s">
        <v>202</v>
      </c>
      <c r="J30" s="259" t="s">
        <v>203</v>
      </c>
      <c r="K30" s="283" t="s">
        <v>163</v>
      </c>
      <c r="L30" s="283" t="s">
        <v>156</v>
      </c>
      <c r="M30" s="281" t="s">
        <v>189</v>
      </c>
      <c r="N30" s="411">
        <v>44927</v>
      </c>
      <c r="O30" s="412">
        <v>44957</v>
      </c>
      <c r="P30" s="64" t="s">
        <v>86</v>
      </c>
      <c r="Q30" s="53">
        <f>+(Q31*R30)</f>
        <v>0</v>
      </c>
      <c r="R30" s="226">
        <f t="shared" si="0"/>
        <v>0</v>
      </c>
      <c r="S30" s="45"/>
      <c r="T30" s="42"/>
      <c r="U30" s="42"/>
      <c r="V30" s="42"/>
      <c r="W30" s="42"/>
      <c r="X30" s="42"/>
      <c r="Y30" s="42"/>
      <c r="Z30" s="42"/>
      <c r="AA30" s="42"/>
      <c r="AB30" s="42"/>
      <c r="AC30" s="42"/>
      <c r="AD30" s="42"/>
      <c r="AE30" s="42"/>
      <c r="AF30" s="265" t="s">
        <v>84</v>
      </c>
      <c r="AG30" s="362" t="s">
        <v>84</v>
      </c>
      <c r="AH30" s="362" t="s">
        <v>84</v>
      </c>
      <c r="AI30" s="362"/>
    </row>
    <row r="31" spans="1:38" ht="88.5" customHeight="1" x14ac:dyDescent="0.35">
      <c r="A31" s="279"/>
      <c r="B31" s="279"/>
      <c r="C31" s="279"/>
      <c r="D31" s="279"/>
      <c r="E31" s="279"/>
      <c r="F31" s="77"/>
      <c r="G31" s="279"/>
      <c r="H31" s="279"/>
      <c r="I31" s="279"/>
      <c r="J31" s="279"/>
      <c r="K31" s="283"/>
      <c r="L31" s="283"/>
      <c r="M31" s="281"/>
      <c r="N31" s="411"/>
      <c r="O31" s="412"/>
      <c r="P31" s="64" t="s">
        <v>89</v>
      </c>
      <c r="Q31" s="52">
        <f>100%/11</f>
        <v>9.0909090909090912E-2</v>
      </c>
      <c r="R31" s="226">
        <f t="shared" si="0"/>
        <v>1</v>
      </c>
      <c r="S31" s="42"/>
      <c r="T31" s="42"/>
      <c r="U31" s="42"/>
      <c r="V31" s="42"/>
      <c r="W31" s="42"/>
      <c r="X31" s="42"/>
      <c r="Y31" s="42"/>
      <c r="Z31" s="42"/>
      <c r="AA31" s="42"/>
      <c r="AB31" s="42"/>
      <c r="AC31" s="42"/>
      <c r="AD31" s="42"/>
      <c r="AE31" s="42">
        <v>1</v>
      </c>
      <c r="AF31" s="258"/>
      <c r="AG31" s="363"/>
      <c r="AH31" s="363"/>
      <c r="AI31" s="363"/>
    </row>
    <row r="32" spans="1:38" ht="81" customHeight="1" x14ac:dyDescent="0.35">
      <c r="A32" s="259">
        <v>10</v>
      </c>
      <c r="B32" s="283" t="s">
        <v>204</v>
      </c>
      <c r="C32" s="283" t="s">
        <v>76</v>
      </c>
      <c r="D32" s="283" t="s">
        <v>205</v>
      </c>
      <c r="E32" s="283" t="s">
        <v>206</v>
      </c>
      <c r="F32" s="78" t="s">
        <v>152</v>
      </c>
      <c r="G32" s="283" t="s">
        <v>184</v>
      </c>
      <c r="H32" s="283" t="s">
        <v>207</v>
      </c>
      <c r="I32" s="283" t="s">
        <v>208</v>
      </c>
      <c r="J32" s="283" t="s">
        <v>209</v>
      </c>
      <c r="K32" s="283" t="s">
        <v>163</v>
      </c>
      <c r="L32" s="283" t="s">
        <v>156</v>
      </c>
      <c r="M32" s="281" t="s">
        <v>189</v>
      </c>
      <c r="N32" s="411">
        <v>44927</v>
      </c>
      <c r="O32" s="412">
        <v>44957</v>
      </c>
      <c r="P32" s="64" t="s">
        <v>86</v>
      </c>
      <c r="Q32" s="53">
        <f>+(Q33*R32)</f>
        <v>3.3462121212121214E-2</v>
      </c>
      <c r="R32" s="226">
        <f t="shared" si="0"/>
        <v>0.36808333333333332</v>
      </c>
      <c r="S32" s="45"/>
      <c r="T32" s="108">
        <f>222%/100%/R33*T33</f>
        <v>0.18500000000000003</v>
      </c>
      <c r="U32" s="108">
        <f>55.1%/100%/R33*U33</f>
        <v>4.5916666666666668E-2</v>
      </c>
      <c r="V32" s="108">
        <f>57.4%/100%/R33*V33</f>
        <v>4.7833333333333325E-2</v>
      </c>
      <c r="W32" s="108">
        <f>29.9%/100%/R33*W33</f>
        <v>2.4916666666666663E-2</v>
      </c>
      <c r="X32" s="108">
        <f>39.2%/100%/R33*X33</f>
        <v>3.2666666666666663E-2</v>
      </c>
      <c r="Y32" s="108">
        <f>38.1%/100%/R33*Y33</f>
        <v>3.175E-2</v>
      </c>
      <c r="Z32" s="42"/>
      <c r="AA32" s="42"/>
      <c r="AB32" s="42"/>
      <c r="AC32" s="42"/>
      <c r="AD32" s="42"/>
      <c r="AE32" s="42"/>
      <c r="AF32" s="265" t="s">
        <v>210</v>
      </c>
      <c r="AG32" s="265" t="s">
        <v>211</v>
      </c>
      <c r="AH32" s="362"/>
      <c r="AI32" s="362"/>
    </row>
    <row r="33" spans="1:35" ht="81" customHeight="1" x14ac:dyDescent="0.35">
      <c r="A33" s="279"/>
      <c r="B33" s="283"/>
      <c r="C33" s="283"/>
      <c r="D33" s="283"/>
      <c r="E33" s="283"/>
      <c r="F33" s="78"/>
      <c r="G33" s="283"/>
      <c r="H33" s="283"/>
      <c r="I33" s="283"/>
      <c r="J33" s="283"/>
      <c r="K33" s="283"/>
      <c r="L33" s="283"/>
      <c r="M33" s="281"/>
      <c r="N33" s="411"/>
      <c r="O33" s="412"/>
      <c r="P33" s="64" t="s">
        <v>89</v>
      </c>
      <c r="Q33" s="52">
        <f>100%/11</f>
        <v>9.0909090909090912E-2</v>
      </c>
      <c r="R33" s="226">
        <f t="shared" si="0"/>
        <v>0.99996000000000007</v>
      </c>
      <c r="S33" s="42"/>
      <c r="T33" s="42">
        <v>8.3330000000000001E-2</v>
      </c>
      <c r="U33" s="42">
        <v>8.3330000000000001E-2</v>
      </c>
      <c r="V33" s="42">
        <v>8.3330000000000001E-2</v>
      </c>
      <c r="W33" s="42">
        <v>8.3330000000000001E-2</v>
      </c>
      <c r="X33" s="42">
        <v>8.3330000000000001E-2</v>
      </c>
      <c r="Y33" s="42">
        <v>8.3330000000000001E-2</v>
      </c>
      <c r="Z33" s="42">
        <v>8.3330000000000001E-2</v>
      </c>
      <c r="AA33" s="42">
        <v>8.3330000000000001E-2</v>
      </c>
      <c r="AB33" s="42">
        <v>8.3330000000000001E-2</v>
      </c>
      <c r="AC33" s="42">
        <v>8.3330000000000001E-2</v>
      </c>
      <c r="AD33" s="42">
        <v>8.3330000000000001E-2</v>
      </c>
      <c r="AE33" s="42">
        <v>8.3330000000000001E-2</v>
      </c>
      <c r="AF33" s="363"/>
      <c r="AG33" s="363"/>
      <c r="AH33" s="363"/>
      <c r="AI33" s="363"/>
    </row>
    <row r="34" spans="1:35" ht="81" customHeight="1" x14ac:dyDescent="0.35">
      <c r="A34" s="259">
        <v>11</v>
      </c>
      <c r="B34" s="283" t="s">
        <v>204</v>
      </c>
      <c r="C34" s="283" t="s">
        <v>166</v>
      </c>
      <c r="D34" s="283" t="s">
        <v>77</v>
      </c>
      <c r="E34" s="283" t="s">
        <v>206</v>
      </c>
      <c r="F34" s="78" t="s">
        <v>152</v>
      </c>
      <c r="G34" s="283" t="s">
        <v>184</v>
      </c>
      <c r="H34" s="283" t="s">
        <v>212</v>
      </c>
      <c r="I34" s="283" t="s">
        <v>212</v>
      </c>
      <c r="J34" s="283" t="s">
        <v>213</v>
      </c>
      <c r="K34" s="283" t="s">
        <v>163</v>
      </c>
      <c r="L34" s="283" t="s">
        <v>156</v>
      </c>
      <c r="M34" s="281" t="s">
        <v>189</v>
      </c>
      <c r="N34" s="411">
        <v>44927</v>
      </c>
      <c r="O34" s="412">
        <v>44957</v>
      </c>
      <c r="P34" s="64" t="s">
        <v>86</v>
      </c>
      <c r="Q34" s="53">
        <f>+(Q35*R34)</f>
        <v>5.3352272727272734E-2</v>
      </c>
      <c r="R34" s="226">
        <f t="shared" si="0"/>
        <v>0.58687500000000004</v>
      </c>
      <c r="S34" s="45"/>
      <c r="T34" s="42"/>
      <c r="U34" s="42"/>
      <c r="V34" s="42"/>
      <c r="W34" s="42"/>
      <c r="X34" s="42"/>
      <c r="Y34" s="42">
        <f>93.9%/80%/R35*Y35</f>
        <v>0.58687500000000004</v>
      </c>
      <c r="Z34" s="42"/>
      <c r="AA34" s="42"/>
      <c r="AB34" s="42"/>
      <c r="AC34" s="42"/>
      <c r="AD34" s="42"/>
      <c r="AE34" s="42"/>
      <c r="AF34" s="362" t="s">
        <v>214</v>
      </c>
      <c r="AG34" s="257" t="s">
        <v>215</v>
      </c>
      <c r="AH34" s="362"/>
      <c r="AI34" s="362"/>
    </row>
    <row r="35" spans="1:35" ht="81" customHeight="1" x14ac:dyDescent="0.35">
      <c r="A35" s="279"/>
      <c r="B35" s="283"/>
      <c r="C35" s="283"/>
      <c r="D35" s="283"/>
      <c r="E35" s="283"/>
      <c r="F35" s="78"/>
      <c r="G35" s="283"/>
      <c r="H35" s="283"/>
      <c r="I35" s="283"/>
      <c r="J35" s="283"/>
      <c r="K35" s="283"/>
      <c r="L35" s="283"/>
      <c r="M35" s="281"/>
      <c r="N35" s="411"/>
      <c r="O35" s="412"/>
      <c r="P35" s="64" t="s">
        <v>89</v>
      </c>
      <c r="Q35" s="52">
        <f>100%/11</f>
        <v>9.0909090909090912E-2</v>
      </c>
      <c r="R35" s="226">
        <f t="shared" si="0"/>
        <v>1</v>
      </c>
      <c r="S35" s="42"/>
      <c r="T35" s="42"/>
      <c r="U35" s="42"/>
      <c r="V35" s="42"/>
      <c r="W35" s="42"/>
      <c r="X35" s="42"/>
      <c r="Y35" s="42">
        <v>0.5</v>
      </c>
      <c r="Z35" s="42"/>
      <c r="AA35" s="42"/>
      <c r="AB35" s="42"/>
      <c r="AC35" s="42"/>
      <c r="AD35" s="42"/>
      <c r="AE35" s="42">
        <v>0.5</v>
      </c>
      <c r="AF35" s="363"/>
      <c r="AG35" s="258"/>
      <c r="AH35" s="363"/>
      <c r="AI35" s="363"/>
    </row>
  </sheetData>
  <autoFilter ref="D12:H13" xr:uid="{47330F22-B3B3-4045-8856-ACFFB1302C97}"/>
  <mergeCells count="261">
    <mergeCell ref="AH18:AH19"/>
    <mergeCell ref="AH20:AH21"/>
    <mergeCell ref="AH22:AH23"/>
    <mergeCell ref="AH24:AH25"/>
    <mergeCell ref="AH26:AH27"/>
    <mergeCell ref="AH28:AH29"/>
    <mergeCell ref="AH30:AH31"/>
    <mergeCell ref="AI34:AI35"/>
    <mergeCell ref="AH32:AH33"/>
    <mergeCell ref="AH34:AH35"/>
    <mergeCell ref="AI18:AI19"/>
    <mergeCell ref="AI20:AI21"/>
    <mergeCell ref="AI22:AI23"/>
    <mergeCell ref="AI24:AI25"/>
    <mergeCell ref="AI26:AI27"/>
    <mergeCell ref="AI28:AI29"/>
    <mergeCell ref="AI30:AI31"/>
    <mergeCell ref="AI32:AI33"/>
    <mergeCell ref="AG22:AG23"/>
    <mergeCell ref="AG24:AG25"/>
    <mergeCell ref="AG26:AG27"/>
    <mergeCell ref="AG28:AG29"/>
    <mergeCell ref="AF22:AF23"/>
    <mergeCell ref="AF24:AF25"/>
    <mergeCell ref="AG30:AG31"/>
    <mergeCell ref="AG32:AG33"/>
    <mergeCell ref="AG34:AG35"/>
    <mergeCell ref="N34:N35"/>
    <mergeCell ref="O34:O35"/>
    <mergeCell ref="AF26:AF27"/>
    <mergeCell ref="K32:K33"/>
    <mergeCell ref="L32:L33"/>
    <mergeCell ref="M32:M33"/>
    <mergeCell ref="N32:N33"/>
    <mergeCell ref="O32:O33"/>
    <mergeCell ref="O30:O31"/>
    <mergeCell ref="N28:N29"/>
    <mergeCell ref="O28:O29"/>
    <mergeCell ref="AF28:AF29"/>
    <mergeCell ref="AF30:AF31"/>
    <mergeCell ref="AF32:AF33"/>
    <mergeCell ref="AF34:AF35"/>
    <mergeCell ref="A34:A35"/>
    <mergeCell ref="B34:B35"/>
    <mergeCell ref="C34:C35"/>
    <mergeCell ref="D34:D35"/>
    <mergeCell ref="E34:E35"/>
    <mergeCell ref="K30:K31"/>
    <mergeCell ref="L30:L31"/>
    <mergeCell ref="M30:M31"/>
    <mergeCell ref="N30:N31"/>
    <mergeCell ref="A32:A33"/>
    <mergeCell ref="B32:B33"/>
    <mergeCell ref="C32:C33"/>
    <mergeCell ref="D32:D33"/>
    <mergeCell ref="E32:E33"/>
    <mergeCell ref="A30:A31"/>
    <mergeCell ref="B30:B31"/>
    <mergeCell ref="C30:C31"/>
    <mergeCell ref="D30:D31"/>
    <mergeCell ref="E30:E31"/>
    <mergeCell ref="G30:G31"/>
    <mergeCell ref="H30:H31"/>
    <mergeCell ref="I30:I31"/>
    <mergeCell ref="G34:G35"/>
    <mergeCell ref="H34:H35"/>
    <mergeCell ref="E28:E29"/>
    <mergeCell ref="G28:G29"/>
    <mergeCell ref="H28:H29"/>
    <mergeCell ref="I28:I29"/>
    <mergeCell ref="J28:J29"/>
    <mergeCell ref="E24:E25"/>
    <mergeCell ref="G24:G25"/>
    <mergeCell ref="H24:H25"/>
    <mergeCell ref="A26:A27"/>
    <mergeCell ref="B26:B27"/>
    <mergeCell ref="C26:C27"/>
    <mergeCell ref="D26:D27"/>
    <mergeCell ref="E26:E27"/>
    <mergeCell ref="A28:A29"/>
    <mergeCell ref="B28:B29"/>
    <mergeCell ref="C28:C29"/>
    <mergeCell ref="D28:D29"/>
    <mergeCell ref="A18:A19"/>
    <mergeCell ref="B18:B19"/>
    <mergeCell ref="C18:C19"/>
    <mergeCell ref="D18:D19"/>
    <mergeCell ref="E18:E19"/>
    <mergeCell ref="A24:A25"/>
    <mergeCell ref="B24:B25"/>
    <mergeCell ref="C24:C25"/>
    <mergeCell ref="D24:D25"/>
    <mergeCell ref="A20:A21"/>
    <mergeCell ref="B20:B21"/>
    <mergeCell ref="C20:C21"/>
    <mergeCell ref="D20:D21"/>
    <mergeCell ref="E20:E21"/>
    <mergeCell ref="I34:I35"/>
    <mergeCell ref="J34:J35"/>
    <mergeCell ref="G32:G33"/>
    <mergeCell ref="H32:H33"/>
    <mergeCell ref="I32:I33"/>
    <mergeCell ref="J32:J33"/>
    <mergeCell ref="F28:F29"/>
    <mergeCell ref="L28:L29"/>
    <mergeCell ref="M28:M29"/>
    <mergeCell ref="J30:J31"/>
    <mergeCell ref="K34:K35"/>
    <mergeCell ref="L34:L35"/>
    <mergeCell ref="M34:M35"/>
    <mergeCell ref="K22:K23"/>
    <mergeCell ref="L22:L23"/>
    <mergeCell ref="M22:M23"/>
    <mergeCell ref="N22:N23"/>
    <mergeCell ref="O22:O23"/>
    <mergeCell ref="A22:A23"/>
    <mergeCell ref="B22:B23"/>
    <mergeCell ref="C22:C23"/>
    <mergeCell ref="D22:D23"/>
    <mergeCell ref="E22:E23"/>
    <mergeCell ref="F22:F23"/>
    <mergeCell ref="F20:F21"/>
    <mergeCell ref="G20:G21"/>
    <mergeCell ref="L26:L27"/>
    <mergeCell ref="M26:M27"/>
    <mergeCell ref="N26:N27"/>
    <mergeCell ref="O26:O27"/>
    <mergeCell ref="G26:G27"/>
    <mergeCell ref="H26:H27"/>
    <mergeCell ref="I26:I27"/>
    <mergeCell ref="J26:J27"/>
    <mergeCell ref="K26:K27"/>
    <mergeCell ref="O24:O25"/>
    <mergeCell ref="I24:I25"/>
    <mergeCell ref="J24:J25"/>
    <mergeCell ref="K24:K25"/>
    <mergeCell ref="L24:L25"/>
    <mergeCell ref="M24:M25"/>
    <mergeCell ref="N24:N25"/>
    <mergeCell ref="G22:G23"/>
    <mergeCell ref="H22:H23"/>
    <mergeCell ref="I22:I23"/>
    <mergeCell ref="J22:J23"/>
    <mergeCell ref="I20:I21"/>
    <mergeCell ref="J20:J21"/>
    <mergeCell ref="G18:G19"/>
    <mergeCell ref="H18:H19"/>
    <mergeCell ref="I18:I19"/>
    <mergeCell ref="J18:J19"/>
    <mergeCell ref="K18:K19"/>
    <mergeCell ref="H20:H21"/>
    <mergeCell ref="O16:O17"/>
    <mergeCell ref="AF16:AF17"/>
    <mergeCell ref="AG16:AG17"/>
    <mergeCell ref="L20:L21"/>
    <mergeCell ref="M20:M21"/>
    <mergeCell ref="L18:L19"/>
    <mergeCell ref="M18:M19"/>
    <mergeCell ref="N18:N19"/>
    <mergeCell ref="O18:O19"/>
    <mergeCell ref="N20:N21"/>
    <mergeCell ref="O20:O21"/>
    <mergeCell ref="AF18:AF19"/>
    <mergeCell ref="AF20:AF21"/>
    <mergeCell ref="AG18:AG19"/>
    <mergeCell ref="AG20:AG21"/>
    <mergeCell ref="K20:K21"/>
    <mergeCell ref="AH16:AH17"/>
    <mergeCell ref="AI16:AI17"/>
    <mergeCell ref="I16:I17"/>
    <mergeCell ref="J16:J17"/>
    <mergeCell ref="K16:K17"/>
    <mergeCell ref="L16:L17"/>
    <mergeCell ref="M16:M17"/>
    <mergeCell ref="N16:N17"/>
    <mergeCell ref="AH14:AH15"/>
    <mergeCell ref="AI14:AI15"/>
    <mergeCell ref="M14:M15"/>
    <mergeCell ref="N14:N15"/>
    <mergeCell ref="O14:O15"/>
    <mergeCell ref="AF14:AF15"/>
    <mergeCell ref="AG14:AG15"/>
    <mergeCell ref="A16:A17"/>
    <mergeCell ref="B16:B17"/>
    <mergeCell ref="C16:C17"/>
    <mergeCell ref="D16:D17"/>
    <mergeCell ref="E16:E17"/>
    <mergeCell ref="F16:F17"/>
    <mergeCell ref="G16:G17"/>
    <mergeCell ref="H16:H17"/>
    <mergeCell ref="L14:L15"/>
    <mergeCell ref="F14:F15"/>
    <mergeCell ref="G14:G15"/>
    <mergeCell ref="H14:H15"/>
    <mergeCell ref="I14:I15"/>
    <mergeCell ref="J14:J15"/>
    <mergeCell ref="K14:K15"/>
    <mergeCell ref="AH12:AH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12:A13"/>
    <mergeCell ref="B12:B13"/>
    <mergeCell ref="C12:C13"/>
    <mergeCell ref="D12:D13"/>
    <mergeCell ref="E12:E13"/>
    <mergeCell ref="F12:F13"/>
    <mergeCell ref="AA6:AD10"/>
    <mergeCell ref="AE6:AF10"/>
    <mergeCell ref="AG6:AG10"/>
    <mergeCell ref="O12:O13"/>
    <mergeCell ref="P12:P13"/>
    <mergeCell ref="Q12:Q13"/>
    <mergeCell ref="R12:R13"/>
    <mergeCell ref="G12:G13"/>
    <mergeCell ref="H12:H13"/>
    <mergeCell ref="I12:I13"/>
    <mergeCell ref="J12:J13"/>
    <mergeCell ref="K12:K13"/>
    <mergeCell ref="L12:L13"/>
    <mergeCell ref="AE12:AE13"/>
    <mergeCell ref="AF12:AF13"/>
    <mergeCell ref="AG12:AG13"/>
    <mergeCell ref="A11:F11"/>
    <mergeCell ref="G11:O11"/>
    <mergeCell ref="P11:AE11"/>
    <mergeCell ref="AF11:AI11"/>
    <mergeCell ref="K6:L10"/>
    <mergeCell ref="M6:M10"/>
    <mergeCell ref="N6:O10"/>
    <mergeCell ref="P6:R10"/>
    <mergeCell ref="S6:V10"/>
    <mergeCell ref="W6:Z10"/>
    <mergeCell ref="A1:C3"/>
    <mergeCell ref="D1:AI3"/>
    <mergeCell ref="A4:A5"/>
    <mergeCell ref="G4:G5"/>
    <mergeCell ref="A6:B10"/>
    <mergeCell ref="C6:D10"/>
    <mergeCell ref="E6:F10"/>
    <mergeCell ref="G6:G10"/>
    <mergeCell ref="H6:I10"/>
    <mergeCell ref="J6:J10"/>
    <mergeCell ref="AH6:AH10"/>
  </mergeCells>
  <conditionalFormatting sqref="I4">
    <cfRule type="cellIs" dxfId="165" priority="16" operator="lessThanOrEqual">
      <formula>$C$4</formula>
    </cfRule>
  </conditionalFormatting>
  <conditionalFormatting sqref="J6 R14:R35">
    <cfRule type="cellIs" dxfId="164" priority="17" operator="greaterThanOrEqual">
      <formula>$C$5</formula>
    </cfRule>
    <cfRule type="cellIs" dxfId="163" priority="18" operator="lessThanOrEqual">
      <formula>$C$4</formula>
    </cfRule>
    <cfRule type="cellIs" dxfId="162" priority="19" operator="between">
      <formula>$C$5</formula>
      <formula>$C$4</formula>
    </cfRule>
  </conditionalFormatting>
  <conditionalFormatting sqref="P6">
    <cfRule type="cellIs" dxfId="161" priority="13" operator="greaterThanOrEqual">
      <formula>$I$5</formula>
    </cfRule>
    <cfRule type="cellIs" dxfId="160" priority="14" operator="lessThanOrEqual">
      <formula>$I$4</formula>
    </cfRule>
    <cfRule type="cellIs" dxfId="159" priority="15" operator="between">
      <formula>$I$5</formula>
      <formula>$I$4</formula>
    </cfRule>
  </conditionalFormatting>
  <conditionalFormatting sqref="W6">
    <cfRule type="cellIs" dxfId="158" priority="7" operator="greaterThanOrEqual">
      <formula>$I$5</formula>
    </cfRule>
    <cfRule type="cellIs" dxfId="157" priority="8" operator="lessThanOrEqual">
      <formula>$I$4</formula>
    </cfRule>
    <cfRule type="cellIs" dxfId="156" priority="9" operator="between">
      <formula>$I$5</formula>
      <formula>$I$4</formula>
    </cfRule>
  </conditionalFormatting>
  <conditionalFormatting sqref="AE6">
    <cfRule type="cellIs" dxfId="155" priority="4" operator="greaterThanOrEqual">
      <formula>$I$5</formula>
    </cfRule>
    <cfRule type="cellIs" dxfId="154" priority="5" operator="lessThanOrEqual">
      <formula>$I$4</formula>
    </cfRule>
    <cfRule type="cellIs" dxfId="153" priority="6" operator="between">
      <formula>$I$5</formula>
      <formula>$I$4</formula>
    </cfRule>
  </conditionalFormatting>
  <conditionalFormatting sqref="AH6">
    <cfRule type="cellIs" dxfId="152" priority="1" operator="greaterThanOrEqual">
      <formula>$I$5</formula>
    </cfRule>
    <cfRule type="cellIs" dxfId="151" priority="2" operator="lessThanOrEqual">
      <formula>$I$4</formula>
    </cfRule>
    <cfRule type="cellIs" dxfId="150" priority="3" operator="between">
      <formula>$I$5</formula>
      <formula>$I$4</formula>
    </cfRule>
  </conditionalFormatting>
  <dataValidations xWindow="1059" yWindow="588" count="4">
    <dataValidation type="decimal" allowBlank="1" showInputMessage="1" showErrorMessage="1" prompt="valor porcentual de la activida - Indique el peso porcentual de la actividad dentro del proyecto" sqref="Q14 Q20 Q32 Q18 Q30 Q22 Q24 Q26 Q28 Q16 Q34" xr:uid="{1AED2952-3E90-45E5-BC56-145B909ED0DC}">
      <formula1>0</formula1>
      <formula2>1</formula2>
    </dataValidation>
    <dataValidation type="decimal" allowBlank="1" showInputMessage="1" showErrorMessage="1" prompt="campo calculado  - indica el % de avance  que aporta la activadad a todo el proyecto" sqref="Q21 Q19 Q17 Q15 Q33 Q31 Q23 Q25 Q27 Q29 Q35" xr:uid="{D841A9DE-C9DD-416F-B9A3-5229870126BB}">
      <formula1>0</formula1>
      <formula2>1</formula2>
    </dataValidation>
    <dataValidation type="decimal" allowBlank="1" showInputMessage="1" showErrorMessage="1" prompt="% de avance en la actividad - indique el % programado de avance durante esta semana_x000a_" sqref="S25:AE35 S14:AE23 AL22:AL23 T24:AE24" xr:uid="{B2FE00B5-C282-4B1B-B483-749FF412591A}">
      <formula1>0</formula1>
      <formula2>1</formula2>
    </dataValidation>
    <dataValidation allowBlank="1" showErrorMessage="1" sqref="R14:R35" xr:uid="{332C594D-407A-47A3-A4CB-2F28C5DB408E}"/>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8991-7053-443F-94A9-40E339ACADE8}">
  <dimension ref="A1:AH43"/>
  <sheetViews>
    <sheetView showGridLines="0" view="pageBreakPreview" topLeftCell="A11" zoomScale="60" zoomScaleNormal="10" zoomScalePageLayoutView="48" workbookViewId="0">
      <selection activeCell="AG18" sqref="AG18:AG19"/>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4" width="18.26953125" style="1" customWidth="1"/>
    <col min="15" max="17" width="13.7265625" style="1" customWidth="1"/>
    <col min="18" max="30" width="9.54296875" style="1" customWidth="1"/>
    <col min="31" max="31" width="35.7265625" style="1" customWidth="1"/>
    <col min="32" max="34" width="42.54296875" style="1" customWidth="1"/>
    <col min="35" max="16384" width="12.54296875" style="1"/>
  </cols>
  <sheetData>
    <row r="1" spans="1:34" s="60" customFormat="1" ht="15" customHeight="1" x14ac:dyDescent="0.35">
      <c r="A1" s="293"/>
      <c r="B1" s="294"/>
      <c r="C1" s="295"/>
      <c r="D1" s="361" t="s">
        <v>249</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row>
    <row r="2" spans="1:34"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row>
    <row r="3" spans="1:34"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row>
    <row r="4" spans="1:34" s="60" customFormat="1" ht="60" hidden="1" customHeight="1" thickBot="1" x14ac:dyDescent="0.4">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row>
    <row r="5" spans="1:34" s="60" customFormat="1" ht="60" hidden="1" customHeight="1" x14ac:dyDescent="0.35">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row>
    <row r="6" spans="1:34" ht="20.149999999999999" customHeight="1" x14ac:dyDescent="0.35">
      <c r="A6" s="292" t="s">
        <v>28</v>
      </c>
      <c r="B6" s="292"/>
      <c r="C6" s="302" t="s">
        <v>118</v>
      </c>
      <c r="D6" s="302"/>
      <c r="E6" s="303" t="s">
        <v>30</v>
      </c>
      <c r="F6" s="303"/>
      <c r="G6" s="324">
        <f>+P15+P17+P19+P21</f>
        <v>1</v>
      </c>
      <c r="H6" s="303" t="s">
        <v>31</v>
      </c>
      <c r="I6" s="303"/>
      <c r="J6" s="414">
        <f>+P14+P16+P18+P20</f>
        <v>0.375</v>
      </c>
      <c r="K6" s="286" t="s">
        <v>32</v>
      </c>
      <c r="L6" s="287"/>
      <c r="M6" s="330">
        <v>0.95</v>
      </c>
      <c r="N6" s="425" t="s">
        <v>250</v>
      </c>
      <c r="O6" s="426"/>
      <c r="P6" s="316">
        <f>(SUM(X14,X16,X18,X20)/SUM(X15,X17,X19,X21)/M6)</f>
        <v>1.0526315789473684</v>
      </c>
      <c r="Q6" s="317"/>
      <c r="R6" s="306" t="s">
        <v>251</v>
      </c>
      <c r="S6" s="307"/>
      <c r="T6" s="307"/>
      <c r="U6" s="308"/>
      <c r="V6" s="315">
        <f>SUM(AD14,AD16,AD18,AD20)/SUM(AD15,AD17,AD19,AD21)</f>
        <v>0</v>
      </c>
      <c r="W6" s="316"/>
      <c r="X6" s="316"/>
      <c r="Y6" s="317"/>
      <c r="Z6" s="417" t="s">
        <v>35</v>
      </c>
      <c r="AA6" s="418"/>
      <c r="AB6" s="418"/>
      <c r="AC6" s="418"/>
      <c r="AD6" s="418"/>
      <c r="AE6" s="418"/>
      <c r="AF6" s="418"/>
      <c r="AG6" s="418"/>
    </row>
    <row r="7" spans="1:34" ht="15" customHeight="1" x14ac:dyDescent="0.35">
      <c r="A7" s="292"/>
      <c r="B7" s="292"/>
      <c r="C7" s="302"/>
      <c r="D7" s="302"/>
      <c r="E7" s="303"/>
      <c r="F7" s="303"/>
      <c r="G7" s="325"/>
      <c r="H7" s="303"/>
      <c r="I7" s="303"/>
      <c r="J7" s="415"/>
      <c r="K7" s="288"/>
      <c r="L7" s="289"/>
      <c r="M7" s="331"/>
      <c r="N7" s="425"/>
      <c r="O7" s="426"/>
      <c r="P7" s="319"/>
      <c r="Q7" s="320"/>
      <c r="R7" s="309"/>
      <c r="S7" s="310"/>
      <c r="T7" s="310"/>
      <c r="U7" s="311"/>
      <c r="V7" s="318"/>
      <c r="W7" s="319"/>
      <c r="X7" s="319"/>
      <c r="Y7" s="320"/>
      <c r="Z7" s="419"/>
      <c r="AA7" s="420"/>
      <c r="AB7" s="420"/>
      <c r="AC7" s="420"/>
      <c r="AD7" s="420"/>
      <c r="AE7" s="420"/>
      <c r="AF7" s="420"/>
      <c r="AG7" s="420"/>
    </row>
    <row r="8" spans="1:34" ht="25.15" hidden="1" customHeight="1" x14ac:dyDescent="0.35">
      <c r="A8" s="292"/>
      <c r="B8" s="292"/>
      <c r="C8" s="302"/>
      <c r="D8" s="302"/>
      <c r="E8" s="303"/>
      <c r="F8" s="303"/>
      <c r="G8" s="325"/>
      <c r="H8" s="303"/>
      <c r="I8" s="303"/>
      <c r="J8" s="415"/>
      <c r="K8" s="288"/>
      <c r="L8" s="289"/>
      <c r="M8" s="331"/>
      <c r="N8" s="425"/>
      <c r="O8" s="426"/>
      <c r="P8" s="319"/>
      <c r="Q8" s="320"/>
      <c r="R8" s="309"/>
      <c r="S8" s="310"/>
      <c r="T8" s="310"/>
      <c r="U8" s="311"/>
      <c r="V8" s="318"/>
      <c r="W8" s="319"/>
      <c r="X8" s="319"/>
      <c r="Y8" s="320"/>
      <c r="Z8" s="419"/>
      <c r="AA8" s="420"/>
      <c r="AB8" s="420"/>
      <c r="AC8" s="420"/>
      <c r="AD8" s="420"/>
      <c r="AE8" s="420"/>
      <c r="AF8" s="420"/>
      <c r="AG8" s="420"/>
    </row>
    <row r="9" spans="1:34" ht="25.15" hidden="1" customHeight="1" thickBot="1" x14ac:dyDescent="0.4">
      <c r="A9" s="292"/>
      <c r="B9" s="292"/>
      <c r="C9" s="302"/>
      <c r="D9" s="302"/>
      <c r="E9" s="303"/>
      <c r="F9" s="303"/>
      <c r="G9" s="325"/>
      <c r="H9" s="303"/>
      <c r="I9" s="303"/>
      <c r="J9" s="415"/>
      <c r="K9" s="288"/>
      <c r="L9" s="289"/>
      <c r="M9" s="331"/>
      <c r="N9" s="425"/>
      <c r="O9" s="426"/>
      <c r="P9" s="319"/>
      <c r="Q9" s="320"/>
      <c r="R9" s="309"/>
      <c r="S9" s="310"/>
      <c r="T9" s="310"/>
      <c r="U9" s="311"/>
      <c r="V9" s="318"/>
      <c r="W9" s="319"/>
      <c r="X9" s="319"/>
      <c r="Y9" s="320"/>
      <c r="Z9" s="419"/>
      <c r="AA9" s="420"/>
      <c r="AB9" s="420"/>
      <c r="AC9" s="420"/>
      <c r="AD9" s="420"/>
      <c r="AE9" s="420"/>
      <c r="AF9" s="420"/>
      <c r="AG9" s="420"/>
    </row>
    <row r="10" spans="1:34" ht="15" customHeight="1" thickBot="1" x14ac:dyDescent="0.4">
      <c r="A10" s="292"/>
      <c r="B10" s="292"/>
      <c r="C10" s="302"/>
      <c r="D10" s="302"/>
      <c r="E10" s="303"/>
      <c r="F10" s="303"/>
      <c r="G10" s="326"/>
      <c r="H10" s="303"/>
      <c r="I10" s="303"/>
      <c r="J10" s="416"/>
      <c r="K10" s="290"/>
      <c r="L10" s="291"/>
      <c r="M10" s="332"/>
      <c r="N10" s="425"/>
      <c r="O10" s="426"/>
      <c r="P10" s="322"/>
      <c r="Q10" s="323"/>
      <c r="R10" s="312"/>
      <c r="S10" s="313"/>
      <c r="T10" s="313"/>
      <c r="U10" s="314"/>
      <c r="V10" s="321"/>
      <c r="W10" s="322"/>
      <c r="X10" s="322"/>
      <c r="Y10" s="323"/>
      <c r="Z10" s="421"/>
      <c r="AA10" s="422"/>
      <c r="AB10" s="422"/>
      <c r="AC10" s="422"/>
      <c r="AD10" s="422"/>
      <c r="AE10" s="422"/>
      <c r="AF10" s="422"/>
      <c r="AG10" s="422"/>
    </row>
    <row r="11" spans="1:34" s="12" customFormat="1" ht="40.15" customHeight="1" thickBot="1" x14ac:dyDescent="0.4">
      <c r="A11" s="268" t="s">
        <v>37</v>
      </c>
      <c r="B11" s="268"/>
      <c r="C11" s="268"/>
      <c r="D11" s="268"/>
      <c r="E11" s="268"/>
      <c r="F11" s="269"/>
      <c r="G11" s="270" t="s">
        <v>38</v>
      </c>
      <c r="H11" s="271"/>
      <c r="I11" s="271"/>
      <c r="J11" s="271"/>
      <c r="K11" s="271"/>
      <c r="L11" s="271"/>
      <c r="M11" s="271"/>
      <c r="N11" s="271"/>
      <c r="O11" s="345" t="s">
        <v>39</v>
      </c>
      <c r="P11" s="346"/>
      <c r="Q11" s="346"/>
      <c r="R11" s="346"/>
      <c r="S11" s="346"/>
      <c r="T11" s="346"/>
      <c r="U11" s="346"/>
      <c r="V11" s="346"/>
      <c r="W11" s="346"/>
      <c r="X11" s="346"/>
      <c r="Y11" s="346"/>
      <c r="Z11" s="346"/>
      <c r="AA11" s="346"/>
      <c r="AB11" s="346"/>
      <c r="AC11" s="346"/>
      <c r="AD11" s="347"/>
      <c r="AE11" s="345" t="s">
        <v>40</v>
      </c>
      <c r="AF11" s="346"/>
      <c r="AG11" s="346"/>
      <c r="AH11" s="346"/>
    </row>
    <row r="12" spans="1:34" ht="39" customHeight="1" x14ac:dyDescent="0.35">
      <c r="A12" s="273" t="s">
        <v>41</v>
      </c>
      <c r="B12" s="275" t="s">
        <v>42</v>
      </c>
      <c r="C12" s="275" t="s">
        <v>43</v>
      </c>
      <c r="D12" s="275" t="s">
        <v>44</v>
      </c>
      <c r="E12" s="275" t="s">
        <v>45</v>
      </c>
      <c r="F12" s="275" t="s">
        <v>9</v>
      </c>
      <c r="G12" s="275" t="s">
        <v>46</v>
      </c>
      <c r="H12" s="275" t="s">
        <v>218</v>
      </c>
      <c r="I12" s="275" t="s">
        <v>49</v>
      </c>
      <c r="J12" s="275" t="s">
        <v>50</v>
      </c>
      <c r="K12" s="275" t="s">
        <v>51</v>
      </c>
      <c r="L12" s="275" t="s">
        <v>52</v>
      </c>
      <c r="M12" s="275" t="s">
        <v>53</v>
      </c>
      <c r="N12" s="275" t="s">
        <v>54</v>
      </c>
      <c r="O12" s="356" t="s">
        <v>55</v>
      </c>
      <c r="P12" s="357" t="s">
        <v>56</v>
      </c>
      <c r="Q12" s="358" t="s">
        <v>57</v>
      </c>
      <c r="R12" s="354" t="s">
        <v>58</v>
      </c>
      <c r="S12" s="352" t="s">
        <v>59</v>
      </c>
      <c r="T12" s="350" t="s">
        <v>60</v>
      </c>
      <c r="U12" s="304" t="s">
        <v>61</v>
      </c>
      <c r="V12" s="359" t="s">
        <v>62</v>
      </c>
      <c r="W12" s="304" t="s">
        <v>63</v>
      </c>
      <c r="X12" s="350" t="s">
        <v>63</v>
      </c>
      <c r="Y12" s="352" t="s">
        <v>65</v>
      </c>
      <c r="Z12" s="354" t="s">
        <v>66</v>
      </c>
      <c r="AA12" s="352" t="s">
        <v>67</v>
      </c>
      <c r="AB12" s="350" t="s">
        <v>68</v>
      </c>
      <c r="AC12" s="304" t="s">
        <v>69</v>
      </c>
      <c r="AD12" s="348" t="s">
        <v>70</v>
      </c>
      <c r="AE12" s="344" t="s">
        <v>71</v>
      </c>
      <c r="AF12" s="344" t="s">
        <v>72</v>
      </c>
      <c r="AG12" s="344" t="s">
        <v>73</v>
      </c>
      <c r="AH12" s="344" t="s">
        <v>74</v>
      </c>
    </row>
    <row r="13" spans="1:34" ht="60" customHeight="1" thickBot="1" x14ac:dyDescent="0.4">
      <c r="A13" s="274"/>
      <c r="B13" s="274"/>
      <c r="C13" s="274"/>
      <c r="D13" s="274"/>
      <c r="E13" s="274"/>
      <c r="F13" s="274"/>
      <c r="G13" s="274"/>
      <c r="H13" s="274"/>
      <c r="I13" s="274"/>
      <c r="J13" s="274"/>
      <c r="K13" s="274"/>
      <c r="L13" s="274"/>
      <c r="M13" s="274"/>
      <c r="N13" s="274"/>
      <c r="O13" s="356"/>
      <c r="P13" s="357"/>
      <c r="Q13" s="358"/>
      <c r="R13" s="355"/>
      <c r="S13" s="353"/>
      <c r="T13" s="351"/>
      <c r="U13" s="305"/>
      <c r="V13" s="360"/>
      <c r="W13" s="305"/>
      <c r="X13" s="351"/>
      <c r="Y13" s="353"/>
      <c r="Z13" s="355"/>
      <c r="AA13" s="353"/>
      <c r="AB13" s="351"/>
      <c r="AC13" s="305"/>
      <c r="AD13" s="349"/>
      <c r="AE13" s="344"/>
      <c r="AF13" s="344"/>
      <c r="AG13" s="344"/>
      <c r="AH13" s="344"/>
    </row>
    <row r="14" spans="1:34" ht="40.15" customHeight="1" thickBot="1" x14ac:dyDescent="0.4">
      <c r="A14" s="259">
        <v>1</v>
      </c>
      <c r="B14" s="259" t="s">
        <v>219</v>
      </c>
      <c r="C14" s="259" t="s">
        <v>115</v>
      </c>
      <c r="D14" s="259" t="s">
        <v>116</v>
      </c>
      <c r="E14" s="259" t="s">
        <v>117</v>
      </c>
      <c r="F14" s="277" t="s">
        <v>79</v>
      </c>
      <c r="G14" s="259" t="s">
        <v>118</v>
      </c>
      <c r="H14" s="259" t="s">
        <v>252</v>
      </c>
      <c r="I14" s="259" t="s">
        <v>253</v>
      </c>
      <c r="J14" s="261" t="s">
        <v>254</v>
      </c>
      <c r="K14" s="261" t="s">
        <v>255</v>
      </c>
      <c r="L14" s="261" t="s">
        <v>126</v>
      </c>
      <c r="M14" s="261" t="s">
        <v>256</v>
      </c>
      <c r="N14" s="261" t="s">
        <v>257</v>
      </c>
      <c r="O14" s="64" t="s">
        <v>86</v>
      </c>
      <c r="P14" s="53">
        <f>+(P15*Q14)</f>
        <v>0.125</v>
      </c>
      <c r="Q14" s="71">
        <f t="shared" ref="Q14:Q21" si="0">SUM(R14:AD14)</f>
        <v>0.5</v>
      </c>
      <c r="R14" s="43"/>
      <c r="S14" s="43"/>
      <c r="T14" s="43"/>
      <c r="U14" s="43"/>
      <c r="V14" s="43"/>
      <c r="W14" s="43"/>
      <c r="X14" s="43">
        <v>0.5</v>
      </c>
      <c r="Y14" s="43"/>
      <c r="Z14" s="44"/>
      <c r="AA14" s="44"/>
      <c r="AB14" s="44"/>
      <c r="AC14" s="44"/>
      <c r="AD14" s="44"/>
      <c r="AE14" s="362"/>
      <c r="AF14" s="366" t="s">
        <v>258</v>
      </c>
      <c r="AG14" s="342"/>
      <c r="AH14" s="342"/>
    </row>
    <row r="15" spans="1:34" ht="37.15" customHeight="1" thickBot="1" x14ac:dyDescent="0.4">
      <c r="A15" s="260"/>
      <c r="B15" s="260"/>
      <c r="C15" s="260"/>
      <c r="D15" s="260"/>
      <c r="E15" s="260"/>
      <c r="F15" s="280"/>
      <c r="G15" s="260"/>
      <c r="H15" s="260"/>
      <c r="I15" s="260"/>
      <c r="J15" s="266"/>
      <c r="K15" s="266"/>
      <c r="L15" s="266"/>
      <c r="M15" s="266"/>
      <c r="N15" s="266"/>
      <c r="O15" s="64" t="s">
        <v>89</v>
      </c>
      <c r="P15" s="52">
        <f>100%/4</f>
        <v>0.25</v>
      </c>
      <c r="Q15" s="71">
        <f t="shared" si="0"/>
        <v>1</v>
      </c>
      <c r="R15" s="42"/>
      <c r="S15" s="42"/>
      <c r="T15" s="42"/>
      <c r="U15" s="42"/>
      <c r="V15" s="42"/>
      <c r="W15" s="42"/>
      <c r="X15" s="42">
        <v>0.5</v>
      </c>
      <c r="Y15" s="42"/>
      <c r="Z15" s="42"/>
      <c r="AA15" s="42"/>
      <c r="AB15" s="42"/>
      <c r="AC15" s="42"/>
      <c r="AD15" s="42">
        <v>0.5</v>
      </c>
      <c r="AE15" s="363"/>
      <c r="AF15" s="367"/>
      <c r="AG15" s="343"/>
      <c r="AH15" s="343"/>
    </row>
    <row r="16" spans="1:34" ht="37.15" customHeight="1" thickBot="1" x14ac:dyDescent="0.4">
      <c r="A16" s="259">
        <v>2</v>
      </c>
      <c r="B16" s="259" t="s">
        <v>219</v>
      </c>
      <c r="C16" s="259" t="s">
        <v>115</v>
      </c>
      <c r="D16" s="259" t="s">
        <v>116</v>
      </c>
      <c r="E16" s="259" t="s">
        <v>117</v>
      </c>
      <c r="F16" s="277" t="s">
        <v>79</v>
      </c>
      <c r="G16" s="259" t="s">
        <v>118</v>
      </c>
      <c r="H16" s="259" t="s">
        <v>259</v>
      </c>
      <c r="I16" s="423" t="s">
        <v>260</v>
      </c>
      <c r="J16" s="261" t="s">
        <v>261</v>
      </c>
      <c r="K16" s="261" t="s">
        <v>261</v>
      </c>
      <c r="L16" s="261" t="s">
        <v>126</v>
      </c>
      <c r="M16" s="261" t="s">
        <v>256</v>
      </c>
      <c r="N16" s="261" t="s">
        <v>257</v>
      </c>
      <c r="O16" s="64" t="s">
        <v>86</v>
      </c>
      <c r="P16" s="53">
        <f>+(P17*Q16)</f>
        <v>0.125</v>
      </c>
      <c r="Q16" s="71">
        <f t="shared" si="0"/>
        <v>0.5</v>
      </c>
      <c r="R16" s="43"/>
      <c r="S16" s="43"/>
      <c r="T16" s="43"/>
      <c r="U16" s="43"/>
      <c r="V16" s="43"/>
      <c r="W16" s="43"/>
      <c r="X16" s="43">
        <v>0.5</v>
      </c>
      <c r="Y16" s="43"/>
      <c r="Z16" s="44"/>
      <c r="AA16" s="44"/>
      <c r="AB16" s="44"/>
      <c r="AC16" s="44"/>
      <c r="AD16" s="44"/>
      <c r="AE16" s="362"/>
      <c r="AF16" s="366" t="s">
        <v>262</v>
      </c>
      <c r="AG16" s="342"/>
      <c r="AH16" s="342"/>
    </row>
    <row r="17" spans="1:34" ht="37.15" customHeight="1" thickBot="1" x14ac:dyDescent="0.4">
      <c r="A17" s="260"/>
      <c r="B17" s="260"/>
      <c r="C17" s="260"/>
      <c r="D17" s="260"/>
      <c r="E17" s="260"/>
      <c r="F17" s="278"/>
      <c r="G17" s="260"/>
      <c r="H17" s="260"/>
      <c r="I17" s="424"/>
      <c r="J17" s="266"/>
      <c r="K17" s="266"/>
      <c r="L17" s="266"/>
      <c r="M17" s="266"/>
      <c r="N17" s="266"/>
      <c r="O17" s="64" t="s">
        <v>89</v>
      </c>
      <c r="P17" s="52">
        <f>100%/4</f>
        <v>0.25</v>
      </c>
      <c r="Q17" s="71">
        <f t="shared" si="0"/>
        <v>1</v>
      </c>
      <c r="R17" s="42"/>
      <c r="S17" s="42"/>
      <c r="T17" s="42"/>
      <c r="U17" s="42"/>
      <c r="V17" s="42"/>
      <c r="W17" s="42"/>
      <c r="X17" s="42">
        <v>0.5</v>
      </c>
      <c r="Y17" s="42"/>
      <c r="Z17" s="42"/>
      <c r="AA17" s="42"/>
      <c r="AB17" s="42"/>
      <c r="AC17" s="42"/>
      <c r="AD17" s="42">
        <v>0.5</v>
      </c>
      <c r="AE17" s="363"/>
      <c r="AF17" s="367"/>
      <c r="AG17" s="343"/>
      <c r="AH17" s="343"/>
    </row>
    <row r="18" spans="1:34" ht="37.15" customHeight="1" thickBot="1" x14ac:dyDescent="0.4">
      <c r="A18" s="259">
        <v>3</v>
      </c>
      <c r="B18" s="259" t="s">
        <v>219</v>
      </c>
      <c r="C18" s="259" t="s">
        <v>115</v>
      </c>
      <c r="D18" s="259" t="s">
        <v>116</v>
      </c>
      <c r="E18" s="259" t="s">
        <v>117</v>
      </c>
      <c r="F18" s="277" t="s">
        <v>79</v>
      </c>
      <c r="G18" s="259" t="s">
        <v>118</v>
      </c>
      <c r="H18" s="259" t="s">
        <v>263</v>
      </c>
      <c r="I18" s="259" t="s">
        <v>264</v>
      </c>
      <c r="J18" s="259" t="s">
        <v>265</v>
      </c>
      <c r="K18" s="259" t="s">
        <v>266</v>
      </c>
      <c r="L18" s="261" t="s">
        <v>126</v>
      </c>
      <c r="M18" s="261" t="s">
        <v>256</v>
      </c>
      <c r="N18" s="261" t="s">
        <v>267</v>
      </c>
      <c r="O18" s="64" t="s">
        <v>86</v>
      </c>
      <c r="P18" s="53">
        <f>+(P19*Q18)</f>
        <v>0.125</v>
      </c>
      <c r="Q18" s="71">
        <f t="shared" si="0"/>
        <v>0.5</v>
      </c>
      <c r="R18" s="43"/>
      <c r="S18" s="43"/>
      <c r="T18" s="43"/>
      <c r="U18" s="43"/>
      <c r="V18" s="43"/>
      <c r="W18" s="43"/>
      <c r="X18" s="43">
        <v>0.5</v>
      </c>
      <c r="Y18" s="43"/>
      <c r="Z18" s="44"/>
      <c r="AA18" s="44"/>
      <c r="AB18" s="44"/>
      <c r="AC18" s="44"/>
      <c r="AD18" s="44"/>
      <c r="AE18" s="362"/>
      <c r="AF18" s="366" t="s">
        <v>268</v>
      </c>
      <c r="AG18" s="342"/>
      <c r="AH18" s="342"/>
    </row>
    <row r="19" spans="1:34" ht="37.15" customHeight="1" thickBot="1" x14ac:dyDescent="0.4">
      <c r="A19" s="260"/>
      <c r="B19" s="260"/>
      <c r="C19" s="260"/>
      <c r="D19" s="260"/>
      <c r="E19" s="260"/>
      <c r="F19" s="278"/>
      <c r="G19" s="260"/>
      <c r="H19" s="260"/>
      <c r="I19" s="260"/>
      <c r="J19" s="260"/>
      <c r="K19" s="260"/>
      <c r="L19" s="266"/>
      <c r="M19" s="266"/>
      <c r="N19" s="266"/>
      <c r="O19" s="64" t="s">
        <v>89</v>
      </c>
      <c r="P19" s="52">
        <f>100%/4</f>
        <v>0.25</v>
      </c>
      <c r="Q19" s="71">
        <f t="shared" si="0"/>
        <v>1</v>
      </c>
      <c r="R19" s="42"/>
      <c r="S19" s="42"/>
      <c r="T19" s="42"/>
      <c r="U19" s="42"/>
      <c r="V19" s="42"/>
      <c r="W19" s="42"/>
      <c r="X19" s="42">
        <v>0.5</v>
      </c>
      <c r="Y19" s="42"/>
      <c r="Z19" s="42"/>
      <c r="AA19" s="42"/>
      <c r="AB19" s="42"/>
      <c r="AC19" s="42"/>
      <c r="AD19" s="42">
        <v>0.5</v>
      </c>
      <c r="AE19" s="363"/>
      <c r="AF19" s="367"/>
      <c r="AG19" s="343"/>
      <c r="AH19" s="343"/>
    </row>
    <row r="20" spans="1:34" ht="37.15" customHeight="1" thickBot="1" x14ac:dyDescent="0.4">
      <c r="A20" s="259">
        <v>4</v>
      </c>
      <c r="B20" s="259" t="s">
        <v>219</v>
      </c>
      <c r="C20" s="259" t="s">
        <v>115</v>
      </c>
      <c r="D20" s="259" t="s">
        <v>116</v>
      </c>
      <c r="E20" s="259" t="s">
        <v>117</v>
      </c>
      <c r="F20" s="277" t="s">
        <v>79</v>
      </c>
      <c r="G20" s="259" t="s">
        <v>118</v>
      </c>
      <c r="H20" s="259" t="s">
        <v>269</v>
      </c>
      <c r="I20" s="259" t="s">
        <v>270</v>
      </c>
      <c r="J20" s="259" t="s">
        <v>271</v>
      </c>
      <c r="K20" s="259" t="s">
        <v>271</v>
      </c>
      <c r="L20" s="261" t="s">
        <v>272</v>
      </c>
      <c r="M20" s="261" t="s">
        <v>273</v>
      </c>
      <c r="N20" s="261" t="s">
        <v>257</v>
      </c>
      <c r="O20" s="64" t="s">
        <v>86</v>
      </c>
      <c r="P20" s="53">
        <f>+(P21*Q20)</f>
        <v>0</v>
      </c>
      <c r="Q20" s="71">
        <f t="shared" si="0"/>
        <v>0</v>
      </c>
      <c r="R20" s="43"/>
      <c r="S20" s="43"/>
      <c r="T20" s="43"/>
      <c r="U20" s="43"/>
      <c r="V20" s="43"/>
      <c r="W20" s="43"/>
      <c r="X20" s="43"/>
      <c r="Y20" s="43"/>
      <c r="Z20" s="44"/>
      <c r="AA20" s="44"/>
      <c r="AB20" s="44"/>
      <c r="AC20" s="44"/>
      <c r="AD20" s="44"/>
      <c r="AE20" s="362"/>
      <c r="AF20" s="366"/>
      <c r="AG20" s="342"/>
      <c r="AH20" s="342"/>
    </row>
    <row r="21" spans="1:34" ht="37.15" customHeight="1" x14ac:dyDescent="0.35">
      <c r="A21" s="260"/>
      <c r="B21" s="260"/>
      <c r="C21" s="260"/>
      <c r="D21" s="260"/>
      <c r="E21" s="260"/>
      <c r="F21" s="278"/>
      <c r="G21" s="260"/>
      <c r="H21" s="260"/>
      <c r="I21" s="260"/>
      <c r="J21" s="260"/>
      <c r="K21" s="260"/>
      <c r="L21" s="266"/>
      <c r="M21" s="266"/>
      <c r="N21" s="266"/>
      <c r="O21" s="64" t="s">
        <v>89</v>
      </c>
      <c r="P21" s="52">
        <f>100%/4</f>
        <v>0.25</v>
      </c>
      <c r="Q21" s="71">
        <f t="shared" si="0"/>
        <v>1</v>
      </c>
      <c r="R21" s="42"/>
      <c r="S21" s="42"/>
      <c r="T21" s="42"/>
      <c r="U21" s="42"/>
      <c r="V21" s="42"/>
      <c r="W21" s="42"/>
      <c r="X21" s="42"/>
      <c r="Y21" s="42"/>
      <c r="Z21" s="42"/>
      <c r="AA21" s="42"/>
      <c r="AB21" s="42"/>
      <c r="AC21" s="42"/>
      <c r="AD21" s="42">
        <v>1</v>
      </c>
      <c r="AE21" s="363"/>
      <c r="AF21" s="367"/>
      <c r="AG21" s="343"/>
      <c r="AH21" s="343"/>
    </row>
    <row r="23" spans="1:34" s="13" customFormat="1" ht="30" hidden="1" customHeight="1" x14ac:dyDescent="0.35">
      <c r="D23" s="249" t="s">
        <v>32</v>
      </c>
      <c r="E23" s="249"/>
      <c r="F23" s="21">
        <v>1</v>
      </c>
      <c r="H23" s="253" t="s">
        <v>129</v>
      </c>
      <c r="I23" s="22" t="s">
        <v>130</v>
      </c>
      <c r="J23" s="54" t="e">
        <f>SUM(O23:AC23)</f>
        <v>#REF!</v>
      </c>
      <c r="K23" s="33"/>
      <c r="L23" s="33"/>
      <c r="M23" s="33"/>
      <c r="N23" s="33"/>
      <c r="O23" s="33" t="e">
        <f>+(AC14*$P$15)+(AC16*$P$17)+(AC18*$P$19)+(AC20*$P$21)+(#REF!*#REF!)+(#REF!*#REF!)+(#REF!*#REF!)+(#REF!*#REF!)+(#REF!*#REF!)+(#REF!*#REF!)+(#REF!*#REF!)+(#REF!*#REF!)+(#REF!*#REF!)</f>
        <v>#REF!</v>
      </c>
      <c r="P23" s="36" t="e">
        <f>+(#REF!*$P$15)+(#REF!*$P$17)+(#REF!*$P$19)+(#REF!*$P$21)+(#REF!*#REF!)+(#REF!*#REF!)+(#REF!*#REF!)+(#REF!*#REF!)+(#REF!*#REF!)+(#REF!*#REF!)+(#REF!*#REF!)+(#REF!*#REF!)+(#REF!*#REF!)</f>
        <v>#REF!</v>
      </c>
      <c r="Q23" s="33" t="e">
        <f>+(#REF!*$P$15)+(#REF!*$P$17)+(#REF!*$P$19)+(#REF!*$P$21)+(#REF!*#REF!)+(#REF!*#REF!)+(#REF!*#REF!)+(#REF!*#REF!)+(#REF!*#REF!)+(#REF!*#REF!)+(#REF!*#REF!)+(#REF!*#REF!)+(#REF!*#REF!)</f>
        <v>#REF!</v>
      </c>
      <c r="R23" s="33" t="e">
        <f>+(#REF!*$P$15)+(#REF!*$P$17)+(#REF!*$P$19)+(#REF!*$P$21)+(#REF!*#REF!)+(#REF!*#REF!)+(#REF!*#REF!)+(#REF!*#REF!)+(#REF!*#REF!)+(#REF!*#REF!)+(#REF!*#REF!)+(#REF!*#REF!)+(#REF!*#REF!)</f>
        <v>#REF!</v>
      </c>
      <c r="S23" s="33" t="e">
        <f>+(#REF!*$P$15)+(#REF!*$P$17)+(#REF!*$P$19)+(#REF!*$P$21)+(#REF!*#REF!)+(#REF!*#REF!)+(#REF!*#REF!)+(#REF!*#REF!)+(#REF!*#REF!)+(#REF!*#REF!)+(#REF!*#REF!)+(#REF!*#REF!)+(#REF!*#REF!)</f>
        <v>#REF!</v>
      </c>
      <c r="T23" s="33" t="e">
        <f>+(#REF!*$P$15)+(#REF!*$P$17)+(#REF!*$P$19)+(#REF!*$P$21)+(#REF!*#REF!)+(#REF!*#REF!)+(#REF!*#REF!)+(#REF!*#REF!)+(#REF!*#REF!)+(#REF!*#REF!)+(#REF!*#REF!)+(#REF!*#REF!)+(#REF!*#REF!)</f>
        <v>#REF!</v>
      </c>
      <c r="U23" s="33" t="e">
        <f>+(#REF!*$P$15)+(#REF!*$P$17)+(#REF!*$P$19)+(#REF!*$P$21)+(#REF!*#REF!)+(#REF!*#REF!)+(#REF!*#REF!)+(#REF!*#REF!)+(#REF!*#REF!)+(#REF!*#REF!)+(#REF!*#REF!)+(#REF!*#REF!)+(#REF!*#REF!)</f>
        <v>#REF!</v>
      </c>
      <c r="V23" s="33" t="e">
        <f>+(#REF!*$P$15)+(#REF!*$P$17)+(#REF!*$P$19)+(#REF!*$P$21)+(#REF!*#REF!)+(#REF!*#REF!)+(#REF!*#REF!)+(#REF!*#REF!)+(#REF!*#REF!)+(#REF!*#REF!)+(#REF!*#REF!)+(#REF!*#REF!)+(#REF!*#REF!)</f>
        <v>#REF!</v>
      </c>
      <c r="W23" s="33" t="e">
        <f>+(#REF!*$P$15)+(#REF!*$P$17)+(#REF!*$P$19)+(#REF!*$P$21)+(#REF!*#REF!)+(#REF!*#REF!)+(#REF!*#REF!)+(#REF!*#REF!)+(#REF!*#REF!)+(#REF!*#REF!)+(#REF!*#REF!)+(#REF!*#REF!)+(#REF!*#REF!)</f>
        <v>#REF!</v>
      </c>
      <c r="X23" s="33" t="e">
        <f>+(#REF!*$P$15)+(#REF!*$P$17)+(#REF!*$P$19)+(#REF!*$P$21)+(#REF!*#REF!)+(#REF!*#REF!)+(#REF!*#REF!)+(#REF!*#REF!)+(#REF!*#REF!)+(#REF!*#REF!)+(#REF!*#REF!)+(#REF!*#REF!)+(#REF!*#REF!)</f>
        <v>#REF!</v>
      </c>
      <c r="Y23" s="33" t="e">
        <f>+(#REF!*$P$15)+(#REF!*$P$17)+(#REF!*$P$19)+(#REF!*$P$21)+(#REF!*#REF!)+(#REF!*#REF!)+(#REF!*#REF!)+(#REF!*#REF!)+(#REF!*#REF!)+(#REF!*#REF!)+(#REF!*#REF!)+(#REF!*#REF!)+(#REF!*#REF!)</f>
        <v>#REF!</v>
      </c>
      <c r="Z23" s="33" t="e">
        <f>+(#REF!*$P$15)+(#REF!*$P$17)+(#REF!*$P$19)+(#REF!*$P$21)+(#REF!*#REF!)+(#REF!*#REF!)+(#REF!*#REF!)+(#REF!*#REF!)+(#REF!*#REF!)+(#REF!*#REF!)+(#REF!*#REF!)+(#REF!*#REF!)+(#REF!*#REF!)</f>
        <v>#REF!</v>
      </c>
      <c r="AA23" s="33" t="e">
        <f>+(#REF!*$P$15)+(#REF!*$P$17)+(#REF!*$P$19)+(#REF!*$P$21)+(#REF!*#REF!)+(#REF!*#REF!)+(#REF!*#REF!)+(#REF!*#REF!)+(#REF!*#REF!)+(#REF!*#REF!)+(#REF!*#REF!)+(#REF!*#REF!)+(#REF!*#REF!)</f>
        <v>#REF!</v>
      </c>
      <c r="AB23" s="36" t="e">
        <f>+(#REF!*$P$15)+(#REF!*$P$17)+(#REF!*$P$19)+(#REF!*$P$21)+(#REF!*#REF!)+(#REF!*#REF!)+(#REF!*#REF!)+(#REF!*#REF!)+(#REF!*#REF!)+(#REF!*#REF!)+(#REF!*#REF!)+(#REF!*#REF!)+(#REF!*#REF!)</f>
        <v>#REF!</v>
      </c>
      <c r="AC23" s="33" t="e">
        <f>+(#REF!*$P$15)+(#REF!*$P$17)+(#REF!*$P$19)+(#REF!*$P$21)+(#REF!*#REF!)+(#REF!*#REF!)+(#REF!*#REF!)+(#REF!*#REF!)+(#REF!*#REF!)+(#REF!*#REF!)+(#REF!*#REF!)+(#REF!*#REF!)+(#REF!*#REF!)</f>
        <v>#REF!</v>
      </c>
      <c r="AD23" s="66"/>
    </row>
    <row r="24" spans="1:34" s="13" customFormat="1" ht="30" hidden="1" customHeight="1" x14ac:dyDescent="0.35">
      <c r="D24" s="249"/>
      <c r="E24" s="249"/>
      <c r="F24" s="21"/>
      <c r="H24" s="254"/>
      <c r="I24" s="15" t="s">
        <v>131</v>
      </c>
      <c r="J24" s="17"/>
      <c r="K24" s="34"/>
      <c r="L24" s="34"/>
      <c r="M24" s="34"/>
      <c r="N24" s="34"/>
      <c r="O24" s="34" t="e">
        <f>SUM(O23:O23)</f>
        <v>#REF!</v>
      </c>
      <c r="P24" s="37"/>
      <c r="Q24" s="34"/>
      <c r="R24" s="34"/>
      <c r="S24" s="27" t="e">
        <f>SUM(P23:S23)</f>
        <v>#REF!</v>
      </c>
      <c r="T24" s="27"/>
      <c r="U24" s="27"/>
      <c r="V24" s="27"/>
      <c r="W24" s="27" t="e">
        <f>SUM(T23:W23)</f>
        <v>#REF!</v>
      </c>
      <c r="X24" s="27"/>
      <c r="Y24" s="27"/>
      <c r="Z24" s="27"/>
      <c r="AA24" s="27" t="e">
        <f>SUM(X23:AA23)</f>
        <v>#REF!</v>
      </c>
      <c r="AB24" s="39"/>
      <c r="AC24" s="27"/>
      <c r="AD24" s="67"/>
    </row>
    <row r="25" spans="1:34" s="13" customFormat="1" ht="30" hidden="1" customHeight="1" x14ac:dyDescent="0.35">
      <c r="H25" s="254"/>
      <c r="I25" s="15" t="s">
        <v>132</v>
      </c>
      <c r="J25" s="14"/>
      <c r="K25" s="34"/>
      <c r="L25" s="34"/>
      <c r="M25" s="34"/>
      <c r="N25" s="34"/>
      <c r="O25" s="34" t="e">
        <f>+#REF!+O24</f>
        <v>#REF!</v>
      </c>
      <c r="P25" s="37"/>
      <c r="Q25" s="34"/>
      <c r="R25" s="34"/>
      <c r="S25" s="26"/>
      <c r="T25" s="27"/>
      <c r="U25" s="27"/>
      <c r="V25" s="27"/>
      <c r="W25" s="27"/>
      <c r="X25" s="27"/>
      <c r="Y25" s="27"/>
      <c r="Z25" s="27"/>
      <c r="AA25" s="27" t="e">
        <f>+S24+W24+AA24</f>
        <v>#REF!</v>
      </c>
      <c r="AB25" s="39"/>
      <c r="AC25" s="27"/>
      <c r="AD25" s="67"/>
    </row>
    <row r="26" spans="1:34" s="13" customFormat="1" ht="30" hidden="1" customHeight="1" x14ac:dyDescent="0.35">
      <c r="H26" s="255"/>
      <c r="I26" s="18" t="s">
        <v>133</v>
      </c>
      <c r="J26" s="19"/>
      <c r="K26" s="35"/>
      <c r="L26" s="35"/>
      <c r="M26" s="35"/>
      <c r="N26" s="35"/>
      <c r="O26" s="35"/>
      <c r="P26" s="38"/>
      <c r="Q26" s="35"/>
      <c r="R26" s="35"/>
      <c r="S26" s="28"/>
      <c r="T26" s="29"/>
      <c r="U26" s="29"/>
      <c r="V26" s="29"/>
      <c r="W26" s="29"/>
      <c r="X26" s="29"/>
      <c r="Y26" s="29"/>
      <c r="Z26" s="29"/>
      <c r="AA26" s="29" t="e">
        <f>+O25+AA25</f>
        <v>#REF!</v>
      </c>
      <c r="AB26" s="40"/>
      <c r="AC26" s="29"/>
      <c r="AD26" s="67"/>
    </row>
    <row r="27" spans="1:34" s="13" customFormat="1" ht="30" hidden="1" customHeight="1" x14ac:dyDescent="0.35">
      <c r="H27" s="256" t="s">
        <v>134</v>
      </c>
      <c r="I27" s="15" t="s">
        <v>135</v>
      </c>
      <c r="J27" s="23" t="e">
        <f>SUM(O27:AC27)</f>
        <v>#REF!</v>
      </c>
      <c r="K27" s="34"/>
      <c r="L27" s="34"/>
      <c r="M27" s="34"/>
      <c r="N27" s="34"/>
      <c r="O27" s="34" t="e">
        <f>+(AC15*$P$15)+(AC17*$P$17)+(AC19*$P$19)+(AC21*$P$21)+(#REF!*#REF!)+(#REF!*#REF!)+(#REF!*#REF!)+(#REF!*#REF!)+(#REF!*#REF!)+(#REF!*#REF!)+(#REF!*#REF!)+(#REF!*#REF!)+(#REF!*#REF!)</f>
        <v>#REF!</v>
      </c>
      <c r="P27" s="37" t="e">
        <f>+(#REF!*$P$15)+(#REF!*$P$17)+(#REF!*$P$19)+(#REF!*$P$21)+(#REF!*#REF!)+(#REF!*#REF!)+(#REF!*#REF!)+(#REF!*#REF!)+(#REF!*#REF!)+(#REF!*#REF!)+(#REF!*#REF!)+(#REF!*#REF!)+(#REF!*#REF!)</f>
        <v>#REF!</v>
      </c>
      <c r="Q27" s="34" t="e">
        <f>+(#REF!*$P$15)+(#REF!*$P$17)+(#REF!*$P$19)+(#REF!*$P$21)+(#REF!*#REF!)+(#REF!*#REF!)+(#REF!*#REF!)+(#REF!*#REF!)+(#REF!*#REF!)+(#REF!*#REF!)+(#REF!*#REF!)+(#REF!*#REF!)+(#REF!*#REF!)</f>
        <v>#REF!</v>
      </c>
      <c r="R27" s="34" t="e">
        <f>+(#REF!*$P$15)+(#REF!*$P$17)+(#REF!*$P$19)+(#REF!*$P$21)+(#REF!*#REF!)+(#REF!*#REF!)+(#REF!*#REF!)+(#REF!*#REF!)+(#REF!*#REF!)+(#REF!*#REF!)+(#REF!*#REF!)+(#REF!*#REF!)+(#REF!*#REF!)</f>
        <v>#REF!</v>
      </c>
      <c r="S27" s="34" t="e">
        <f>+(#REF!*$P$15)+(#REF!*$P$17)+(#REF!*$P$19)+(#REF!*$P$21)+(#REF!*#REF!)+(#REF!*#REF!)+(#REF!*#REF!)+(#REF!*#REF!)+(#REF!*#REF!)+(#REF!*#REF!)+(#REF!*#REF!)+(#REF!*#REF!)+(#REF!*#REF!)</f>
        <v>#REF!</v>
      </c>
      <c r="T27" s="34" t="e">
        <f>+(#REF!*$P$15)+(#REF!*$P$17)+(#REF!*$P$19)+(#REF!*$P$21)+(#REF!*#REF!)+(#REF!*#REF!)+(#REF!*#REF!)+(#REF!*#REF!)+(#REF!*#REF!)+(#REF!*#REF!)+(#REF!*#REF!)+(#REF!*#REF!)+(#REF!*#REF!)</f>
        <v>#REF!</v>
      </c>
      <c r="U27" s="34" t="e">
        <f>+(#REF!*$P$15)+(#REF!*$P$17)+(#REF!*$P$19)+(#REF!*$P$21)+(#REF!*#REF!)+(#REF!*#REF!)+(#REF!*#REF!)+(#REF!*#REF!)+(#REF!*#REF!)+(#REF!*#REF!)+(#REF!*#REF!)+(#REF!*#REF!)+(#REF!*#REF!)</f>
        <v>#REF!</v>
      </c>
      <c r="V27" s="34" t="e">
        <f>+(#REF!*$P$15)+(#REF!*$P$17)+(#REF!*$P$19)+(#REF!*$P$21)+(#REF!*#REF!)+(#REF!*#REF!)+(#REF!*#REF!)+(#REF!*#REF!)+(#REF!*#REF!)+(#REF!*#REF!)+(#REF!*#REF!)+(#REF!*#REF!)+(#REF!*#REF!)</f>
        <v>#REF!</v>
      </c>
      <c r="W27" s="34" t="e">
        <f>+(#REF!*$P$15)+(#REF!*$P$17)+(#REF!*$P$19)+(#REF!*$P$21)+(#REF!*#REF!)+(#REF!*#REF!)+(#REF!*#REF!)+(#REF!*#REF!)+(#REF!*#REF!)+(#REF!*#REF!)+(#REF!*#REF!)+(#REF!*#REF!)+(#REF!*#REF!)</f>
        <v>#REF!</v>
      </c>
      <c r="X27" s="34" t="e">
        <f>+(#REF!*$P$15)+(#REF!*$P$17)+(#REF!*$P$19)+(#REF!*$P$21)+(#REF!*#REF!)+(#REF!*#REF!)+(#REF!*#REF!)+(#REF!*#REF!)+(#REF!*#REF!)+(#REF!*#REF!)+(#REF!*#REF!)+(#REF!*#REF!)+(#REF!*#REF!)</f>
        <v>#REF!</v>
      </c>
      <c r="Y27" s="34" t="e">
        <f>+(#REF!*$P$15)+(#REF!*$P$17)+(#REF!*$P$19)+(#REF!*$P$21)+(#REF!*#REF!)+(#REF!*#REF!)+(#REF!*#REF!)+(#REF!*#REF!)+(#REF!*#REF!)+(#REF!*#REF!)+(#REF!*#REF!)+(#REF!*#REF!)+(#REF!*#REF!)</f>
        <v>#REF!</v>
      </c>
      <c r="Z27" s="34" t="e">
        <f>+(#REF!*$P$15)+(#REF!*$P$17)+(#REF!*$P$19)+(#REF!*$P$21)+(#REF!*#REF!)+(#REF!*#REF!)+(#REF!*#REF!)+(#REF!*#REF!)+(#REF!*#REF!)+(#REF!*#REF!)+(#REF!*#REF!)+(#REF!*#REF!)+(#REF!*#REF!)</f>
        <v>#REF!</v>
      </c>
      <c r="AA27" s="34" t="e">
        <f>+(#REF!*$P$15)+(#REF!*$P$17)+(#REF!*$P$19)+(#REF!*$P$21)+(#REF!*#REF!)+(#REF!*#REF!)+(#REF!*#REF!)+(#REF!*#REF!)+(#REF!*#REF!)+(#REF!*#REF!)+(#REF!*#REF!)+(#REF!*#REF!)+(#REF!*#REF!)</f>
        <v>#REF!</v>
      </c>
      <c r="AB27" s="37" t="e">
        <f>+(#REF!*$P$15)+(#REF!*$P$17)+(#REF!*$P$19)+(#REF!*$P$21)+(#REF!*#REF!)+(#REF!*#REF!)+(#REF!*#REF!)+(#REF!*#REF!)+(#REF!*#REF!)+(#REF!*#REF!)+(#REF!*#REF!)+(#REF!*#REF!)+(#REF!*#REF!)</f>
        <v>#REF!</v>
      </c>
      <c r="AC27" s="34" t="e">
        <f>+(#REF!*$P$15)+(#REF!*$P$17)+(#REF!*$P$19)+(#REF!*$P$21)+(#REF!*#REF!)+(#REF!*#REF!)+(#REF!*#REF!)+(#REF!*#REF!)+(#REF!*#REF!)+(#REF!*#REF!)+(#REF!*#REF!)+(#REF!*#REF!)+(#REF!*#REF!)</f>
        <v>#REF!</v>
      </c>
      <c r="AD27" s="66"/>
    </row>
    <row r="28" spans="1:34" s="13" customFormat="1" ht="30" hidden="1" customHeight="1" x14ac:dyDescent="0.35">
      <c r="H28" s="254"/>
      <c r="I28" s="15" t="s">
        <v>136</v>
      </c>
      <c r="J28" s="16"/>
      <c r="K28" s="34"/>
      <c r="L28" s="34"/>
      <c r="M28" s="34"/>
      <c r="N28" s="34"/>
      <c r="O28" s="34" t="e">
        <f>SUM(O27:O27)</f>
        <v>#REF!</v>
      </c>
      <c r="P28" s="37"/>
      <c r="Q28" s="34"/>
      <c r="R28" s="34"/>
      <c r="S28" s="34" t="e">
        <f>SUM(P27:S27)</f>
        <v>#REF!</v>
      </c>
      <c r="T28" s="34"/>
      <c r="U28" s="34"/>
      <c r="V28" s="34"/>
      <c r="W28" s="34" t="e">
        <f>SUM(T27:W27)</f>
        <v>#REF!</v>
      </c>
      <c r="X28" s="34"/>
      <c r="Y28" s="34"/>
      <c r="Z28" s="34"/>
      <c r="AA28" s="34" t="e">
        <f>SUM(X27:AA27)</f>
        <v>#REF!</v>
      </c>
      <c r="AB28" s="37"/>
      <c r="AC28" s="34"/>
      <c r="AD28" s="66"/>
    </row>
    <row r="29" spans="1:34" s="13" customFormat="1" ht="30" hidden="1" customHeight="1" x14ac:dyDescent="0.35">
      <c r="H29" s="254"/>
      <c r="I29" s="15" t="s">
        <v>137</v>
      </c>
      <c r="J29" s="14"/>
      <c r="K29" s="34"/>
      <c r="L29" s="34"/>
      <c r="M29" s="34"/>
      <c r="N29" s="34"/>
      <c r="O29" s="34" t="e">
        <f>+#REF!+O28</f>
        <v>#REF!</v>
      </c>
      <c r="P29" s="37"/>
      <c r="Q29" s="34"/>
      <c r="R29" s="34"/>
      <c r="S29" s="26"/>
      <c r="T29" s="27"/>
      <c r="U29" s="27"/>
      <c r="V29" s="27"/>
      <c r="W29" s="27"/>
      <c r="X29" s="27"/>
      <c r="Y29" s="27"/>
      <c r="Z29" s="27"/>
      <c r="AA29" s="27" t="e">
        <f>+S28+W28+AA28</f>
        <v>#REF!</v>
      </c>
      <c r="AB29" s="39"/>
      <c r="AC29" s="27"/>
      <c r="AD29" s="67"/>
    </row>
    <row r="30" spans="1:34" s="13" customFormat="1" ht="30" hidden="1" customHeight="1" x14ac:dyDescent="0.35">
      <c r="H30" s="255"/>
      <c r="I30" s="20" t="s">
        <v>138</v>
      </c>
      <c r="J30" s="19"/>
      <c r="K30" s="35"/>
      <c r="L30" s="35"/>
      <c r="M30" s="35"/>
      <c r="N30" s="35"/>
      <c r="O30" s="35"/>
      <c r="P30" s="38"/>
      <c r="Q30" s="35"/>
      <c r="R30" s="35"/>
      <c r="S30" s="28"/>
      <c r="T30" s="29"/>
      <c r="U30" s="29"/>
      <c r="V30" s="29"/>
      <c r="W30" s="29"/>
      <c r="X30" s="29"/>
      <c r="Y30" s="29"/>
      <c r="Z30" s="29"/>
      <c r="AA30" s="29" t="e">
        <f>+O29+AA29</f>
        <v>#REF!</v>
      </c>
      <c r="AB30" s="40"/>
      <c r="AC30" s="41"/>
      <c r="AD30" s="67"/>
    </row>
    <row r="31" spans="1:34" ht="30" hidden="1" customHeight="1" x14ac:dyDescent="0.35">
      <c r="H31" s="24"/>
      <c r="I31" s="251" t="s">
        <v>139</v>
      </c>
      <c r="J31" s="251"/>
      <c r="K31" s="46"/>
      <c r="L31" s="46"/>
      <c r="M31" s="46"/>
      <c r="N31" s="46"/>
      <c r="O31" s="47" t="e">
        <f>+(#REF!+#REF!+#REF!+#REF!+#REF!+#REF!+#REF!+O23)/(#REF!+#REF!+#REF!+#REF!+#REF!+#REF!+#REF!+O27)</f>
        <v>#REF!</v>
      </c>
      <c r="P31" s="48" t="e">
        <f>+(#REF!+#REF!+#REF!+#REF!+#REF!+#REF!+#REF!+O23+P23)/(#REF!+#REF!+#REF!+#REF!+#REF!+#REF!+#REF!+O27+P27)</f>
        <v>#REF!</v>
      </c>
      <c r="Q31" s="46" t="e">
        <f>+(#REF!+#REF!+#REF!+#REF!+#REF!+#REF!+#REF!+O23+P23+Q23)/(#REF!+#REF!+#REF!+#REF!+#REF!+#REF!+#REF!+O27+P27+Q27)</f>
        <v>#REF!</v>
      </c>
      <c r="R31" s="46" t="e">
        <f>+(#REF!+#REF!+#REF!+#REF!+#REF!+#REF!+#REF!+O23+P23+Q23+R23)/(#REF!+#REF!+#REF!+#REF!+#REF!+#REF!+#REF!+O27+P27+Q27+R27)</f>
        <v>#REF!</v>
      </c>
      <c r="S31" s="47" t="e">
        <f>+(#REF!+#REF!+#REF!+#REF!+#REF!+#REF!+#REF!+O23+P23+Q23+R23+S23)/(#REF!+#REF!+#REF!+#REF!+#REF!+#REF!+#REF!+O27+P27+Q27+R27+S27)</f>
        <v>#REF!</v>
      </c>
      <c r="T31" s="46" t="e">
        <f>+(#REF!+#REF!+#REF!+#REF!+#REF!+#REF!+#REF!+O23+P23+Q23+R23+S23+T23)/(#REF!+#REF!+#REF!+#REF!+#REF!+#REF!+#REF!+O27+P27+Q27+R27+S27+T27)</f>
        <v>#REF!</v>
      </c>
      <c r="U31" s="46" t="e">
        <f>+(#REF!+#REF!+#REF!+#REF!+#REF!+#REF!+#REF!+O23+P23+Q23+R23+S23+T23+U23)/(#REF!+#REF!+#REF!+#REF!+#REF!+#REF!+#REF!+O27+P27+Q27+R27+S27+T27+U27)</f>
        <v>#REF!</v>
      </c>
      <c r="V31" s="46" t="e">
        <f>+(#REF!+#REF!+#REF!+#REF!+#REF!+#REF!+#REF!+O23+P23+Q23+R23+S23+T23+U23+V23)/(#REF!+#REF!+#REF!+#REF!+#REF!+#REF!+#REF!+O27+P27+Q27+R27+S27+T27+U27+V27)</f>
        <v>#REF!</v>
      </c>
      <c r="W31" s="47" t="e">
        <f>+(#REF!+#REF!+#REF!+#REF!+#REF!+#REF!+#REF!+O23+P23+Q23+R23+S23+T23+U23+V23+W23)/(#REF!+#REF!+#REF!+#REF!+#REF!+#REF!+#REF!+O27+P27+Q27+R27+S27+T27+U27+V27+W27)</f>
        <v>#REF!</v>
      </c>
      <c r="X31" s="46" t="e">
        <f>+(#REF!+#REF!+#REF!+#REF!+#REF!+#REF!+#REF!+O23+P23+Q23+R23+S23+T23+U23+V23+W23+X23)/(#REF!+#REF!+#REF!+#REF!+#REF!+#REF!+#REF!+O27+P27+Q27+R27+S27+T27+U27+V27+W27+X27)</f>
        <v>#REF!</v>
      </c>
      <c r="Y31" s="46" t="e">
        <f>+(#REF!+#REF!+#REF!+#REF!+#REF!+#REF!+#REF!+O23+P23+Q23+R23+S23+T23+U23+V23+W23+X23+Y23)/(#REF!+#REF!+#REF!+#REF!+#REF!+#REF!+#REF!+O27+P27+Q27+R27+S27+T27+U27+V27+W27+X27+Y27)</f>
        <v>#REF!</v>
      </c>
      <c r="Z31" s="46" t="e">
        <f>+(#REF!+#REF!+#REF!+#REF!+#REF!+#REF!+#REF!+O23+P23+Q23+R23+S23+T23+U23+V23+W23+X23+Y23+Z23)/(#REF!+#REF!+#REF!+#REF!+#REF!+#REF!+#REF!+O27+P27+Q27+R27+S27+T27+U27+V27+W27+X27+Y27+Z27)</f>
        <v>#REF!</v>
      </c>
      <c r="AA31" s="47" t="e">
        <f>+(#REF!+#REF!+#REF!+#REF!+#REF!+#REF!+#REF!+O23+P23+Q23+R23+S23+T23+U23+V23+W23+X23+Y23+Z23+AA23)/(#REF!+#REF!+#REF!+#REF!+#REF!+#REF!+#REF!+O27+P27+Q27+R27+S27+T27+U27+V27+W27+X27+Y27+Z27+AA27)</f>
        <v>#REF!</v>
      </c>
      <c r="AB31" s="48" t="e">
        <f>+(#REF!+#REF!+#REF!+#REF!+#REF!+#REF!+#REF!+O23+P23+Q23+R23+S23+T23+U23+V23+W23+X23+Y23+Z23+AA23+AB23)/(#REF!+#REF!+#REF!+#REF!+#REF!+#REF!+#REF!+O27+P27+Q27+R27+S27+T27+U27+V27+W27+X27+Y27+Z27+AA27+AB27)</f>
        <v>#REF!</v>
      </c>
      <c r="AC31" s="46" t="e">
        <f>+(#REF!+#REF!+#REF!+#REF!+#REF!+#REF!+#REF!+O23+P23+Q23+R23+S23+T23+U23+V23+W23+X23+Y23+Z23+AA23+AB23+AC23)/(#REF!+#REF!+#REF!+#REF!+#REF!+#REF!+#REF!+O27+P27+Q27+R27+S27+T27+U27+V27+W27+X27+Y27+Z27+AA27+AB27+AC27)</f>
        <v>#REF!</v>
      </c>
      <c r="AD31" s="68"/>
    </row>
    <row r="32" spans="1:34" ht="30" hidden="1" customHeight="1" x14ac:dyDescent="0.35">
      <c r="H32" s="24"/>
      <c r="I32" s="252" t="s">
        <v>140</v>
      </c>
      <c r="J32" s="252"/>
      <c r="K32" s="47"/>
      <c r="L32" s="47"/>
      <c r="M32" s="47"/>
      <c r="N32" s="47"/>
      <c r="O32" s="47" t="e">
        <f>+(#REF!+#REF!+#REF!+#REF!+#REF!+#REF!+#REF!+O23)/$F$23</f>
        <v>#REF!</v>
      </c>
      <c r="P32" s="49" t="e">
        <f>+(#REF!+#REF!+#REF!+#REF!+#REF!+#REF!+#REF!+O23+P23)/$F$23</f>
        <v>#REF!</v>
      </c>
      <c r="Q32" s="47" t="e">
        <f>+(#REF!+#REF!+#REF!+#REF!+#REF!+#REF!+#REF!+O23+P23+Q23)/$F$23</f>
        <v>#REF!</v>
      </c>
      <c r="R32" s="47" t="e">
        <f>+(#REF!+#REF!+#REF!+#REF!+#REF!+#REF!+#REF!+O23+P23+Q23+R23)/$F$23</f>
        <v>#REF!</v>
      </c>
      <c r="S32" s="47" t="e">
        <f>+(#REF!+#REF!+#REF!+#REF!+#REF!+#REF!+#REF!+O23+P23+Q23+R23+S23)/$F$23</f>
        <v>#REF!</v>
      </c>
      <c r="T32" s="47" t="e">
        <f>+(#REF!+#REF!+#REF!+#REF!+#REF!+#REF!+#REF!+O23+P23+Q23+R23+S23+T23)/$F$23</f>
        <v>#REF!</v>
      </c>
      <c r="U32" s="47" t="e">
        <f>+(#REF!+#REF!+#REF!+#REF!+#REF!+#REF!+#REF!+O23+P23+Q23+R23+S23+T23+U23)/$F$23</f>
        <v>#REF!</v>
      </c>
      <c r="V32" s="47" t="e">
        <f>+(#REF!+#REF!+#REF!+#REF!+#REF!+#REF!+#REF!+O23+P23+Q23+R23+S23+T23+U23+V23)/$F$23</f>
        <v>#REF!</v>
      </c>
      <c r="W32" s="47" t="e">
        <f>+(#REF!+#REF!+#REF!+#REF!+#REF!+#REF!+#REF!+O23+P23+Q23+R23+S23+T23+U23+V23+W23)/$F$23</f>
        <v>#REF!</v>
      </c>
      <c r="X32" s="47" t="e">
        <f>+(#REF!+#REF!+#REF!+#REF!+#REF!+#REF!+#REF!+O23+P23+Q23+R23+S23+T23+U23+V23+W23+X23)/$F$23</f>
        <v>#REF!</v>
      </c>
      <c r="Y32" s="47" t="e">
        <f>+(#REF!+#REF!+#REF!+#REF!+#REF!+#REF!+#REF!+O23+P23+Q23+R23+S23+T23+U23+V23+W23+X23+Y23)/$F$23</f>
        <v>#REF!</v>
      </c>
      <c r="Z32" s="47" t="e">
        <f>+(#REF!+#REF!+#REF!+#REF!+#REF!+#REF!+#REF!+O23+P23+Q23+R23+S23+T23+U23+V23+W23+X23+Y23+Z23)/$F$23</f>
        <v>#REF!</v>
      </c>
      <c r="AA32" s="47" t="e">
        <f>+(#REF!+#REF!+#REF!+#REF!+#REF!+#REF!+#REF!+O23+P23+Q23+R23+S23+T23+U23+V23+W23+X23+Y23+Z23+AA23)/$F$23</f>
        <v>#REF!</v>
      </c>
      <c r="AB32" s="49" t="e">
        <f>+(#REF!+#REF!+#REF!+#REF!+#REF!+#REF!+#REF!+O23+P23+Q23+R23+S23+T23+U23+V23+W23+X23+Y23+Z23+AA23+AB23)/$F$23</f>
        <v>#REF!</v>
      </c>
      <c r="AC32" s="47" t="e">
        <f>+(#REF!+#REF!+#REF!+#REF!+#REF!+#REF!+#REF!+O23+P23+Q23+R23+S23+T23+U23+V23+W23+X23+Y23+Z23+AA23+AB23+AC23)/$F$23</f>
        <v>#REF!</v>
      </c>
      <c r="AD32" s="69"/>
    </row>
    <row r="33" spans="8:30" ht="30" hidden="1" customHeight="1" x14ac:dyDescent="0.35">
      <c r="I33" s="251" t="s">
        <v>141</v>
      </c>
      <c r="J33" s="251"/>
      <c r="K33" s="50"/>
      <c r="L33" s="50"/>
      <c r="M33" s="50"/>
      <c r="N33" s="50"/>
      <c r="O33" s="47" t="e">
        <f>+O24/O28</f>
        <v>#REF!</v>
      </c>
      <c r="P33" s="51"/>
      <c r="Q33" s="50"/>
      <c r="R33" s="50"/>
      <c r="S33" s="47" t="e">
        <f>+S24/S28</f>
        <v>#REF!</v>
      </c>
      <c r="T33" s="50"/>
      <c r="U33" s="50"/>
      <c r="V33" s="50"/>
      <c r="W33" s="47" t="e">
        <f>+W24/W28</f>
        <v>#REF!</v>
      </c>
      <c r="X33" s="50"/>
      <c r="Y33" s="50"/>
      <c r="Z33" s="50"/>
      <c r="AA33" s="47" t="e">
        <f>+AA24/AA28</f>
        <v>#REF!</v>
      </c>
      <c r="AB33" s="51"/>
      <c r="AC33" s="50"/>
      <c r="AD33" s="70"/>
    </row>
    <row r="34" spans="8:30" ht="30" hidden="1" customHeight="1" x14ac:dyDescent="0.35">
      <c r="I34" s="252" t="s">
        <v>142</v>
      </c>
      <c r="J34" s="252"/>
      <c r="K34" s="50"/>
      <c r="L34" s="50"/>
      <c r="M34" s="50"/>
      <c r="N34" s="50"/>
      <c r="O34" s="47" t="e">
        <f>+(#REF!+O24)/$F$23</f>
        <v>#REF!</v>
      </c>
      <c r="P34" s="51"/>
      <c r="Q34" s="50"/>
      <c r="R34" s="50"/>
      <c r="S34" s="47" t="e">
        <f>+(#REF!+O24+S24)/$F$23</f>
        <v>#REF!</v>
      </c>
      <c r="T34" s="50"/>
      <c r="U34" s="50"/>
      <c r="V34" s="50"/>
      <c r="W34" s="47" t="e">
        <f>+(#REF!+O24+S24+W24)/$F$23</f>
        <v>#REF!</v>
      </c>
      <c r="X34" s="50"/>
      <c r="Y34" s="50"/>
      <c r="Z34" s="50"/>
      <c r="AA34" s="47" t="e">
        <f>+(#REF!+O24+S24+W24+AA24)/$F$23</f>
        <v>#REF!</v>
      </c>
      <c r="AB34" s="51"/>
      <c r="AC34" s="50"/>
      <c r="AD34" s="70"/>
    </row>
    <row r="35" spans="8:30" ht="30" hidden="1" customHeight="1" x14ac:dyDescent="0.35">
      <c r="I35" s="251" t="s">
        <v>143</v>
      </c>
      <c r="J35" s="251"/>
      <c r="K35" s="50"/>
      <c r="L35" s="50"/>
      <c r="M35" s="50"/>
      <c r="N35" s="50"/>
      <c r="O35" s="47" t="e">
        <f>+(#REF!+O24)/(#REF!+O28)</f>
        <v>#REF!</v>
      </c>
      <c r="P35" s="51"/>
      <c r="Q35" s="50"/>
      <c r="R35" s="50"/>
      <c r="S35" s="50"/>
      <c r="T35" s="50"/>
      <c r="U35" s="50"/>
      <c r="V35" s="50"/>
      <c r="W35" s="50"/>
      <c r="X35" s="50"/>
      <c r="Y35" s="50"/>
      <c r="Z35" s="50"/>
      <c r="AA35" s="47" t="e">
        <f>+(#REF!+O24+S24+W24+AA24)/(#REF!+O28+S28+W28+AA28)</f>
        <v>#REF!</v>
      </c>
      <c r="AB35" s="51"/>
      <c r="AC35" s="50"/>
      <c r="AD35" s="70"/>
    </row>
    <row r="36" spans="8:30" ht="30" hidden="1" customHeight="1" x14ac:dyDescent="0.35">
      <c r="I36" s="251" t="s">
        <v>144</v>
      </c>
      <c r="J36" s="251"/>
      <c r="K36" s="50"/>
      <c r="L36" s="50"/>
      <c r="M36" s="50"/>
      <c r="N36" s="50"/>
      <c r="O36" s="47" t="e">
        <f>+(#REF!+O24)/$F$23</f>
        <v>#REF!</v>
      </c>
      <c r="P36" s="51"/>
      <c r="Q36" s="50"/>
      <c r="R36" s="50"/>
      <c r="S36" s="50"/>
      <c r="T36" s="50"/>
      <c r="U36" s="50"/>
      <c r="V36" s="50"/>
      <c r="W36" s="50"/>
      <c r="X36" s="50"/>
      <c r="Y36" s="50"/>
      <c r="Z36" s="50"/>
      <c r="AA36" s="47" t="e">
        <f>+(+#REF!+O24+S24+W24+AA24)/$F$23</f>
        <v>#REF!</v>
      </c>
      <c r="AB36" s="51"/>
      <c r="AC36" s="50"/>
      <c r="AD36" s="70"/>
    </row>
    <row r="37" spans="8:30" ht="15" hidden="1" customHeight="1" x14ac:dyDescent="0.35"/>
    <row r="38" spans="8:30" ht="35.15" hidden="1" customHeight="1" x14ac:dyDescent="0.35">
      <c r="H38" s="250" t="s">
        <v>145</v>
      </c>
      <c r="I38" s="250"/>
      <c r="J38" s="30" t="e">
        <f>+#REF!</f>
        <v>#REF!</v>
      </c>
      <c r="K38" s="32"/>
      <c r="L38" s="32"/>
      <c r="M38" s="32"/>
      <c r="N38" s="32"/>
    </row>
    <row r="39" spans="8:30" ht="35.15" hidden="1" customHeight="1" x14ac:dyDescent="0.35">
      <c r="H39" s="250" t="s">
        <v>146</v>
      </c>
      <c r="I39" s="250"/>
      <c r="J39" s="25">
        <f>+F23</f>
        <v>1</v>
      </c>
      <c r="K39" s="32"/>
      <c r="L39" s="32"/>
      <c r="M39" s="32"/>
      <c r="N39" s="32"/>
    </row>
    <row r="40" spans="8:30" ht="35.15" hidden="1" customHeight="1" x14ac:dyDescent="0.35">
      <c r="H40" s="250" t="s">
        <v>147</v>
      </c>
      <c r="I40" s="250"/>
      <c r="J40" s="31" t="e">
        <f>+J38/J39</f>
        <v>#REF!</v>
      </c>
      <c r="K40" s="32"/>
      <c r="L40" s="32"/>
      <c r="M40" s="32"/>
      <c r="N40" s="32"/>
    </row>
    <row r="41" spans="8:30" ht="15" customHeight="1" x14ac:dyDescent="0.35">
      <c r="K41" s="32"/>
      <c r="L41" s="32"/>
      <c r="M41" s="32"/>
      <c r="N41" s="32"/>
    </row>
    <row r="42" spans="8:30" ht="15" customHeight="1" x14ac:dyDescent="0.35">
      <c r="K42" s="32"/>
      <c r="L42" s="32"/>
      <c r="M42" s="32"/>
      <c r="N42" s="32"/>
    </row>
    <row r="43" spans="8:30" ht="15" customHeight="1" x14ac:dyDescent="0.35">
      <c r="K43" s="32"/>
      <c r="L43" s="32"/>
      <c r="M43" s="32"/>
      <c r="N43" s="32"/>
    </row>
  </sheetData>
  <mergeCells count="140">
    <mergeCell ref="I36:J36"/>
    <mergeCell ref="H38:I38"/>
    <mergeCell ref="H39:I39"/>
    <mergeCell ref="H40:I40"/>
    <mergeCell ref="N6:O10"/>
    <mergeCell ref="P6:Q10"/>
    <mergeCell ref="H27:H30"/>
    <mergeCell ref="I31:J31"/>
    <mergeCell ref="I32:J32"/>
    <mergeCell ref="I33:J33"/>
    <mergeCell ref="I34:J34"/>
    <mergeCell ref="I35:J35"/>
    <mergeCell ref="O12:O13"/>
    <mergeCell ref="P12:P13"/>
    <mergeCell ref="Q12:Q13"/>
    <mergeCell ref="D23:E23"/>
    <mergeCell ref="H23:H26"/>
    <mergeCell ref="D24:E24"/>
    <mergeCell ref="AE20:AE21"/>
    <mergeCell ref="AF20:AF21"/>
    <mergeCell ref="AG20:AG21"/>
    <mergeCell ref="AH20:AH21"/>
    <mergeCell ref="I20:I21"/>
    <mergeCell ref="J20:J21"/>
    <mergeCell ref="K20:K21"/>
    <mergeCell ref="L20:L21"/>
    <mergeCell ref="M20:M21"/>
    <mergeCell ref="N20:N21"/>
    <mergeCell ref="A20:A21"/>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AH16:AH17"/>
    <mergeCell ref="A18:A19"/>
    <mergeCell ref="B18:B19"/>
    <mergeCell ref="C18:C19"/>
    <mergeCell ref="D18:D19"/>
    <mergeCell ref="E18:E19"/>
    <mergeCell ref="I16:I17"/>
    <mergeCell ref="J16:J17"/>
    <mergeCell ref="K16:K17"/>
    <mergeCell ref="L16:L17"/>
    <mergeCell ref="M16:M17"/>
    <mergeCell ref="N16:N17"/>
    <mergeCell ref="AG18:AG19"/>
    <mergeCell ref="AH18:AH19"/>
    <mergeCell ref="M18:M19"/>
    <mergeCell ref="N18:N19"/>
    <mergeCell ref="AE18:AE19"/>
    <mergeCell ref="AF18:AF19"/>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F14:F15"/>
    <mergeCell ref="G14:G15"/>
    <mergeCell ref="H14:H15"/>
    <mergeCell ref="I14:I15"/>
    <mergeCell ref="J14:J15"/>
    <mergeCell ref="K14:K15"/>
    <mergeCell ref="AE16:AE17"/>
    <mergeCell ref="AF16:AF17"/>
    <mergeCell ref="AG16:AG17"/>
    <mergeCell ref="AD12:AD13"/>
    <mergeCell ref="AE12:AE13"/>
    <mergeCell ref="AF12:AF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G12:G13"/>
    <mergeCell ref="H12:H13"/>
    <mergeCell ref="I12:I13"/>
    <mergeCell ref="J12:J13"/>
    <mergeCell ref="K12:K13"/>
    <mergeCell ref="L12:L13"/>
    <mergeCell ref="A12:A13"/>
    <mergeCell ref="B12:B13"/>
    <mergeCell ref="C12:C13"/>
    <mergeCell ref="D12:D13"/>
    <mergeCell ref="E12:E13"/>
    <mergeCell ref="F12:F13"/>
    <mergeCell ref="A11:F11"/>
    <mergeCell ref="G11:N11"/>
    <mergeCell ref="O11:AD11"/>
    <mergeCell ref="AE11:AH11"/>
    <mergeCell ref="Z6:AG10"/>
    <mergeCell ref="K6:L10"/>
    <mergeCell ref="M6:M10"/>
    <mergeCell ref="R6:U10"/>
    <mergeCell ref="V6:Y10"/>
    <mergeCell ref="A1:C3"/>
    <mergeCell ref="D1:AH3"/>
    <mergeCell ref="A4:A5"/>
    <mergeCell ref="G4:G5"/>
    <mergeCell ref="A6:B10"/>
    <mergeCell ref="C6:D10"/>
    <mergeCell ref="E6:F10"/>
    <mergeCell ref="G6:G10"/>
    <mergeCell ref="H6:I10"/>
    <mergeCell ref="J6:J10"/>
  </mergeCells>
  <conditionalFormatting sqref="I4">
    <cfRule type="cellIs" dxfId="127" priority="16" operator="lessThanOrEqual">
      <formula>$C$4</formula>
    </cfRule>
  </conditionalFormatting>
  <conditionalFormatting sqref="J6">
    <cfRule type="cellIs" dxfId="126" priority="17" operator="greaterThanOrEqual">
      <formula>$C$5</formula>
    </cfRule>
    <cfRule type="cellIs" dxfId="125" priority="18" operator="lessThanOrEqual">
      <formula>$C$4</formula>
    </cfRule>
    <cfRule type="cellIs" dxfId="124" priority="19" operator="between">
      <formula>$C$5</formula>
      <formula>$C$4</formula>
    </cfRule>
  </conditionalFormatting>
  <conditionalFormatting sqref="P6">
    <cfRule type="cellIs" dxfId="123" priority="13" operator="greaterThanOrEqual">
      <formula>$I$5</formula>
    </cfRule>
    <cfRule type="cellIs" dxfId="122" priority="14" operator="lessThanOrEqual">
      <formula>$I$4</formula>
    </cfRule>
    <cfRule type="cellIs" dxfId="121" priority="15" operator="between">
      <formula>$I$5</formula>
      <formula>$I$4</formula>
    </cfRule>
  </conditionalFormatting>
  <conditionalFormatting sqref="Q14:Q21">
    <cfRule type="cellIs" dxfId="120" priority="10" operator="greaterThanOrEqual">
      <formula>$C$5</formula>
    </cfRule>
    <cfRule type="cellIs" dxfId="119" priority="11" operator="lessThanOrEqual">
      <formula>$C$4</formula>
    </cfRule>
    <cfRule type="cellIs" dxfId="118" priority="12" operator="between">
      <formula>$C$5</formula>
      <formula>$C$4</formula>
    </cfRule>
  </conditionalFormatting>
  <conditionalFormatting sqref="S31:S34 W31:W34 O31:O36 AA31:AA36 K32:N32 P32:R32 T32:V32 X32:Z32 AB32:AD32 J40">
    <cfRule type="cellIs" dxfId="117" priority="20" operator="greaterThanOrEqual">
      <formula>$D$9</formula>
    </cfRule>
    <cfRule type="cellIs" dxfId="116" priority="21" operator="lessThanOrEqual">
      <formula>$C$6</formula>
    </cfRule>
    <cfRule type="cellIs" dxfId="115" priority="22" operator="between">
      <formula>$C$6</formula>
      <formula>$D$9</formula>
    </cfRule>
  </conditionalFormatting>
  <conditionalFormatting sqref="V6">
    <cfRule type="cellIs" dxfId="114" priority="7" operator="greaterThanOrEqual">
      <formula>$I$5</formula>
    </cfRule>
    <cfRule type="cellIs" dxfId="113" priority="8" operator="lessThanOrEqual">
      <formula>$I$4</formula>
    </cfRule>
    <cfRule type="cellIs" dxfId="112" priority="9"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16 P18 P20" xr:uid="{07DF923D-4BB0-4395-AE9F-CC4F09E8F845}">
      <formula1>0</formula1>
      <formula2>1</formula2>
    </dataValidation>
    <dataValidation type="decimal" allowBlank="1" showInputMessage="1" showErrorMessage="1" prompt="campo calculado  - indica el % de avance  que aporta la activadad a todo el proyecto" sqref="P19 P17 P15 P21" xr:uid="{14AEF5D2-97C4-4623-B848-84B3A1025B00}">
      <formula1>0</formula1>
      <formula2>1</formula2>
    </dataValidation>
    <dataValidation type="decimal" allowBlank="1" showInputMessage="1" showErrorMessage="1" prompt="% de avance en la actividad - indique el % programado de avance durante esta semana_x000a_" sqref="R14:AD21" xr:uid="{2A6A181D-2139-4997-B630-373AD7942437}">
      <formula1>0</formula1>
      <formula2>1</formula2>
    </dataValidation>
    <dataValidation allowBlank="1" showErrorMessage="1" sqref="Q14:Q21" xr:uid="{0DFCBA36-AC2F-47FC-9A73-3E4423964CFA}"/>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54E6-0E3C-4D28-A4A6-20A8902E70B4}">
  <dimension ref="A1:AH320"/>
  <sheetViews>
    <sheetView zoomScale="60" zoomScaleNormal="60" workbookViewId="0">
      <selection activeCell="B11" sqref="B11:D11"/>
    </sheetView>
  </sheetViews>
  <sheetFormatPr baseColWidth="10" defaultColWidth="11.453125" defaultRowHeight="14.5" x14ac:dyDescent="0.35"/>
  <cols>
    <col min="1" max="2" width="30.453125" style="80" customWidth="1"/>
    <col min="3" max="3" width="23.453125" style="80" customWidth="1"/>
    <col min="4" max="5" width="30.453125" style="80" customWidth="1"/>
    <col min="6" max="6" width="19.453125" style="80" customWidth="1"/>
    <col min="7" max="7" width="31.7265625" style="80" customWidth="1"/>
    <col min="8" max="8" width="15.7265625" style="80" customWidth="1"/>
    <col min="9" max="9" width="29.26953125" style="80" customWidth="1"/>
    <col min="10" max="10" width="30.453125" style="80" customWidth="1"/>
    <col min="11" max="12" width="18.54296875" style="80" customWidth="1"/>
    <col min="13" max="13" width="27.54296875" style="80" customWidth="1"/>
    <col min="14" max="29" width="23" style="80" customWidth="1"/>
    <col min="30" max="16384" width="11.453125" style="80"/>
  </cols>
  <sheetData>
    <row r="1" spans="1:34" ht="14.65" customHeight="1" x14ac:dyDescent="0.35">
      <c r="A1" s="433"/>
      <c r="B1" s="434"/>
      <c r="C1" s="435"/>
      <c r="D1" s="439" t="s">
        <v>274</v>
      </c>
      <c r="E1" s="440"/>
      <c r="F1" s="440"/>
      <c r="G1" s="440"/>
      <c r="H1" s="440"/>
      <c r="I1" s="440"/>
      <c r="J1" s="440"/>
      <c r="K1" s="440"/>
      <c r="L1" s="440"/>
      <c r="M1" s="440"/>
      <c r="N1" s="440"/>
      <c r="O1" s="440"/>
      <c r="P1" s="440"/>
      <c r="Q1" s="440"/>
      <c r="R1" s="440"/>
      <c r="S1" s="440"/>
      <c r="T1" s="440"/>
      <c r="U1" s="440"/>
      <c r="V1" s="440"/>
      <c r="W1" s="440"/>
      <c r="X1" s="440"/>
      <c r="Y1" s="440"/>
      <c r="Z1" s="440"/>
      <c r="AA1" s="440"/>
      <c r="AB1" s="440"/>
      <c r="AC1" s="440"/>
    </row>
    <row r="2" spans="1:34" ht="14.65" customHeight="1" x14ac:dyDescent="0.35">
      <c r="A2" s="436"/>
      <c r="B2" s="437"/>
      <c r="C2" s="438"/>
      <c r="D2" s="439"/>
      <c r="E2" s="440"/>
      <c r="F2" s="440"/>
      <c r="G2" s="440"/>
      <c r="H2" s="440"/>
      <c r="I2" s="440"/>
      <c r="J2" s="440"/>
      <c r="K2" s="440"/>
      <c r="L2" s="440"/>
      <c r="M2" s="440"/>
      <c r="N2" s="440"/>
      <c r="O2" s="440"/>
      <c r="P2" s="440"/>
      <c r="Q2" s="440"/>
      <c r="R2" s="440"/>
      <c r="S2" s="440"/>
      <c r="T2" s="440"/>
      <c r="U2" s="440"/>
      <c r="V2" s="440"/>
      <c r="W2" s="440"/>
      <c r="X2" s="440"/>
      <c r="Y2" s="440"/>
      <c r="Z2" s="440"/>
      <c r="AA2" s="440"/>
      <c r="AB2" s="440"/>
      <c r="AC2" s="440"/>
    </row>
    <row r="3" spans="1:34" ht="15" customHeight="1" thickBot="1" x14ac:dyDescent="0.4">
      <c r="A3" s="436"/>
      <c r="B3" s="437"/>
      <c r="C3" s="438"/>
      <c r="D3" s="439"/>
      <c r="E3" s="440"/>
      <c r="F3" s="440"/>
      <c r="G3" s="440"/>
      <c r="H3" s="440"/>
      <c r="I3" s="440"/>
      <c r="J3" s="440"/>
      <c r="K3" s="440"/>
      <c r="L3" s="440"/>
      <c r="M3" s="440"/>
      <c r="N3" s="440"/>
      <c r="O3" s="440"/>
      <c r="P3" s="440"/>
      <c r="Q3" s="440"/>
      <c r="R3" s="440"/>
      <c r="S3" s="440"/>
      <c r="T3" s="440"/>
      <c r="U3" s="440"/>
      <c r="V3" s="440"/>
      <c r="W3" s="440"/>
      <c r="X3" s="440"/>
      <c r="Y3" s="440"/>
      <c r="Z3" s="440"/>
      <c r="AA3" s="440"/>
      <c r="AB3" s="440"/>
      <c r="AC3" s="440"/>
    </row>
    <row r="4" spans="1:34" s="60" customFormat="1" ht="46" hidden="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c r="AH4" s="62"/>
    </row>
    <row r="5" spans="1:34" s="60" customFormat="1" ht="46.5" hidden="1" thickBot="1" x14ac:dyDescent="0.4">
      <c r="A5" s="432"/>
      <c r="B5" s="8" t="s">
        <v>27</v>
      </c>
      <c r="C5" s="11">
        <v>0.9</v>
      </c>
      <c r="D5" s="11"/>
      <c r="E5" s="11"/>
      <c r="F5" s="11">
        <v>1</v>
      </c>
      <c r="G5" s="432"/>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c r="AH5" s="62"/>
    </row>
    <row r="6" spans="1:34" s="1" customFormat="1" ht="20.149999999999999" customHeight="1" x14ac:dyDescent="0.35">
      <c r="A6" s="306" t="s">
        <v>28</v>
      </c>
      <c r="B6" s="308"/>
      <c r="C6" s="302" t="s">
        <v>275</v>
      </c>
      <c r="D6" s="444"/>
      <c r="E6" s="286" t="s">
        <v>30</v>
      </c>
      <c r="F6" s="287"/>
      <c r="G6" s="324">
        <v>1</v>
      </c>
      <c r="H6" s="286" t="s">
        <v>31</v>
      </c>
      <c r="I6" s="287"/>
      <c r="J6" s="327">
        <f>182/357</f>
        <v>0.50980392156862742</v>
      </c>
      <c r="K6" s="286" t="s">
        <v>32</v>
      </c>
      <c r="L6" s="287"/>
      <c r="M6" s="324">
        <v>0.95</v>
      </c>
      <c r="N6" s="306" t="s">
        <v>33</v>
      </c>
      <c r="O6" s="308"/>
      <c r="P6" s="333">
        <f>(90924253366/134539970498)</f>
        <v>0.675815915741944</v>
      </c>
      <c r="Q6" s="334"/>
      <c r="R6" s="427" t="s">
        <v>34</v>
      </c>
      <c r="S6" s="453"/>
      <c r="T6" s="333">
        <f>(81565293688/82582445146)</f>
        <v>0.9876832000287501</v>
      </c>
      <c r="U6" s="334"/>
      <c r="V6" s="427" t="s">
        <v>35</v>
      </c>
      <c r="W6" s="453"/>
      <c r="X6" s="315"/>
      <c r="Y6" s="317"/>
      <c r="Z6" s="427" t="s">
        <v>36</v>
      </c>
      <c r="AA6" s="428"/>
      <c r="AB6" s="336"/>
      <c r="AC6" s="337"/>
    </row>
    <row r="7" spans="1:34" s="1" customFormat="1" ht="14.65" customHeight="1" x14ac:dyDescent="0.35">
      <c r="A7" s="309"/>
      <c r="B7" s="311"/>
      <c r="C7" s="445"/>
      <c r="D7" s="446"/>
      <c r="E7" s="288"/>
      <c r="F7" s="289"/>
      <c r="G7" s="325"/>
      <c r="H7" s="288"/>
      <c r="I7" s="289"/>
      <c r="J7" s="328"/>
      <c r="K7" s="288"/>
      <c r="L7" s="289"/>
      <c r="M7" s="325"/>
      <c r="N7" s="309"/>
      <c r="O7" s="311"/>
      <c r="P7" s="336"/>
      <c r="Q7" s="337"/>
      <c r="R7" s="425"/>
      <c r="S7" s="426"/>
      <c r="T7" s="336"/>
      <c r="U7" s="337"/>
      <c r="V7" s="425"/>
      <c r="W7" s="426"/>
      <c r="X7" s="318"/>
      <c r="Y7" s="320"/>
      <c r="Z7" s="425"/>
      <c r="AA7" s="429"/>
      <c r="AB7" s="336"/>
      <c r="AC7" s="337"/>
    </row>
    <row r="8" spans="1:34" s="1" customFormat="1" ht="14.65" customHeight="1" x14ac:dyDescent="0.35">
      <c r="A8" s="309"/>
      <c r="B8" s="311"/>
      <c r="C8" s="445"/>
      <c r="D8" s="446"/>
      <c r="E8" s="288"/>
      <c r="F8" s="289"/>
      <c r="G8" s="325"/>
      <c r="H8" s="288"/>
      <c r="I8" s="289"/>
      <c r="J8" s="328"/>
      <c r="K8" s="288"/>
      <c r="L8" s="289"/>
      <c r="M8" s="325"/>
      <c r="N8" s="309"/>
      <c r="O8" s="311"/>
      <c r="P8" s="336"/>
      <c r="Q8" s="337"/>
      <c r="R8" s="425"/>
      <c r="S8" s="426"/>
      <c r="T8" s="336"/>
      <c r="U8" s="337"/>
      <c r="V8" s="425"/>
      <c r="W8" s="426"/>
      <c r="X8" s="318"/>
      <c r="Y8" s="320"/>
      <c r="Z8" s="425"/>
      <c r="AA8" s="429"/>
      <c r="AB8" s="336"/>
      <c r="AC8" s="337"/>
    </row>
    <row r="9" spans="1:34" s="1" customFormat="1" ht="14.65" customHeight="1" x14ac:dyDescent="0.35">
      <c r="A9" s="309"/>
      <c r="B9" s="311"/>
      <c r="C9" s="445"/>
      <c r="D9" s="446"/>
      <c r="E9" s="288"/>
      <c r="F9" s="289"/>
      <c r="G9" s="325"/>
      <c r="H9" s="288"/>
      <c r="I9" s="289"/>
      <c r="J9" s="328"/>
      <c r="K9" s="288"/>
      <c r="L9" s="289"/>
      <c r="M9" s="325"/>
      <c r="N9" s="309"/>
      <c r="O9" s="311"/>
      <c r="P9" s="336"/>
      <c r="Q9" s="337"/>
      <c r="R9" s="425"/>
      <c r="S9" s="426"/>
      <c r="T9" s="336"/>
      <c r="U9" s="337"/>
      <c r="V9" s="425"/>
      <c r="W9" s="426"/>
      <c r="X9" s="318"/>
      <c r="Y9" s="320"/>
      <c r="Z9" s="425"/>
      <c r="AA9" s="429"/>
      <c r="AB9" s="336"/>
      <c r="AC9" s="337"/>
    </row>
    <row r="10" spans="1:34" s="1" customFormat="1" ht="15" customHeight="1" thickBot="1" x14ac:dyDescent="0.4">
      <c r="A10" s="312"/>
      <c r="B10" s="314"/>
      <c r="C10" s="447"/>
      <c r="D10" s="448"/>
      <c r="E10" s="449"/>
      <c r="F10" s="450"/>
      <c r="G10" s="326"/>
      <c r="H10" s="449"/>
      <c r="I10" s="450"/>
      <c r="J10" s="329"/>
      <c r="K10" s="290"/>
      <c r="L10" s="291"/>
      <c r="M10" s="326"/>
      <c r="N10" s="312"/>
      <c r="O10" s="314"/>
      <c r="P10" s="451"/>
      <c r="Q10" s="452"/>
      <c r="R10" s="454"/>
      <c r="S10" s="455"/>
      <c r="T10" s="339"/>
      <c r="U10" s="340"/>
      <c r="V10" s="430"/>
      <c r="W10" s="456"/>
      <c r="X10" s="321"/>
      <c r="Y10" s="323"/>
      <c r="Z10" s="430"/>
      <c r="AA10" s="431"/>
      <c r="AB10" s="336"/>
      <c r="AC10" s="337"/>
    </row>
    <row r="11" spans="1:34" ht="60" customHeight="1" x14ac:dyDescent="0.35">
      <c r="A11" s="213" t="s">
        <v>276</v>
      </c>
      <c r="B11" s="457" t="s">
        <v>277</v>
      </c>
      <c r="C11" s="458"/>
      <c r="D11" s="459"/>
      <c r="E11" s="214" t="s">
        <v>278</v>
      </c>
      <c r="F11" s="214" t="s">
        <v>279</v>
      </c>
      <c r="G11" s="214" t="s">
        <v>280</v>
      </c>
      <c r="H11" s="214" t="s">
        <v>281</v>
      </c>
      <c r="I11" s="214" t="s">
        <v>282</v>
      </c>
      <c r="J11" s="214" t="s">
        <v>283</v>
      </c>
      <c r="K11" s="214" t="s">
        <v>284</v>
      </c>
      <c r="L11" s="214" t="s">
        <v>285</v>
      </c>
      <c r="M11" s="214" t="s">
        <v>286</v>
      </c>
      <c r="N11" s="214" t="s">
        <v>287</v>
      </c>
      <c r="O11" s="214" t="s">
        <v>288</v>
      </c>
      <c r="P11" s="214" t="s">
        <v>289</v>
      </c>
      <c r="Q11" s="214" t="s">
        <v>290</v>
      </c>
      <c r="R11" s="214" t="s">
        <v>291</v>
      </c>
      <c r="S11" s="214" t="s">
        <v>292</v>
      </c>
      <c r="T11" s="214" t="s">
        <v>293</v>
      </c>
      <c r="U11" s="215" t="s">
        <v>294</v>
      </c>
    </row>
    <row r="12" spans="1:34" ht="15" customHeight="1" x14ac:dyDescent="0.35">
      <c r="A12" s="204" t="s">
        <v>295</v>
      </c>
      <c r="B12" s="441" t="s">
        <v>296</v>
      </c>
      <c r="C12" s="442"/>
      <c r="D12" s="443"/>
      <c r="E12" s="201" t="s">
        <v>297</v>
      </c>
      <c r="F12" s="201" t="s">
        <v>297</v>
      </c>
      <c r="G12" s="201" t="s">
        <v>298</v>
      </c>
      <c r="H12" s="201" t="s">
        <v>299</v>
      </c>
      <c r="I12" s="201" t="s">
        <v>300</v>
      </c>
      <c r="J12" s="201" t="s">
        <v>299</v>
      </c>
      <c r="K12" s="202">
        <v>699900</v>
      </c>
      <c r="L12" s="202">
        <v>699900</v>
      </c>
      <c r="M12" s="201" t="s">
        <v>301</v>
      </c>
      <c r="N12" s="201" t="s">
        <v>299</v>
      </c>
      <c r="O12" s="203"/>
      <c r="P12" s="201" t="s">
        <v>302</v>
      </c>
      <c r="Q12" s="201" t="s">
        <v>303</v>
      </c>
      <c r="R12" s="201" t="s">
        <v>304</v>
      </c>
      <c r="S12" s="201" t="s">
        <v>305</v>
      </c>
      <c r="T12" s="201" t="s">
        <v>301</v>
      </c>
      <c r="U12" s="205" t="s">
        <v>301</v>
      </c>
    </row>
    <row r="13" spans="1:34" x14ac:dyDescent="0.35">
      <c r="A13" s="204" t="s">
        <v>306</v>
      </c>
      <c r="B13" s="441" t="s">
        <v>307</v>
      </c>
      <c r="C13" s="442"/>
      <c r="D13" s="443"/>
      <c r="E13" s="201" t="s">
        <v>297</v>
      </c>
      <c r="F13" s="201" t="s">
        <v>297</v>
      </c>
      <c r="G13" s="201" t="s">
        <v>298</v>
      </c>
      <c r="H13" s="201" t="s">
        <v>299</v>
      </c>
      <c r="I13" s="201" t="s">
        <v>300</v>
      </c>
      <c r="J13" s="201" t="s">
        <v>299</v>
      </c>
      <c r="K13" s="202">
        <v>6300003</v>
      </c>
      <c r="L13" s="202">
        <v>6300003</v>
      </c>
      <c r="M13" s="201" t="s">
        <v>301</v>
      </c>
      <c r="N13" s="201" t="s">
        <v>299</v>
      </c>
      <c r="O13" s="203"/>
      <c r="P13" s="201" t="s">
        <v>302</v>
      </c>
      <c r="Q13" s="201" t="s">
        <v>303</v>
      </c>
      <c r="R13" s="201" t="s">
        <v>304</v>
      </c>
      <c r="S13" s="201" t="s">
        <v>305</v>
      </c>
      <c r="T13" s="201" t="s">
        <v>301</v>
      </c>
      <c r="U13" s="205" t="s">
        <v>301</v>
      </c>
    </row>
    <row r="14" spans="1:34" x14ac:dyDescent="0.35">
      <c r="A14" s="204" t="s">
        <v>308</v>
      </c>
      <c r="B14" s="441" t="s">
        <v>309</v>
      </c>
      <c r="C14" s="442"/>
      <c r="D14" s="443"/>
      <c r="E14" s="201" t="s">
        <v>297</v>
      </c>
      <c r="F14" s="201" t="s">
        <v>297</v>
      </c>
      <c r="G14" s="201" t="s">
        <v>310</v>
      </c>
      <c r="H14" s="201" t="s">
        <v>299</v>
      </c>
      <c r="I14" s="201" t="s">
        <v>300</v>
      </c>
      <c r="J14" s="201" t="s">
        <v>299</v>
      </c>
      <c r="K14" s="202">
        <v>7735000</v>
      </c>
      <c r="L14" s="202">
        <v>7735000</v>
      </c>
      <c r="M14" s="201" t="s">
        <v>301</v>
      </c>
      <c r="N14" s="201" t="s">
        <v>299</v>
      </c>
      <c r="O14" s="203"/>
      <c r="P14" s="201" t="s">
        <v>302</v>
      </c>
      <c r="Q14" s="201" t="s">
        <v>303</v>
      </c>
      <c r="R14" s="201" t="s">
        <v>304</v>
      </c>
      <c r="S14" s="201" t="s">
        <v>305</v>
      </c>
      <c r="T14" s="201" t="s">
        <v>301</v>
      </c>
      <c r="U14" s="205" t="s">
        <v>301</v>
      </c>
    </row>
    <row r="15" spans="1:34" x14ac:dyDescent="0.35">
      <c r="A15" s="204" t="s">
        <v>311</v>
      </c>
      <c r="B15" s="441" t="s">
        <v>312</v>
      </c>
      <c r="C15" s="442"/>
      <c r="D15" s="443"/>
      <c r="E15" s="201" t="s">
        <v>313</v>
      </c>
      <c r="F15" s="201" t="s">
        <v>313</v>
      </c>
      <c r="G15" s="201" t="s">
        <v>310</v>
      </c>
      <c r="H15" s="201" t="s">
        <v>299</v>
      </c>
      <c r="I15" s="201" t="s">
        <v>300</v>
      </c>
      <c r="J15" s="201" t="s">
        <v>299</v>
      </c>
      <c r="K15" s="202">
        <v>113050000</v>
      </c>
      <c r="L15" s="202">
        <v>113050000</v>
      </c>
      <c r="M15" s="201" t="s">
        <v>301</v>
      </c>
      <c r="N15" s="201" t="s">
        <v>299</v>
      </c>
      <c r="O15" s="203"/>
      <c r="P15" s="201" t="s">
        <v>302</v>
      </c>
      <c r="Q15" s="201" t="s">
        <v>303</v>
      </c>
      <c r="R15" s="201" t="s">
        <v>304</v>
      </c>
      <c r="S15" s="201" t="s">
        <v>305</v>
      </c>
      <c r="T15" s="201" t="s">
        <v>301</v>
      </c>
      <c r="U15" s="205" t="s">
        <v>301</v>
      </c>
    </row>
    <row r="16" spans="1:34" x14ac:dyDescent="0.35">
      <c r="A16" s="204" t="s">
        <v>311</v>
      </c>
      <c r="B16" s="441" t="s">
        <v>314</v>
      </c>
      <c r="C16" s="442"/>
      <c r="D16" s="443"/>
      <c r="E16" s="201" t="s">
        <v>297</v>
      </c>
      <c r="F16" s="201" t="s">
        <v>297</v>
      </c>
      <c r="G16" s="201" t="s">
        <v>310</v>
      </c>
      <c r="H16" s="201" t="s">
        <v>299</v>
      </c>
      <c r="I16" s="201" t="s">
        <v>300</v>
      </c>
      <c r="J16" s="201" t="s">
        <v>299</v>
      </c>
      <c r="K16" s="202">
        <v>4500000</v>
      </c>
      <c r="L16" s="202">
        <v>4500000</v>
      </c>
      <c r="M16" s="201" t="s">
        <v>301</v>
      </c>
      <c r="N16" s="201" t="s">
        <v>299</v>
      </c>
      <c r="O16" s="203"/>
      <c r="P16" s="201" t="s">
        <v>302</v>
      </c>
      <c r="Q16" s="201" t="s">
        <v>303</v>
      </c>
      <c r="R16" s="201" t="s">
        <v>304</v>
      </c>
      <c r="S16" s="201" t="s">
        <v>305</v>
      </c>
      <c r="T16" s="201" t="s">
        <v>301</v>
      </c>
      <c r="U16" s="205" t="s">
        <v>301</v>
      </c>
    </row>
    <row r="17" spans="1:21" x14ac:dyDescent="0.35">
      <c r="A17" s="204" t="s">
        <v>315</v>
      </c>
      <c r="B17" s="441" t="s">
        <v>316</v>
      </c>
      <c r="C17" s="442"/>
      <c r="D17" s="443"/>
      <c r="E17" s="201" t="s">
        <v>297</v>
      </c>
      <c r="F17" s="201" t="s">
        <v>297</v>
      </c>
      <c r="G17" s="201" t="s">
        <v>310</v>
      </c>
      <c r="H17" s="201" t="s">
        <v>299</v>
      </c>
      <c r="I17" s="201" t="s">
        <v>300</v>
      </c>
      <c r="J17" s="201" t="s">
        <v>299</v>
      </c>
      <c r="K17" s="202">
        <v>7735000</v>
      </c>
      <c r="L17" s="202">
        <v>7735000</v>
      </c>
      <c r="M17" s="201" t="s">
        <v>301</v>
      </c>
      <c r="N17" s="201" t="s">
        <v>299</v>
      </c>
      <c r="O17" s="203"/>
      <c r="P17" s="201" t="s">
        <v>302</v>
      </c>
      <c r="Q17" s="201" t="s">
        <v>303</v>
      </c>
      <c r="R17" s="201" t="s">
        <v>304</v>
      </c>
      <c r="S17" s="201" t="s">
        <v>305</v>
      </c>
      <c r="T17" s="201" t="s">
        <v>301</v>
      </c>
      <c r="U17" s="205" t="s">
        <v>301</v>
      </c>
    </row>
    <row r="18" spans="1:21" x14ac:dyDescent="0.35">
      <c r="A18" s="204" t="s">
        <v>317</v>
      </c>
      <c r="B18" s="441" t="s">
        <v>318</v>
      </c>
      <c r="C18" s="442"/>
      <c r="D18" s="443"/>
      <c r="E18" s="201" t="s">
        <v>319</v>
      </c>
      <c r="F18" s="201" t="s">
        <v>319</v>
      </c>
      <c r="G18" s="201" t="s">
        <v>298</v>
      </c>
      <c r="H18" s="201" t="s">
        <v>299</v>
      </c>
      <c r="I18" s="201" t="s">
        <v>300</v>
      </c>
      <c r="J18" s="201" t="s">
        <v>299</v>
      </c>
      <c r="K18" s="202">
        <v>5950000</v>
      </c>
      <c r="L18" s="202">
        <v>5000000</v>
      </c>
      <c r="M18" s="201" t="s">
        <v>301</v>
      </c>
      <c r="N18" s="201" t="s">
        <v>299</v>
      </c>
      <c r="O18" s="203"/>
      <c r="P18" s="201" t="s">
        <v>320</v>
      </c>
      <c r="Q18" s="201" t="s">
        <v>321</v>
      </c>
      <c r="R18" s="201" t="s">
        <v>304</v>
      </c>
      <c r="S18" s="201" t="s">
        <v>305</v>
      </c>
      <c r="T18" s="201" t="s">
        <v>301</v>
      </c>
      <c r="U18" s="205" t="s">
        <v>301</v>
      </c>
    </row>
    <row r="19" spans="1:21" x14ac:dyDescent="0.35">
      <c r="A19" s="204" t="s">
        <v>322</v>
      </c>
      <c r="B19" s="441" t="s">
        <v>323</v>
      </c>
      <c r="C19" s="442"/>
      <c r="D19" s="443"/>
      <c r="E19" s="201" t="s">
        <v>319</v>
      </c>
      <c r="F19" s="201" t="s">
        <v>319</v>
      </c>
      <c r="G19" s="201" t="s">
        <v>298</v>
      </c>
      <c r="H19" s="201" t="s">
        <v>299</v>
      </c>
      <c r="I19" s="201" t="s">
        <v>300</v>
      </c>
      <c r="J19" s="201" t="s">
        <v>299</v>
      </c>
      <c r="K19" s="202">
        <v>3570000</v>
      </c>
      <c r="L19" s="202">
        <v>3000000</v>
      </c>
      <c r="M19" s="201" t="s">
        <v>301</v>
      </c>
      <c r="N19" s="201" t="s">
        <v>299</v>
      </c>
      <c r="O19" s="203"/>
      <c r="P19" s="201" t="s">
        <v>320</v>
      </c>
      <c r="Q19" s="201" t="s">
        <v>321</v>
      </c>
      <c r="R19" s="201" t="s">
        <v>304</v>
      </c>
      <c r="S19" s="201" t="s">
        <v>305</v>
      </c>
      <c r="T19" s="201" t="s">
        <v>301</v>
      </c>
      <c r="U19" s="205" t="s">
        <v>301</v>
      </c>
    </row>
    <row r="20" spans="1:21" x14ac:dyDescent="0.35">
      <c r="A20" s="204" t="s">
        <v>308</v>
      </c>
      <c r="B20" s="441" t="s">
        <v>309</v>
      </c>
      <c r="C20" s="442"/>
      <c r="D20" s="443"/>
      <c r="E20" s="201" t="s">
        <v>301</v>
      </c>
      <c r="F20" s="201" t="s">
        <v>301</v>
      </c>
      <c r="G20" s="201" t="s">
        <v>310</v>
      </c>
      <c r="H20" s="201" t="s">
        <v>299</v>
      </c>
      <c r="I20" s="201" t="s">
        <v>300</v>
      </c>
      <c r="J20" s="201" t="s">
        <v>299</v>
      </c>
      <c r="K20" s="202">
        <v>7735000</v>
      </c>
      <c r="L20" s="202">
        <v>6500000</v>
      </c>
      <c r="M20" s="201" t="s">
        <v>301</v>
      </c>
      <c r="N20" s="201" t="s">
        <v>299</v>
      </c>
      <c r="O20" s="203"/>
      <c r="P20" s="201" t="s">
        <v>320</v>
      </c>
      <c r="Q20" s="201" t="s">
        <v>321</v>
      </c>
      <c r="R20" s="201" t="s">
        <v>304</v>
      </c>
      <c r="S20" s="201" t="s">
        <v>305</v>
      </c>
      <c r="T20" s="201" t="s">
        <v>301</v>
      </c>
      <c r="U20" s="205" t="s">
        <v>301</v>
      </c>
    </row>
    <row r="21" spans="1:21" x14ac:dyDescent="0.35">
      <c r="A21" s="204" t="s">
        <v>315</v>
      </c>
      <c r="B21" s="441" t="s">
        <v>316</v>
      </c>
      <c r="C21" s="442"/>
      <c r="D21" s="443"/>
      <c r="E21" s="201" t="s">
        <v>297</v>
      </c>
      <c r="F21" s="201" t="s">
        <v>297</v>
      </c>
      <c r="G21" s="201" t="s">
        <v>310</v>
      </c>
      <c r="H21" s="201" t="s">
        <v>299</v>
      </c>
      <c r="I21" s="201" t="s">
        <v>300</v>
      </c>
      <c r="J21" s="201" t="s">
        <v>299</v>
      </c>
      <c r="K21" s="202">
        <v>3927000</v>
      </c>
      <c r="L21" s="202">
        <v>3300000</v>
      </c>
      <c r="M21" s="201" t="s">
        <v>301</v>
      </c>
      <c r="N21" s="201" t="s">
        <v>299</v>
      </c>
      <c r="O21" s="203"/>
      <c r="P21" s="201" t="s">
        <v>320</v>
      </c>
      <c r="Q21" s="201" t="s">
        <v>321</v>
      </c>
      <c r="R21" s="201" t="s">
        <v>304</v>
      </c>
      <c r="S21" s="201" t="s">
        <v>305</v>
      </c>
      <c r="T21" s="201" t="s">
        <v>301</v>
      </c>
      <c r="U21" s="205" t="s">
        <v>301</v>
      </c>
    </row>
    <row r="22" spans="1:21" x14ac:dyDescent="0.35">
      <c r="A22" s="204" t="s">
        <v>308</v>
      </c>
      <c r="B22" s="441" t="s">
        <v>309</v>
      </c>
      <c r="C22" s="442"/>
      <c r="D22" s="443"/>
      <c r="E22" s="201" t="s">
        <v>297</v>
      </c>
      <c r="F22" s="201" t="s">
        <v>297</v>
      </c>
      <c r="G22" s="201" t="s">
        <v>310</v>
      </c>
      <c r="H22" s="201" t="s">
        <v>299</v>
      </c>
      <c r="I22" s="201" t="s">
        <v>300</v>
      </c>
      <c r="J22" s="201" t="s">
        <v>299</v>
      </c>
      <c r="K22" s="202">
        <v>2380000</v>
      </c>
      <c r="L22" s="202">
        <v>2000000</v>
      </c>
      <c r="M22" s="201" t="s">
        <v>301</v>
      </c>
      <c r="N22" s="201" t="s">
        <v>299</v>
      </c>
      <c r="O22" s="203"/>
      <c r="P22" s="201" t="s">
        <v>324</v>
      </c>
      <c r="Q22" s="201" t="s">
        <v>325</v>
      </c>
      <c r="R22" s="201" t="s">
        <v>304</v>
      </c>
      <c r="S22" s="201" t="s">
        <v>305</v>
      </c>
      <c r="T22" s="201" t="s">
        <v>301</v>
      </c>
      <c r="U22" s="205" t="s">
        <v>301</v>
      </c>
    </row>
    <row r="23" spans="1:21" x14ac:dyDescent="0.35">
      <c r="A23" s="204" t="s">
        <v>306</v>
      </c>
      <c r="B23" s="441" t="s">
        <v>326</v>
      </c>
      <c r="C23" s="442"/>
      <c r="D23" s="443"/>
      <c r="E23" s="201" t="s">
        <v>327</v>
      </c>
      <c r="F23" s="201" t="s">
        <v>327</v>
      </c>
      <c r="G23" s="201" t="s">
        <v>328</v>
      </c>
      <c r="H23" s="201" t="s">
        <v>299</v>
      </c>
      <c r="I23" s="201" t="s">
        <v>300</v>
      </c>
      <c r="J23" s="201" t="s">
        <v>299</v>
      </c>
      <c r="K23" s="202">
        <v>7140000</v>
      </c>
      <c r="L23" s="202">
        <v>6000000</v>
      </c>
      <c r="M23" s="201" t="s">
        <v>301</v>
      </c>
      <c r="N23" s="201" t="s">
        <v>299</v>
      </c>
      <c r="O23" s="203"/>
      <c r="P23" s="201" t="s">
        <v>324</v>
      </c>
      <c r="Q23" s="201" t="s">
        <v>325</v>
      </c>
      <c r="R23" s="201" t="s">
        <v>304</v>
      </c>
      <c r="S23" s="201" t="s">
        <v>305</v>
      </c>
      <c r="T23" s="201" t="s">
        <v>301</v>
      </c>
      <c r="U23" s="205" t="s">
        <v>301</v>
      </c>
    </row>
    <row r="24" spans="1:21" x14ac:dyDescent="0.35">
      <c r="A24" s="204" t="s">
        <v>329</v>
      </c>
      <c r="B24" s="441" t="s">
        <v>330</v>
      </c>
      <c r="C24" s="442"/>
      <c r="D24" s="443"/>
      <c r="E24" s="201" t="s">
        <v>319</v>
      </c>
      <c r="F24" s="201" t="s">
        <v>319</v>
      </c>
      <c r="G24" s="201" t="s">
        <v>298</v>
      </c>
      <c r="H24" s="201" t="s">
        <v>299</v>
      </c>
      <c r="I24" s="201" t="s">
        <v>300</v>
      </c>
      <c r="J24" s="201" t="s">
        <v>299</v>
      </c>
      <c r="K24" s="202">
        <v>2380000</v>
      </c>
      <c r="L24" s="202">
        <v>2000000</v>
      </c>
      <c r="M24" s="201" t="s">
        <v>301</v>
      </c>
      <c r="N24" s="201" t="s">
        <v>299</v>
      </c>
      <c r="O24" s="203"/>
      <c r="P24" s="201" t="s">
        <v>324</v>
      </c>
      <c r="Q24" s="201" t="s">
        <v>325</v>
      </c>
      <c r="R24" s="201" t="s">
        <v>304</v>
      </c>
      <c r="S24" s="201" t="s">
        <v>305</v>
      </c>
      <c r="T24" s="201" t="s">
        <v>301</v>
      </c>
      <c r="U24" s="205" t="s">
        <v>301</v>
      </c>
    </row>
    <row r="25" spans="1:21" x14ac:dyDescent="0.35">
      <c r="A25" s="204" t="s">
        <v>295</v>
      </c>
      <c r="B25" s="441" t="s">
        <v>296</v>
      </c>
      <c r="C25" s="442"/>
      <c r="D25" s="443"/>
      <c r="E25" s="201" t="s">
        <v>297</v>
      </c>
      <c r="F25" s="201" t="s">
        <v>297</v>
      </c>
      <c r="G25" s="201" t="s">
        <v>298</v>
      </c>
      <c r="H25" s="201" t="s">
        <v>299</v>
      </c>
      <c r="I25" s="201" t="s">
        <v>300</v>
      </c>
      <c r="J25" s="201" t="s">
        <v>299</v>
      </c>
      <c r="K25" s="202">
        <v>1000000</v>
      </c>
      <c r="L25" s="202">
        <v>1000000</v>
      </c>
      <c r="M25" s="201" t="s">
        <v>301</v>
      </c>
      <c r="N25" s="201" t="s">
        <v>299</v>
      </c>
      <c r="O25" s="203"/>
      <c r="P25" s="201" t="s">
        <v>331</v>
      </c>
      <c r="Q25" s="201" t="s">
        <v>332</v>
      </c>
      <c r="R25" s="201" t="s">
        <v>304</v>
      </c>
      <c r="S25" s="201" t="s">
        <v>305</v>
      </c>
      <c r="T25" s="201" t="s">
        <v>301</v>
      </c>
      <c r="U25" s="205" t="s">
        <v>301</v>
      </c>
    </row>
    <row r="26" spans="1:21" x14ac:dyDescent="0.35">
      <c r="A26" s="204" t="s">
        <v>306</v>
      </c>
      <c r="B26" s="441" t="s">
        <v>333</v>
      </c>
      <c r="C26" s="442"/>
      <c r="D26" s="443"/>
      <c r="E26" s="201" t="s">
        <v>297</v>
      </c>
      <c r="F26" s="201" t="s">
        <v>297</v>
      </c>
      <c r="G26" s="201" t="s">
        <v>298</v>
      </c>
      <c r="H26" s="201" t="s">
        <v>299</v>
      </c>
      <c r="I26" s="201" t="s">
        <v>300</v>
      </c>
      <c r="J26" s="201" t="s">
        <v>299</v>
      </c>
      <c r="K26" s="202">
        <v>10000000</v>
      </c>
      <c r="L26" s="202">
        <v>10000000</v>
      </c>
      <c r="M26" s="201" t="s">
        <v>301</v>
      </c>
      <c r="N26" s="201" t="s">
        <v>299</v>
      </c>
      <c r="O26" s="203"/>
      <c r="P26" s="201" t="s">
        <v>331</v>
      </c>
      <c r="Q26" s="201" t="s">
        <v>332</v>
      </c>
      <c r="R26" s="201" t="s">
        <v>304</v>
      </c>
      <c r="S26" s="201" t="s">
        <v>305</v>
      </c>
      <c r="T26" s="201" t="s">
        <v>301</v>
      </c>
      <c r="U26" s="205" t="s">
        <v>301</v>
      </c>
    </row>
    <row r="27" spans="1:21" x14ac:dyDescent="0.35">
      <c r="A27" s="204" t="s">
        <v>334</v>
      </c>
      <c r="B27" s="441" t="s">
        <v>335</v>
      </c>
      <c r="C27" s="442"/>
      <c r="D27" s="443"/>
      <c r="E27" s="201" t="s">
        <v>297</v>
      </c>
      <c r="F27" s="201" t="s">
        <v>297</v>
      </c>
      <c r="G27" s="201" t="s">
        <v>298</v>
      </c>
      <c r="H27" s="201" t="s">
        <v>299</v>
      </c>
      <c r="I27" s="201" t="s">
        <v>300</v>
      </c>
      <c r="J27" s="201" t="s">
        <v>299</v>
      </c>
      <c r="K27" s="202">
        <v>129000000</v>
      </c>
      <c r="L27" s="202">
        <v>129000000</v>
      </c>
      <c r="M27" s="201" t="s">
        <v>301</v>
      </c>
      <c r="N27" s="201" t="s">
        <v>299</v>
      </c>
      <c r="O27" s="203"/>
      <c r="P27" s="201" t="s">
        <v>331</v>
      </c>
      <c r="Q27" s="201" t="s">
        <v>332</v>
      </c>
      <c r="R27" s="201" t="s">
        <v>304</v>
      </c>
      <c r="S27" s="201" t="s">
        <v>305</v>
      </c>
      <c r="T27" s="201" t="s">
        <v>301</v>
      </c>
      <c r="U27" s="205" t="s">
        <v>301</v>
      </c>
    </row>
    <row r="28" spans="1:21" x14ac:dyDescent="0.35">
      <c r="A28" s="204" t="s">
        <v>336</v>
      </c>
      <c r="B28" s="441" t="s">
        <v>337</v>
      </c>
      <c r="C28" s="442"/>
      <c r="D28" s="443"/>
      <c r="E28" s="201" t="s">
        <v>327</v>
      </c>
      <c r="F28" s="201" t="s">
        <v>327</v>
      </c>
      <c r="G28" s="201" t="s">
        <v>338</v>
      </c>
      <c r="H28" s="201" t="s">
        <v>299</v>
      </c>
      <c r="I28" s="201" t="s">
        <v>300</v>
      </c>
      <c r="J28" s="201" t="s">
        <v>299</v>
      </c>
      <c r="K28" s="202">
        <v>595000</v>
      </c>
      <c r="L28" s="202">
        <v>595000</v>
      </c>
      <c r="M28" s="201" t="s">
        <v>301</v>
      </c>
      <c r="N28" s="201" t="s">
        <v>299</v>
      </c>
      <c r="O28" s="203"/>
      <c r="P28" s="201" t="s">
        <v>339</v>
      </c>
      <c r="Q28" s="201" t="s">
        <v>340</v>
      </c>
      <c r="R28" s="201" t="s">
        <v>304</v>
      </c>
      <c r="S28" s="201" t="s">
        <v>305</v>
      </c>
      <c r="T28" s="201" t="s">
        <v>301</v>
      </c>
      <c r="U28" s="205" t="s">
        <v>301</v>
      </c>
    </row>
    <row r="29" spans="1:21" x14ac:dyDescent="0.35">
      <c r="A29" s="204" t="s">
        <v>308</v>
      </c>
      <c r="B29" s="441" t="s">
        <v>341</v>
      </c>
      <c r="C29" s="442"/>
      <c r="D29" s="443"/>
      <c r="E29" s="201" t="s">
        <v>297</v>
      </c>
      <c r="F29" s="201" t="s">
        <v>297</v>
      </c>
      <c r="G29" s="201" t="s">
        <v>310</v>
      </c>
      <c r="H29" s="201" t="s">
        <v>299</v>
      </c>
      <c r="I29" s="201" t="s">
        <v>300</v>
      </c>
      <c r="J29" s="201" t="s">
        <v>299</v>
      </c>
      <c r="K29" s="202">
        <v>4091063</v>
      </c>
      <c r="L29" s="202">
        <v>4091063</v>
      </c>
      <c r="M29" s="201" t="s">
        <v>301</v>
      </c>
      <c r="N29" s="201" t="s">
        <v>299</v>
      </c>
      <c r="O29" s="203"/>
      <c r="P29" s="201" t="s">
        <v>339</v>
      </c>
      <c r="Q29" s="201" t="s">
        <v>340</v>
      </c>
      <c r="R29" s="201" t="s">
        <v>304</v>
      </c>
      <c r="S29" s="201" t="s">
        <v>305</v>
      </c>
      <c r="T29" s="201" t="s">
        <v>301</v>
      </c>
      <c r="U29" s="205" t="s">
        <v>301</v>
      </c>
    </row>
    <row r="30" spans="1:21" x14ac:dyDescent="0.35">
      <c r="A30" s="204" t="s">
        <v>342</v>
      </c>
      <c r="B30" s="441" t="s">
        <v>343</v>
      </c>
      <c r="C30" s="442"/>
      <c r="D30" s="443"/>
      <c r="E30" s="201" t="s">
        <v>297</v>
      </c>
      <c r="F30" s="201" t="s">
        <v>297</v>
      </c>
      <c r="G30" s="201" t="s">
        <v>310</v>
      </c>
      <c r="H30" s="201" t="s">
        <v>299</v>
      </c>
      <c r="I30" s="201" t="s">
        <v>300</v>
      </c>
      <c r="J30" s="201" t="s">
        <v>299</v>
      </c>
      <c r="K30" s="202">
        <v>3162106</v>
      </c>
      <c r="L30" s="202">
        <v>3162106</v>
      </c>
      <c r="M30" s="201" t="s">
        <v>301</v>
      </c>
      <c r="N30" s="201" t="s">
        <v>299</v>
      </c>
      <c r="O30" s="203"/>
      <c r="P30" s="201" t="s">
        <v>339</v>
      </c>
      <c r="Q30" s="201" t="s">
        <v>340</v>
      </c>
      <c r="R30" s="201" t="s">
        <v>304</v>
      </c>
      <c r="S30" s="201" t="s">
        <v>305</v>
      </c>
      <c r="T30" s="201" t="s">
        <v>301</v>
      </c>
      <c r="U30" s="205" t="s">
        <v>301</v>
      </c>
    </row>
    <row r="31" spans="1:21" x14ac:dyDescent="0.35">
      <c r="A31" s="204" t="s">
        <v>344</v>
      </c>
      <c r="B31" s="441" t="s">
        <v>345</v>
      </c>
      <c r="C31" s="442"/>
      <c r="D31" s="443"/>
      <c r="E31" s="201" t="s">
        <v>319</v>
      </c>
      <c r="F31" s="201" t="s">
        <v>319</v>
      </c>
      <c r="G31" s="201" t="s">
        <v>328</v>
      </c>
      <c r="H31" s="201" t="s">
        <v>299</v>
      </c>
      <c r="I31" s="201" t="s">
        <v>300</v>
      </c>
      <c r="J31" s="201" t="s">
        <v>299</v>
      </c>
      <c r="K31" s="202">
        <v>1785000</v>
      </c>
      <c r="L31" s="202">
        <v>1785000</v>
      </c>
      <c r="M31" s="201" t="s">
        <v>301</v>
      </c>
      <c r="N31" s="201" t="s">
        <v>299</v>
      </c>
      <c r="O31" s="203"/>
      <c r="P31" s="201" t="s">
        <v>339</v>
      </c>
      <c r="Q31" s="201" t="s">
        <v>340</v>
      </c>
      <c r="R31" s="201" t="s">
        <v>304</v>
      </c>
      <c r="S31" s="201" t="s">
        <v>305</v>
      </c>
      <c r="T31" s="201" t="s">
        <v>301</v>
      </c>
      <c r="U31" s="205" t="s">
        <v>301</v>
      </c>
    </row>
    <row r="32" spans="1:21" x14ac:dyDescent="0.35">
      <c r="A32" s="204" t="s">
        <v>346</v>
      </c>
      <c r="B32" s="441" t="s">
        <v>347</v>
      </c>
      <c r="C32" s="442"/>
      <c r="D32" s="443"/>
      <c r="E32" s="201" t="s">
        <v>319</v>
      </c>
      <c r="F32" s="201" t="s">
        <v>319</v>
      </c>
      <c r="G32" s="201" t="s">
        <v>328</v>
      </c>
      <c r="H32" s="201" t="s">
        <v>299</v>
      </c>
      <c r="I32" s="201" t="s">
        <v>300</v>
      </c>
      <c r="J32" s="201" t="s">
        <v>299</v>
      </c>
      <c r="K32" s="202">
        <v>2380000</v>
      </c>
      <c r="L32" s="202">
        <v>2380000</v>
      </c>
      <c r="M32" s="201" t="s">
        <v>301</v>
      </c>
      <c r="N32" s="201" t="s">
        <v>299</v>
      </c>
      <c r="O32" s="203"/>
      <c r="P32" s="201" t="s">
        <v>339</v>
      </c>
      <c r="Q32" s="201" t="s">
        <v>340</v>
      </c>
      <c r="R32" s="201" t="s">
        <v>304</v>
      </c>
      <c r="S32" s="201" t="s">
        <v>305</v>
      </c>
      <c r="T32" s="201" t="s">
        <v>301</v>
      </c>
      <c r="U32" s="205" t="s">
        <v>301</v>
      </c>
    </row>
    <row r="33" spans="1:21" x14ac:dyDescent="0.35">
      <c r="A33" s="204" t="s">
        <v>348</v>
      </c>
      <c r="B33" s="441" t="s">
        <v>349</v>
      </c>
      <c r="C33" s="442"/>
      <c r="D33" s="443"/>
      <c r="E33" s="201" t="s">
        <v>297</v>
      </c>
      <c r="F33" s="201" t="s">
        <v>297</v>
      </c>
      <c r="G33" s="201" t="s">
        <v>328</v>
      </c>
      <c r="H33" s="201" t="s">
        <v>299</v>
      </c>
      <c r="I33" s="201" t="s">
        <v>300</v>
      </c>
      <c r="J33" s="201" t="s">
        <v>299</v>
      </c>
      <c r="K33" s="202">
        <v>14280000</v>
      </c>
      <c r="L33" s="202">
        <v>14280000</v>
      </c>
      <c r="M33" s="201" t="s">
        <v>301</v>
      </c>
      <c r="N33" s="201" t="s">
        <v>299</v>
      </c>
      <c r="O33" s="203"/>
      <c r="P33" s="201" t="s">
        <v>339</v>
      </c>
      <c r="Q33" s="201" t="s">
        <v>340</v>
      </c>
      <c r="R33" s="201" t="s">
        <v>304</v>
      </c>
      <c r="S33" s="201" t="s">
        <v>305</v>
      </c>
      <c r="T33" s="201" t="s">
        <v>301</v>
      </c>
      <c r="U33" s="205" t="s">
        <v>301</v>
      </c>
    </row>
    <row r="34" spans="1:21" x14ac:dyDescent="0.35">
      <c r="A34" s="204" t="s">
        <v>350</v>
      </c>
      <c r="B34" s="441" t="s">
        <v>351</v>
      </c>
      <c r="C34" s="442"/>
      <c r="D34" s="443"/>
      <c r="E34" s="201" t="s">
        <v>297</v>
      </c>
      <c r="F34" s="201" t="s">
        <v>297</v>
      </c>
      <c r="G34" s="201" t="s">
        <v>310</v>
      </c>
      <c r="H34" s="201" t="s">
        <v>299</v>
      </c>
      <c r="I34" s="201" t="s">
        <v>300</v>
      </c>
      <c r="J34" s="201" t="s">
        <v>299</v>
      </c>
      <c r="K34" s="202">
        <v>5000000</v>
      </c>
      <c r="L34" s="202">
        <v>5000000</v>
      </c>
      <c r="M34" s="201" t="s">
        <v>301</v>
      </c>
      <c r="N34" s="201" t="s">
        <v>299</v>
      </c>
      <c r="O34" s="203"/>
      <c r="P34" s="201" t="s">
        <v>339</v>
      </c>
      <c r="Q34" s="201" t="s">
        <v>340</v>
      </c>
      <c r="R34" s="201" t="s">
        <v>304</v>
      </c>
      <c r="S34" s="201" t="s">
        <v>305</v>
      </c>
      <c r="T34" s="201" t="s">
        <v>301</v>
      </c>
      <c r="U34" s="205" t="s">
        <v>301</v>
      </c>
    </row>
    <row r="35" spans="1:21" x14ac:dyDescent="0.35">
      <c r="A35" s="204" t="s">
        <v>352</v>
      </c>
      <c r="B35" s="441" t="s">
        <v>353</v>
      </c>
      <c r="C35" s="442"/>
      <c r="D35" s="443"/>
      <c r="E35" s="201" t="s">
        <v>297</v>
      </c>
      <c r="F35" s="201" t="s">
        <v>297</v>
      </c>
      <c r="G35" s="201" t="s">
        <v>354</v>
      </c>
      <c r="H35" s="201" t="s">
        <v>299</v>
      </c>
      <c r="I35" s="201" t="s">
        <v>300</v>
      </c>
      <c r="J35" s="201" t="s">
        <v>299</v>
      </c>
      <c r="K35" s="202">
        <v>7140000</v>
      </c>
      <c r="L35" s="202">
        <v>7140000</v>
      </c>
      <c r="M35" s="201" t="s">
        <v>301</v>
      </c>
      <c r="N35" s="201" t="s">
        <v>299</v>
      </c>
      <c r="O35" s="203"/>
      <c r="P35" s="201" t="s">
        <v>339</v>
      </c>
      <c r="Q35" s="201" t="s">
        <v>340</v>
      </c>
      <c r="R35" s="201" t="s">
        <v>304</v>
      </c>
      <c r="S35" s="201" t="s">
        <v>305</v>
      </c>
      <c r="T35" s="201" t="s">
        <v>301</v>
      </c>
      <c r="U35" s="205" t="s">
        <v>301</v>
      </c>
    </row>
    <row r="36" spans="1:21" x14ac:dyDescent="0.35">
      <c r="A36" s="204" t="s">
        <v>306</v>
      </c>
      <c r="B36" s="441" t="s">
        <v>333</v>
      </c>
      <c r="C36" s="442"/>
      <c r="D36" s="443"/>
      <c r="E36" s="201" t="s">
        <v>297</v>
      </c>
      <c r="F36" s="201" t="s">
        <v>297</v>
      </c>
      <c r="G36" s="201" t="s">
        <v>328</v>
      </c>
      <c r="H36" s="201" t="s">
        <v>299</v>
      </c>
      <c r="I36" s="201" t="s">
        <v>300</v>
      </c>
      <c r="J36" s="201" t="s">
        <v>299</v>
      </c>
      <c r="K36" s="202">
        <v>11900000</v>
      </c>
      <c r="L36" s="202">
        <v>11900000</v>
      </c>
      <c r="M36" s="201" t="s">
        <v>301</v>
      </c>
      <c r="N36" s="201" t="s">
        <v>299</v>
      </c>
      <c r="O36" s="203"/>
      <c r="P36" s="201" t="s">
        <v>355</v>
      </c>
      <c r="Q36" s="201" t="s">
        <v>356</v>
      </c>
      <c r="R36" s="201" t="s">
        <v>304</v>
      </c>
      <c r="S36" s="201" t="s">
        <v>305</v>
      </c>
      <c r="T36" s="201" t="s">
        <v>301</v>
      </c>
      <c r="U36" s="205" t="s">
        <v>301</v>
      </c>
    </row>
    <row r="37" spans="1:21" x14ac:dyDescent="0.35">
      <c r="A37" s="204" t="s">
        <v>357</v>
      </c>
      <c r="B37" s="441" t="s">
        <v>358</v>
      </c>
      <c r="C37" s="442"/>
      <c r="D37" s="443"/>
      <c r="E37" s="201" t="s">
        <v>297</v>
      </c>
      <c r="F37" s="201" t="s">
        <v>297</v>
      </c>
      <c r="G37" s="201" t="s">
        <v>328</v>
      </c>
      <c r="H37" s="201" t="s">
        <v>299</v>
      </c>
      <c r="I37" s="201" t="s">
        <v>300</v>
      </c>
      <c r="J37" s="201" t="s">
        <v>299</v>
      </c>
      <c r="K37" s="202">
        <v>799680</v>
      </c>
      <c r="L37" s="202">
        <v>799680</v>
      </c>
      <c r="M37" s="201" t="s">
        <v>301</v>
      </c>
      <c r="N37" s="201" t="s">
        <v>299</v>
      </c>
      <c r="O37" s="203"/>
      <c r="P37" s="201" t="s">
        <v>355</v>
      </c>
      <c r="Q37" s="201" t="s">
        <v>356</v>
      </c>
      <c r="R37" s="201" t="s">
        <v>304</v>
      </c>
      <c r="S37" s="201" t="s">
        <v>305</v>
      </c>
      <c r="T37" s="201" t="s">
        <v>301</v>
      </c>
      <c r="U37" s="205" t="s">
        <v>301</v>
      </c>
    </row>
    <row r="38" spans="1:21" x14ac:dyDescent="0.35">
      <c r="A38" s="204" t="s">
        <v>359</v>
      </c>
      <c r="B38" s="441" t="s">
        <v>360</v>
      </c>
      <c r="C38" s="442"/>
      <c r="D38" s="443"/>
      <c r="E38" s="201" t="s">
        <v>297</v>
      </c>
      <c r="F38" s="201" t="s">
        <v>297</v>
      </c>
      <c r="G38" s="201" t="s">
        <v>328</v>
      </c>
      <c r="H38" s="201" t="s">
        <v>299</v>
      </c>
      <c r="I38" s="201" t="s">
        <v>300</v>
      </c>
      <c r="J38" s="201" t="s">
        <v>299</v>
      </c>
      <c r="K38" s="202">
        <v>568820</v>
      </c>
      <c r="L38" s="202">
        <v>568820</v>
      </c>
      <c r="M38" s="201" t="s">
        <v>301</v>
      </c>
      <c r="N38" s="201" t="s">
        <v>299</v>
      </c>
      <c r="O38" s="203"/>
      <c r="P38" s="201" t="s">
        <v>355</v>
      </c>
      <c r="Q38" s="201" t="s">
        <v>356</v>
      </c>
      <c r="R38" s="201" t="s">
        <v>304</v>
      </c>
      <c r="S38" s="201" t="s">
        <v>305</v>
      </c>
      <c r="T38" s="201" t="s">
        <v>301</v>
      </c>
      <c r="U38" s="205" t="s">
        <v>301</v>
      </c>
    </row>
    <row r="39" spans="1:21" x14ac:dyDescent="0.35">
      <c r="A39" s="204" t="s">
        <v>308</v>
      </c>
      <c r="B39" s="441" t="s">
        <v>309</v>
      </c>
      <c r="C39" s="442"/>
      <c r="D39" s="443"/>
      <c r="E39" s="201" t="s">
        <v>297</v>
      </c>
      <c r="F39" s="201" t="s">
        <v>297</v>
      </c>
      <c r="G39" s="201" t="s">
        <v>310</v>
      </c>
      <c r="H39" s="201" t="s">
        <v>299</v>
      </c>
      <c r="I39" s="201" t="s">
        <v>300</v>
      </c>
      <c r="J39" s="201" t="s">
        <v>299</v>
      </c>
      <c r="K39" s="202">
        <v>4426800</v>
      </c>
      <c r="L39" s="202">
        <v>4426800</v>
      </c>
      <c r="M39" s="201" t="s">
        <v>301</v>
      </c>
      <c r="N39" s="201" t="s">
        <v>299</v>
      </c>
      <c r="O39" s="203"/>
      <c r="P39" s="201" t="s">
        <v>361</v>
      </c>
      <c r="Q39" s="201" t="s">
        <v>362</v>
      </c>
      <c r="R39" s="201" t="s">
        <v>304</v>
      </c>
      <c r="S39" s="201" t="s">
        <v>305</v>
      </c>
      <c r="T39" s="201" t="s">
        <v>301</v>
      </c>
      <c r="U39" s="205" t="s">
        <v>301</v>
      </c>
    </row>
    <row r="40" spans="1:21" x14ac:dyDescent="0.35">
      <c r="A40" s="204" t="s">
        <v>363</v>
      </c>
      <c r="B40" s="441" t="s">
        <v>364</v>
      </c>
      <c r="C40" s="442"/>
      <c r="D40" s="443"/>
      <c r="E40" s="201" t="s">
        <v>297</v>
      </c>
      <c r="F40" s="201" t="s">
        <v>297</v>
      </c>
      <c r="G40" s="201" t="s">
        <v>328</v>
      </c>
      <c r="H40" s="201" t="s">
        <v>299</v>
      </c>
      <c r="I40" s="201" t="s">
        <v>300</v>
      </c>
      <c r="J40" s="201" t="s">
        <v>299</v>
      </c>
      <c r="K40" s="202">
        <v>11900000</v>
      </c>
      <c r="L40" s="202">
        <v>11900000</v>
      </c>
      <c r="M40" s="201" t="s">
        <v>301</v>
      </c>
      <c r="N40" s="201" t="s">
        <v>299</v>
      </c>
      <c r="O40" s="203"/>
      <c r="P40" s="201" t="s">
        <v>361</v>
      </c>
      <c r="Q40" s="201" t="s">
        <v>362</v>
      </c>
      <c r="R40" s="201" t="s">
        <v>304</v>
      </c>
      <c r="S40" s="201" t="s">
        <v>305</v>
      </c>
      <c r="T40" s="201" t="s">
        <v>301</v>
      </c>
      <c r="U40" s="205" t="s">
        <v>301</v>
      </c>
    </row>
    <row r="41" spans="1:21" x14ac:dyDescent="0.35">
      <c r="A41" s="204" t="s">
        <v>365</v>
      </c>
      <c r="B41" s="441" t="s">
        <v>366</v>
      </c>
      <c r="C41" s="442"/>
      <c r="D41" s="443"/>
      <c r="E41" s="201" t="s">
        <v>297</v>
      </c>
      <c r="F41" s="201" t="s">
        <v>297</v>
      </c>
      <c r="G41" s="201" t="s">
        <v>328</v>
      </c>
      <c r="H41" s="201" t="s">
        <v>299</v>
      </c>
      <c r="I41" s="201" t="s">
        <v>300</v>
      </c>
      <c r="J41" s="201" t="s">
        <v>299</v>
      </c>
      <c r="K41" s="202">
        <v>5950000</v>
      </c>
      <c r="L41" s="202">
        <v>5950000</v>
      </c>
      <c r="M41" s="201" t="s">
        <v>301</v>
      </c>
      <c r="N41" s="201" t="s">
        <v>299</v>
      </c>
      <c r="O41" s="203"/>
      <c r="P41" s="201" t="s">
        <v>361</v>
      </c>
      <c r="Q41" s="201" t="s">
        <v>362</v>
      </c>
      <c r="R41" s="201" t="s">
        <v>304</v>
      </c>
      <c r="S41" s="201" t="s">
        <v>305</v>
      </c>
      <c r="T41" s="201" t="s">
        <v>301</v>
      </c>
      <c r="U41" s="205" t="s">
        <v>301</v>
      </c>
    </row>
    <row r="42" spans="1:21" x14ac:dyDescent="0.35">
      <c r="A42" s="204" t="s">
        <v>315</v>
      </c>
      <c r="B42" s="441" t="s">
        <v>316</v>
      </c>
      <c r="C42" s="442"/>
      <c r="D42" s="443"/>
      <c r="E42" s="201" t="s">
        <v>297</v>
      </c>
      <c r="F42" s="201" t="s">
        <v>297</v>
      </c>
      <c r="G42" s="201" t="s">
        <v>310</v>
      </c>
      <c r="H42" s="201" t="s">
        <v>299</v>
      </c>
      <c r="I42" s="201" t="s">
        <v>300</v>
      </c>
      <c r="J42" s="201" t="s">
        <v>299</v>
      </c>
      <c r="K42" s="202">
        <v>22848000</v>
      </c>
      <c r="L42" s="202">
        <v>22848000</v>
      </c>
      <c r="M42" s="201" t="s">
        <v>301</v>
      </c>
      <c r="N42" s="201" t="s">
        <v>299</v>
      </c>
      <c r="O42" s="203"/>
      <c r="P42" s="201" t="s">
        <v>361</v>
      </c>
      <c r="Q42" s="201" t="s">
        <v>362</v>
      </c>
      <c r="R42" s="201" t="s">
        <v>304</v>
      </c>
      <c r="S42" s="201" t="s">
        <v>305</v>
      </c>
      <c r="T42" s="201" t="s">
        <v>301</v>
      </c>
      <c r="U42" s="205" t="s">
        <v>301</v>
      </c>
    </row>
    <row r="43" spans="1:21" x14ac:dyDescent="0.35">
      <c r="A43" s="204" t="s">
        <v>311</v>
      </c>
      <c r="B43" s="441" t="s">
        <v>367</v>
      </c>
      <c r="C43" s="442"/>
      <c r="D43" s="443"/>
      <c r="E43" s="201" t="s">
        <v>297</v>
      </c>
      <c r="F43" s="201" t="s">
        <v>297</v>
      </c>
      <c r="G43" s="201" t="s">
        <v>310</v>
      </c>
      <c r="H43" s="201" t="s">
        <v>299</v>
      </c>
      <c r="I43" s="201" t="s">
        <v>300</v>
      </c>
      <c r="J43" s="201" t="s">
        <v>299</v>
      </c>
      <c r="K43" s="202">
        <v>98770000</v>
      </c>
      <c r="L43" s="202">
        <v>98770000</v>
      </c>
      <c r="M43" s="201" t="s">
        <v>301</v>
      </c>
      <c r="N43" s="201" t="s">
        <v>299</v>
      </c>
      <c r="O43" s="203"/>
      <c r="P43" s="201" t="s">
        <v>361</v>
      </c>
      <c r="Q43" s="201" t="s">
        <v>362</v>
      </c>
      <c r="R43" s="201" t="s">
        <v>304</v>
      </c>
      <c r="S43" s="201" t="s">
        <v>305</v>
      </c>
      <c r="T43" s="201" t="s">
        <v>301</v>
      </c>
      <c r="U43" s="205" t="s">
        <v>301</v>
      </c>
    </row>
    <row r="44" spans="1:21" x14ac:dyDescent="0.35">
      <c r="A44" s="204" t="s">
        <v>311</v>
      </c>
      <c r="B44" s="441" t="s">
        <v>314</v>
      </c>
      <c r="C44" s="442"/>
      <c r="D44" s="443"/>
      <c r="E44" s="201" t="s">
        <v>297</v>
      </c>
      <c r="F44" s="201" t="s">
        <v>297</v>
      </c>
      <c r="G44" s="201" t="s">
        <v>310</v>
      </c>
      <c r="H44" s="201" t="s">
        <v>299</v>
      </c>
      <c r="I44" s="201" t="s">
        <v>300</v>
      </c>
      <c r="J44" s="201" t="s">
        <v>299</v>
      </c>
      <c r="K44" s="202">
        <v>26070000</v>
      </c>
      <c r="L44" s="202">
        <v>26070000</v>
      </c>
      <c r="M44" s="201" t="s">
        <v>301</v>
      </c>
      <c r="N44" s="201" t="s">
        <v>299</v>
      </c>
      <c r="O44" s="203"/>
      <c r="P44" s="201" t="s">
        <v>361</v>
      </c>
      <c r="Q44" s="201" t="s">
        <v>362</v>
      </c>
      <c r="R44" s="201" t="s">
        <v>304</v>
      </c>
      <c r="S44" s="201" t="s">
        <v>305</v>
      </c>
      <c r="T44" s="201" t="s">
        <v>301</v>
      </c>
      <c r="U44" s="205" t="s">
        <v>301</v>
      </c>
    </row>
    <row r="45" spans="1:21" x14ac:dyDescent="0.35">
      <c r="A45" s="204" t="s">
        <v>306</v>
      </c>
      <c r="B45" s="441" t="s">
        <v>368</v>
      </c>
      <c r="C45" s="442"/>
      <c r="D45" s="443"/>
      <c r="E45" s="201" t="s">
        <v>297</v>
      </c>
      <c r="F45" s="201" t="s">
        <v>297</v>
      </c>
      <c r="G45" s="201" t="s">
        <v>328</v>
      </c>
      <c r="H45" s="201" t="s">
        <v>299</v>
      </c>
      <c r="I45" s="201" t="s">
        <v>300</v>
      </c>
      <c r="J45" s="201" t="s">
        <v>299</v>
      </c>
      <c r="K45" s="202">
        <v>595000</v>
      </c>
      <c r="L45" s="202">
        <v>595000</v>
      </c>
      <c r="M45" s="201" t="s">
        <v>301</v>
      </c>
      <c r="N45" s="201" t="s">
        <v>299</v>
      </c>
      <c r="O45" s="203"/>
      <c r="P45" s="201" t="s">
        <v>369</v>
      </c>
      <c r="Q45" s="201" t="s">
        <v>370</v>
      </c>
      <c r="R45" s="201" t="s">
        <v>304</v>
      </c>
      <c r="S45" s="201" t="s">
        <v>305</v>
      </c>
      <c r="T45" s="201" t="s">
        <v>301</v>
      </c>
      <c r="U45" s="205" t="s">
        <v>301</v>
      </c>
    </row>
    <row r="46" spans="1:21" x14ac:dyDescent="0.35">
      <c r="A46" s="204" t="s">
        <v>371</v>
      </c>
      <c r="B46" s="441" t="s">
        <v>372</v>
      </c>
      <c r="C46" s="442"/>
      <c r="D46" s="443"/>
      <c r="E46" s="201" t="s">
        <v>297</v>
      </c>
      <c r="F46" s="201" t="s">
        <v>297</v>
      </c>
      <c r="G46" s="201" t="s">
        <v>328</v>
      </c>
      <c r="H46" s="201" t="s">
        <v>299</v>
      </c>
      <c r="I46" s="201" t="s">
        <v>300</v>
      </c>
      <c r="J46" s="201" t="s">
        <v>299</v>
      </c>
      <c r="K46" s="202">
        <v>1428000</v>
      </c>
      <c r="L46" s="202">
        <v>1428000</v>
      </c>
      <c r="M46" s="201" t="s">
        <v>301</v>
      </c>
      <c r="N46" s="201" t="s">
        <v>299</v>
      </c>
      <c r="O46" s="203"/>
      <c r="P46" s="201" t="s">
        <v>369</v>
      </c>
      <c r="Q46" s="201" t="s">
        <v>370</v>
      </c>
      <c r="R46" s="201" t="s">
        <v>304</v>
      </c>
      <c r="S46" s="201" t="s">
        <v>305</v>
      </c>
      <c r="T46" s="201" t="s">
        <v>301</v>
      </c>
      <c r="U46" s="205" t="s">
        <v>301</v>
      </c>
    </row>
    <row r="47" spans="1:21" x14ac:dyDescent="0.35">
      <c r="A47" s="204" t="s">
        <v>336</v>
      </c>
      <c r="B47" s="441" t="s">
        <v>337</v>
      </c>
      <c r="C47" s="442"/>
      <c r="D47" s="443"/>
      <c r="E47" s="201" t="s">
        <v>327</v>
      </c>
      <c r="F47" s="201" t="s">
        <v>327</v>
      </c>
      <c r="G47" s="201" t="s">
        <v>328</v>
      </c>
      <c r="H47" s="201" t="s">
        <v>299</v>
      </c>
      <c r="I47" s="201" t="s">
        <v>300</v>
      </c>
      <c r="J47" s="201" t="s">
        <v>299</v>
      </c>
      <c r="K47" s="202">
        <v>595000</v>
      </c>
      <c r="L47" s="202">
        <v>595000</v>
      </c>
      <c r="M47" s="201" t="s">
        <v>301</v>
      </c>
      <c r="N47" s="201" t="s">
        <v>299</v>
      </c>
      <c r="O47" s="203"/>
      <c r="P47" s="201" t="s">
        <v>361</v>
      </c>
      <c r="Q47" s="201" t="s">
        <v>362</v>
      </c>
      <c r="R47" s="201" t="s">
        <v>304</v>
      </c>
      <c r="S47" s="201" t="s">
        <v>305</v>
      </c>
      <c r="T47" s="201" t="s">
        <v>301</v>
      </c>
      <c r="U47" s="205" t="s">
        <v>301</v>
      </c>
    </row>
    <row r="48" spans="1:21" x14ac:dyDescent="0.35">
      <c r="A48" s="204" t="s">
        <v>365</v>
      </c>
      <c r="B48" s="441" t="s">
        <v>373</v>
      </c>
      <c r="C48" s="442"/>
      <c r="D48" s="443"/>
      <c r="E48" s="201" t="s">
        <v>327</v>
      </c>
      <c r="F48" s="201" t="s">
        <v>327</v>
      </c>
      <c r="G48" s="201" t="s">
        <v>328</v>
      </c>
      <c r="H48" s="201" t="s">
        <v>299</v>
      </c>
      <c r="I48" s="201" t="s">
        <v>300</v>
      </c>
      <c r="J48" s="201" t="s">
        <v>299</v>
      </c>
      <c r="K48" s="202">
        <v>4760000</v>
      </c>
      <c r="L48" s="202">
        <v>4760000</v>
      </c>
      <c r="M48" s="201" t="s">
        <v>301</v>
      </c>
      <c r="N48" s="201" t="s">
        <v>299</v>
      </c>
      <c r="O48" s="203"/>
      <c r="P48" s="201" t="s">
        <v>369</v>
      </c>
      <c r="Q48" s="201" t="s">
        <v>370</v>
      </c>
      <c r="R48" s="201" t="s">
        <v>304</v>
      </c>
      <c r="S48" s="201" t="s">
        <v>305</v>
      </c>
      <c r="T48" s="201" t="s">
        <v>301</v>
      </c>
      <c r="U48" s="205" t="s">
        <v>301</v>
      </c>
    </row>
    <row r="49" spans="1:21" x14ac:dyDescent="0.35">
      <c r="A49" s="204" t="s">
        <v>308</v>
      </c>
      <c r="B49" s="441" t="s">
        <v>341</v>
      </c>
      <c r="C49" s="442"/>
      <c r="D49" s="443"/>
      <c r="E49" s="201" t="s">
        <v>327</v>
      </c>
      <c r="F49" s="201" t="s">
        <v>327</v>
      </c>
      <c r="G49" s="201" t="s">
        <v>328</v>
      </c>
      <c r="H49" s="201" t="s">
        <v>299</v>
      </c>
      <c r="I49" s="201" t="s">
        <v>300</v>
      </c>
      <c r="J49" s="201" t="s">
        <v>299</v>
      </c>
      <c r="K49" s="202">
        <v>1752870</v>
      </c>
      <c r="L49" s="202">
        <v>1752870</v>
      </c>
      <c r="M49" s="201" t="s">
        <v>301</v>
      </c>
      <c r="N49" s="201" t="s">
        <v>299</v>
      </c>
      <c r="O49" s="203"/>
      <c r="P49" s="201" t="s">
        <v>369</v>
      </c>
      <c r="Q49" s="201" t="s">
        <v>370</v>
      </c>
      <c r="R49" s="201" t="s">
        <v>304</v>
      </c>
      <c r="S49" s="201" t="s">
        <v>305</v>
      </c>
      <c r="T49" s="201" t="s">
        <v>301</v>
      </c>
      <c r="U49" s="205" t="s">
        <v>301</v>
      </c>
    </row>
    <row r="50" spans="1:21" x14ac:dyDescent="0.35">
      <c r="A50" s="204" t="s">
        <v>342</v>
      </c>
      <c r="B50" s="441" t="s">
        <v>343</v>
      </c>
      <c r="C50" s="442"/>
      <c r="D50" s="443"/>
      <c r="E50" s="201" t="s">
        <v>327</v>
      </c>
      <c r="F50" s="201" t="s">
        <v>327</v>
      </c>
      <c r="G50" s="201" t="s">
        <v>328</v>
      </c>
      <c r="H50" s="201" t="s">
        <v>299</v>
      </c>
      <c r="I50" s="201" t="s">
        <v>300</v>
      </c>
      <c r="J50" s="201" t="s">
        <v>299</v>
      </c>
      <c r="K50" s="202">
        <v>494683</v>
      </c>
      <c r="L50" s="202">
        <v>494683</v>
      </c>
      <c r="M50" s="201" t="s">
        <v>301</v>
      </c>
      <c r="N50" s="201" t="s">
        <v>299</v>
      </c>
      <c r="O50" s="203"/>
      <c r="P50" s="201" t="s">
        <v>369</v>
      </c>
      <c r="Q50" s="201" t="s">
        <v>370</v>
      </c>
      <c r="R50" s="201" t="s">
        <v>304</v>
      </c>
      <c r="S50" s="201" t="s">
        <v>305</v>
      </c>
      <c r="T50" s="201" t="s">
        <v>301</v>
      </c>
      <c r="U50" s="205" t="s">
        <v>301</v>
      </c>
    </row>
    <row r="51" spans="1:21" x14ac:dyDescent="0.35">
      <c r="A51" s="204" t="s">
        <v>311</v>
      </c>
      <c r="B51" s="441" t="s">
        <v>312</v>
      </c>
      <c r="C51" s="442"/>
      <c r="D51" s="443"/>
      <c r="E51" s="201" t="s">
        <v>297</v>
      </c>
      <c r="F51" s="201" t="s">
        <v>297</v>
      </c>
      <c r="G51" s="201" t="s">
        <v>328</v>
      </c>
      <c r="H51" s="201" t="s">
        <v>299</v>
      </c>
      <c r="I51" s="201" t="s">
        <v>300</v>
      </c>
      <c r="J51" s="201" t="s">
        <v>299</v>
      </c>
      <c r="K51" s="202">
        <v>25058700</v>
      </c>
      <c r="L51" s="202">
        <v>25058700</v>
      </c>
      <c r="M51" s="201" t="s">
        <v>301</v>
      </c>
      <c r="N51" s="201" t="s">
        <v>299</v>
      </c>
      <c r="O51" s="203"/>
      <c r="P51" s="201" t="s">
        <v>369</v>
      </c>
      <c r="Q51" s="201" t="s">
        <v>370</v>
      </c>
      <c r="R51" s="201" t="s">
        <v>304</v>
      </c>
      <c r="S51" s="201" t="s">
        <v>305</v>
      </c>
      <c r="T51" s="201" t="s">
        <v>301</v>
      </c>
      <c r="U51" s="205" t="s">
        <v>301</v>
      </c>
    </row>
    <row r="52" spans="1:21" x14ac:dyDescent="0.35">
      <c r="A52" s="204" t="s">
        <v>374</v>
      </c>
      <c r="B52" s="441" t="s">
        <v>375</v>
      </c>
      <c r="C52" s="442"/>
      <c r="D52" s="443"/>
      <c r="E52" s="201" t="s">
        <v>297</v>
      </c>
      <c r="F52" s="201" t="s">
        <v>297</v>
      </c>
      <c r="G52" s="201" t="s">
        <v>328</v>
      </c>
      <c r="H52" s="201" t="s">
        <v>299</v>
      </c>
      <c r="I52" s="201" t="s">
        <v>300</v>
      </c>
      <c r="J52" s="201" t="s">
        <v>299</v>
      </c>
      <c r="K52" s="202">
        <v>571200</v>
      </c>
      <c r="L52" s="202">
        <v>571200</v>
      </c>
      <c r="M52" s="201" t="s">
        <v>301</v>
      </c>
      <c r="N52" s="201" t="s">
        <v>299</v>
      </c>
      <c r="O52" s="203"/>
      <c r="P52" s="201" t="s">
        <v>369</v>
      </c>
      <c r="Q52" s="201" t="s">
        <v>370</v>
      </c>
      <c r="R52" s="201" t="s">
        <v>304</v>
      </c>
      <c r="S52" s="201" t="s">
        <v>305</v>
      </c>
      <c r="T52" s="201" t="s">
        <v>301</v>
      </c>
      <c r="U52" s="205" t="s">
        <v>301</v>
      </c>
    </row>
    <row r="53" spans="1:21" x14ac:dyDescent="0.35">
      <c r="A53" s="204" t="s">
        <v>376</v>
      </c>
      <c r="B53" s="441" t="s">
        <v>377</v>
      </c>
      <c r="C53" s="442"/>
      <c r="D53" s="443"/>
      <c r="E53" s="201" t="s">
        <v>297</v>
      </c>
      <c r="F53" s="201" t="s">
        <v>297</v>
      </c>
      <c r="G53" s="201" t="s">
        <v>378</v>
      </c>
      <c r="H53" s="201" t="s">
        <v>299</v>
      </c>
      <c r="I53" s="201" t="s">
        <v>300</v>
      </c>
      <c r="J53" s="201" t="s">
        <v>299</v>
      </c>
      <c r="K53" s="202">
        <v>2763708</v>
      </c>
      <c r="L53" s="202">
        <v>2763708</v>
      </c>
      <c r="M53" s="201" t="s">
        <v>301</v>
      </c>
      <c r="N53" s="201" t="s">
        <v>299</v>
      </c>
      <c r="O53" s="203"/>
      <c r="P53" s="201" t="s">
        <v>379</v>
      </c>
      <c r="Q53" s="201" t="s">
        <v>380</v>
      </c>
      <c r="R53" s="201" t="s">
        <v>304</v>
      </c>
      <c r="S53" s="201" t="s">
        <v>305</v>
      </c>
      <c r="T53" s="201" t="s">
        <v>301</v>
      </c>
      <c r="U53" s="205" t="s">
        <v>301</v>
      </c>
    </row>
    <row r="54" spans="1:21" x14ac:dyDescent="0.35">
      <c r="A54" s="204" t="s">
        <v>381</v>
      </c>
      <c r="B54" s="441" t="s">
        <v>382</v>
      </c>
      <c r="C54" s="442"/>
      <c r="D54" s="443"/>
      <c r="E54" s="201" t="s">
        <v>297</v>
      </c>
      <c r="F54" s="201" t="s">
        <v>297</v>
      </c>
      <c r="G54" s="201" t="s">
        <v>378</v>
      </c>
      <c r="H54" s="201" t="s">
        <v>299</v>
      </c>
      <c r="I54" s="201" t="s">
        <v>300</v>
      </c>
      <c r="J54" s="201" t="s">
        <v>299</v>
      </c>
      <c r="K54" s="202">
        <v>22949300</v>
      </c>
      <c r="L54" s="202">
        <v>22949300</v>
      </c>
      <c r="M54" s="201" t="s">
        <v>301</v>
      </c>
      <c r="N54" s="201" t="s">
        <v>299</v>
      </c>
      <c r="O54" s="203"/>
      <c r="P54" s="201" t="s">
        <v>379</v>
      </c>
      <c r="Q54" s="201" t="s">
        <v>380</v>
      </c>
      <c r="R54" s="201" t="s">
        <v>304</v>
      </c>
      <c r="S54" s="201" t="s">
        <v>305</v>
      </c>
      <c r="T54" s="201" t="s">
        <v>301</v>
      </c>
      <c r="U54" s="205" t="s">
        <v>301</v>
      </c>
    </row>
    <row r="55" spans="1:21" x14ac:dyDescent="0.35">
      <c r="A55" s="204" t="s">
        <v>336</v>
      </c>
      <c r="B55" s="441" t="s">
        <v>383</v>
      </c>
      <c r="C55" s="442"/>
      <c r="D55" s="443"/>
      <c r="E55" s="201" t="s">
        <v>297</v>
      </c>
      <c r="F55" s="201" t="s">
        <v>297</v>
      </c>
      <c r="G55" s="201" t="s">
        <v>298</v>
      </c>
      <c r="H55" s="201" t="s">
        <v>299</v>
      </c>
      <c r="I55" s="201" t="s">
        <v>300</v>
      </c>
      <c r="J55" s="201" t="s">
        <v>299</v>
      </c>
      <c r="K55" s="202">
        <v>595000</v>
      </c>
      <c r="L55" s="202">
        <v>595000</v>
      </c>
      <c r="M55" s="201" t="s">
        <v>301</v>
      </c>
      <c r="N55" s="201" t="s">
        <v>299</v>
      </c>
      <c r="O55" s="203"/>
      <c r="P55" s="201" t="s">
        <v>379</v>
      </c>
      <c r="Q55" s="201" t="s">
        <v>380</v>
      </c>
      <c r="R55" s="201" t="s">
        <v>304</v>
      </c>
      <c r="S55" s="201" t="s">
        <v>305</v>
      </c>
      <c r="T55" s="201" t="s">
        <v>301</v>
      </c>
      <c r="U55" s="205" t="s">
        <v>301</v>
      </c>
    </row>
    <row r="56" spans="1:21" x14ac:dyDescent="0.35">
      <c r="A56" s="204" t="s">
        <v>346</v>
      </c>
      <c r="B56" s="441" t="s">
        <v>384</v>
      </c>
      <c r="C56" s="442"/>
      <c r="D56" s="443"/>
      <c r="E56" s="201" t="s">
        <v>297</v>
      </c>
      <c r="F56" s="201" t="s">
        <v>297</v>
      </c>
      <c r="G56" s="201" t="s">
        <v>378</v>
      </c>
      <c r="H56" s="201" t="s">
        <v>299</v>
      </c>
      <c r="I56" s="201" t="s">
        <v>300</v>
      </c>
      <c r="J56" s="201" t="s">
        <v>299</v>
      </c>
      <c r="K56" s="202">
        <v>1190000</v>
      </c>
      <c r="L56" s="202">
        <v>1190000</v>
      </c>
      <c r="M56" s="201" t="s">
        <v>301</v>
      </c>
      <c r="N56" s="201" t="s">
        <v>299</v>
      </c>
      <c r="O56" s="203"/>
      <c r="P56" s="201" t="s">
        <v>379</v>
      </c>
      <c r="Q56" s="201" t="s">
        <v>380</v>
      </c>
      <c r="R56" s="201" t="s">
        <v>304</v>
      </c>
      <c r="S56" s="201" t="s">
        <v>305</v>
      </c>
      <c r="T56" s="201" t="s">
        <v>301</v>
      </c>
      <c r="U56" s="205" t="s">
        <v>301</v>
      </c>
    </row>
    <row r="57" spans="1:21" x14ac:dyDescent="0.35">
      <c r="A57" s="204" t="s">
        <v>306</v>
      </c>
      <c r="B57" s="441" t="s">
        <v>385</v>
      </c>
      <c r="C57" s="442"/>
      <c r="D57" s="443"/>
      <c r="E57" s="201" t="s">
        <v>297</v>
      </c>
      <c r="F57" s="201" t="s">
        <v>297</v>
      </c>
      <c r="G57" s="201" t="s">
        <v>328</v>
      </c>
      <c r="H57" s="201" t="s">
        <v>299</v>
      </c>
      <c r="I57" s="201" t="s">
        <v>300</v>
      </c>
      <c r="J57" s="201" t="s">
        <v>299</v>
      </c>
      <c r="K57" s="202">
        <v>3427200</v>
      </c>
      <c r="L57" s="202">
        <v>3427200</v>
      </c>
      <c r="M57" s="201" t="s">
        <v>301</v>
      </c>
      <c r="N57" s="201" t="s">
        <v>299</v>
      </c>
      <c r="O57" s="203"/>
      <c r="P57" s="201" t="s">
        <v>379</v>
      </c>
      <c r="Q57" s="201" t="s">
        <v>380</v>
      </c>
      <c r="R57" s="201" t="s">
        <v>304</v>
      </c>
      <c r="S57" s="201" t="s">
        <v>305</v>
      </c>
      <c r="T57" s="201" t="s">
        <v>301</v>
      </c>
      <c r="U57" s="205" t="s">
        <v>301</v>
      </c>
    </row>
    <row r="58" spans="1:21" x14ac:dyDescent="0.35">
      <c r="A58" s="204" t="s">
        <v>363</v>
      </c>
      <c r="B58" s="441" t="s">
        <v>386</v>
      </c>
      <c r="C58" s="442"/>
      <c r="D58" s="443"/>
      <c r="E58" s="201" t="s">
        <v>297</v>
      </c>
      <c r="F58" s="201" t="s">
        <v>297</v>
      </c>
      <c r="G58" s="201" t="s">
        <v>328</v>
      </c>
      <c r="H58" s="201" t="s">
        <v>299</v>
      </c>
      <c r="I58" s="201" t="s">
        <v>300</v>
      </c>
      <c r="J58" s="201" t="s">
        <v>299</v>
      </c>
      <c r="K58" s="202">
        <v>5950000</v>
      </c>
      <c r="L58" s="202">
        <v>5950000</v>
      </c>
      <c r="M58" s="201" t="s">
        <v>301</v>
      </c>
      <c r="N58" s="201" t="s">
        <v>299</v>
      </c>
      <c r="O58" s="203"/>
      <c r="P58" s="201" t="s">
        <v>379</v>
      </c>
      <c r="Q58" s="201" t="s">
        <v>380</v>
      </c>
      <c r="R58" s="201" t="s">
        <v>304</v>
      </c>
      <c r="S58" s="201" t="s">
        <v>305</v>
      </c>
      <c r="T58" s="201" t="s">
        <v>301</v>
      </c>
      <c r="U58" s="205" t="s">
        <v>301</v>
      </c>
    </row>
    <row r="59" spans="1:21" x14ac:dyDescent="0.35">
      <c r="A59" s="204" t="s">
        <v>344</v>
      </c>
      <c r="B59" s="441" t="s">
        <v>387</v>
      </c>
      <c r="C59" s="442"/>
      <c r="D59" s="443"/>
      <c r="E59" s="201" t="s">
        <v>297</v>
      </c>
      <c r="F59" s="201" t="s">
        <v>297</v>
      </c>
      <c r="G59" s="201" t="s">
        <v>328</v>
      </c>
      <c r="H59" s="201" t="s">
        <v>299</v>
      </c>
      <c r="I59" s="201" t="s">
        <v>300</v>
      </c>
      <c r="J59" s="201" t="s">
        <v>299</v>
      </c>
      <c r="K59" s="202">
        <v>5950000</v>
      </c>
      <c r="L59" s="202">
        <v>5950000</v>
      </c>
      <c r="M59" s="201" t="s">
        <v>301</v>
      </c>
      <c r="N59" s="201" t="s">
        <v>299</v>
      </c>
      <c r="O59" s="203"/>
      <c r="P59" s="201" t="s">
        <v>379</v>
      </c>
      <c r="Q59" s="201" t="s">
        <v>380</v>
      </c>
      <c r="R59" s="201" t="s">
        <v>304</v>
      </c>
      <c r="S59" s="201" t="s">
        <v>305</v>
      </c>
      <c r="T59" s="201" t="s">
        <v>301</v>
      </c>
      <c r="U59" s="205" t="s">
        <v>301</v>
      </c>
    </row>
    <row r="60" spans="1:21" x14ac:dyDescent="0.35">
      <c r="A60" s="204" t="s">
        <v>388</v>
      </c>
      <c r="B60" s="441" t="s">
        <v>389</v>
      </c>
      <c r="C60" s="442"/>
      <c r="D60" s="443"/>
      <c r="E60" s="201" t="s">
        <v>297</v>
      </c>
      <c r="F60" s="201" t="s">
        <v>297</v>
      </c>
      <c r="G60" s="201" t="s">
        <v>328</v>
      </c>
      <c r="H60" s="201" t="s">
        <v>299</v>
      </c>
      <c r="I60" s="201" t="s">
        <v>300</v>
      </c>
      <c r="J60" s="201" t="s">
        <v>299</v>
      </c>
      <c r="K60" s="202">
        <v>1785000</v>
      </c>
      <c r="L60" s="202">
        <v>1785000</v>
      </c>
      <c r="M60" s="201" t="s">
        <v>301</v>
      </c>
      <c r="N60" s="201" t="s">
        <v>299</v>
      </c>
      <c r="O60" s="203"/>
      <c r="P60" s="201" t="s">
        <v>379</v>
      </c>
      <c r="Q60" s="201" t="s">
        <v>380</v>
      </c>
      <c r="R60" s="201" t="s">
        <v>304</v>
      </c>
      <c r="S60" s="201" t="s">
        <v>305</v>
      </c>
      <c r="T60" s="201" t="s">
        <v>301</v>
      </c>
      <c r="U60" s="205" t="s">
        <v>301</v>
      </c>
    </row>
    <row r="61" spans="1:21" x14ac:dyDescent="0.35">
      <c r="A61" s="204" t="s">
        <v>390</v>
      </c>
      <c r="B61" s="441" t="s">
        <v>391</v>
      </c>
      <c r="C61" s="442"/>
      <c r="D61" s="443"/>
      <c r="E61" s="201" t="s">
        <v>297</v>
      </c>
      <c r="F61" s="201" t="s">
        <v>297</v>
      </c>
      <c r="G61" s="201" t="s">
        <v>298</v>
      </c>
      <c r="H61" s="201" t="s">
        <v>299</v>
      </c>
      <c r="I61" s="201" t="s">
        <v>300</v>
      </c>
      <c r="J61" s="201" t="s">
        <v>299</v>
      </c>
      <c r="K61" s="202">
        <v>595000</v>
      </c>
      <c r="L61" s="202">
        <v>595000</v>
      </c>
      <c r="M61" s="201" t="s">
        <v>301</v>
      </c>
      <c r="N61" s="201" t="s">
        <v>299</v>
      </c>
      <c r="O61" s="203"/>
      <c r="P61" s="201" t="s">
        <v>379</v>
      </c>
      <c r="Q61" s="201" t="s">
        <v>380</v>
      </c>
      <c r="R61" s="201" t="s">
        <v>304</v>
      </c>
      <c r="S61" s="201" t="s">
        <v>305</v>
      </c>
      <c r="T61" s="201" t="s">
        <v>301</v>
      </c>
      <c r="U61" s="205" t="s">
        <v>301</v>
      </c>
    </row>
    <row r="62" spans="1:21" x14ac:dyDescent="0.35">
      <c r="A62" s="204" t="s">
        <v>392</v>
      </c>
      <c r="B62" s="441" t="s">
        <v>393</v>
      </c>
      <c r="C62" s="442"/>
      <c r="D62" s="443"/>
      <c r="E62" s="201" t="s">
        <v>297</v>
      </c>
      <c r="F62" s="201" t="s">
        <v>297</v>
      </c>
      <c r="G62" s="201" t="s">
        <v>394</v>
      </c>
      <c r="H62" s="201" t="s">
        <v>299</v>
      </c>
      <c r="I62" s="201" t="s">
        <v>300</v>
      </c>
      <c r="J62" s="201" t="s">
        <v>299</v>
      </c>
      <c r="K62" s="202">
        <v>187639200</v>
      </c>
      <c r="L62" s="202">
        <v>187639200</v>
      </c>
      <c r="M62" s="201" t="s">
        <v>301</v>
      </c>
      <c r="N62" s="201" t="s">
        <v>301</v>
      </c>
      <c r="O62" s="203"/>
      <c r="P62" s="201" t="s">
        <v>355</v>
      </c>
      <c r="Q62" s="201" t="s">
        <v>395</v>
      </c>
      <c r="R62" s="201" t="s">
        <v>304</v>
      </c>
      <c r="S62" s="201" t="s">
        <v>305</v>
      </c>
      <c r="T62" s="201" t="s">
        <v>301</v>
      </c>
      <c r="U62" s="205" t="s">
        <v>301</v>
      </c>
    </row>
    <row r="63" spans="1:21" x14ac:dyDescent="0.35">
      <c r="A63" s="204" t="s">
        <v>396</v>
      </c>
      <c r="B63" s="441" t="s">
        <v>397</v>
      </c>
      <c r="C63" s="442"/>
      <c r="D63" s="443"/>
      <c r="E63" s="201" t="s">
        <v>319</v>
      </c>
      <c r="F63" s="201" t="s">
        <v>319</v>
      </c>
      <c r="G63" s="201" t="s">
        <v>328</v>
      </c>
      <c r="H63" s="201" t="s">
        <v>299</v>
      </c>
      <c r="I63" s="201" t="s">
        <v>300</v>
      </c>
      <c r="J63" s="201" t="s">
        <v>299</v>
      </c>
      <c r="K63" s="202">
        <v>16914660</v>
      </c>
      <c r="L63" s="202">
        <v>16914660</v>
      </c>
      <c r="M63" s="201" t="s">
        <v>301</v>
      </c>
      <c r="N63" s="201" t="s">
        <v>299</v>
      </c>
      <c r="O63" s="203"/>
      <c r="P63" s="201" t="s">
        <v>355</v>
      </c>
      <c r="Q63" s="201" t="s">
        <v>398</v>
      </c>
      <c r="R63" s="201" t="s">
        <v>304</v>
      </c>
      <c r="S63" s="201" t="s">
        <v>305</v>
      </c>
      <c r="T63" s="201" t="s">
        <v>301</v>
      </c>
      <c r="U63" s="205" t="s">
        <v>301</v>
      </c>
    </row>
    <row r="64" spans="1:21" x14ac:dyDescent="0.35">
      <c r="A64" s="204" t="s">
        <v>399</v>
      </c>
      <c r="B64" s="441" t="s">
        <v>400</v>
      </c>
      <c r="C64" s="442"/>
      <c r="D64" s="443"/>
      <c r="E64" s="201" t="s">
        <v>301</v>
      </c>
      <c r="F64" s="201" t="s">
        <v>301</v>
      </c>
      <c r="G64" s="201" t="s">
        <v>310</v>
      </c>
      <c r="H64" s="201" t="s">
        <v>299</v>
      </c>
      <c r="I64" s="201" t="s">
        <v>300</v>
      </c>
      <c r="J64" s="201" t="s">
        <v>299</v>
      </c>
      <c r="K64" s="202">
        <v>119000000</v>
      </c>
      <c r="L64" s="202">
        <v>119000000</v>
      </c>
      <c r="M64" s="201" t="s">
        <v>301</v>
      </c>
      <c r="N64" s="201" t="s">
        <v>299</v>
      </c>
      <c r="O64" s="203"/>
      <c r="P64" s="201" t="s">
        <v>355</v>
      </c>
      <c r="Q64" s="201" t="s">
        <v>398</v>
      </c>
      <c r="R64" s="201" t="s">
        <v>304</v>
      </c>
      <c r="S64" s="201" t="s">
        <v>305</v>
      </c>
      <c r="T64" s="201" t="s">
        <v>301</v>
      </c>
      <c r="U64" s="205" t="s">
        <v>301</v>
      </c>
    </row>
    <row r="65" spans="1:21" x14ac:dyDescent="0.35">
      <c r="A65" s="204" t="s">
        <v>401</v>
      </c>
      <c r="B65" s="441" t="s">
        <v>402</v>
      </c>
      <c r="C65" s="442"/>
      <c r="D65" s="443"/>
      <c r="E65" s="201" t="s">
        <v>297</v>
      </c>
      <c r="F65" s="201" t="s">
        <v>297</v>
      </c>
      <c r="G65" s="201" t="s">
        <v>310</v>
      </c>
      <c r="H65" s="201" t="s">
        <v>299</v>
      </c>
      <c r="I65" s="201" t="s">
        <v>300</v>
      </c>
      <c r="J65" s="201" t="s">
        <v>299</v>
      </c>
      <c r="K65" s="202">
        <v>1600000</v>
      </c>
      <c r="L65" s="202">
        <v>1600000</v>
      </c>
      <c r="M65" s="201" t="s">
        <v>301</v>
      </c>
      <c r="N65" s="201" t="s">
        <v>299</v>
      </c>
      <c r="O65" s="203"/>
      <c r="P65" s="201" t="s">
        <v>355</v>
      </c>
      <c r="Q65" s="201" t="s">
        <v>403</v>
      </c>
      <c r="R65" s="201" t="s">
        <v>304</v>
      </c>
      <c r="S65" s="201" t="s">
        <v>305</v>
      </c>
      <c r="T65" s="201" t="s">
        <v>301</v>
      </c>
      <c r="U65" s="205" t="s">
        <v>301</v>
      </c>
    </row>
    <row r="66" spans="1:21" x14ac:dyDescent="0.35">
      <c r="A66" s="204" t="s">
        <v>350</v>
      </c>
      <c r="B66" s="441" t="s">
        <v>404</v>
      </c>
      <c r="C66" s="442"/>
      <c r="D66" s="443"/>
      <c r="E66" s="201" t="s">
        <v>405</v>
      </c>
      <c r="F66" s="201" t="s">
        <v>405</v>
      </c>
      <c r="G66" s="201" t="s">
        <v>406</v>
      </c>
      <c r="H66" s="201" t="s">
        <v>299</v>
      </c>
      <c r="I66" s="201" t="s">
        <v>300</v>
      </c>
      <c r="J66" s="201" t="s">
        <v>299</v>
      </c>
      <c r="K66" s="202">
        <v>1200000</v>
      </c>
      <c r="L66" s="202">
        <v>1200000</v>
      </c>
      <c r="M66" s="201" t="s">
        <v>301</v>
      </c>
      <c r="N66" s="201" t="s">
        <v>299</v>
      </c>
      <c r="O66" s="203"/>
      <c r="P66" s="201" t="s">
        <v>355</v>
      </c>
      <c r="Q66" s="201" t="s">
        <v>407</v>
      </c>
      <c r="R66" s="201" t="s">
        <v>304</v>
      </c>
      <c r="S66" s="201" t="s">
        <v>305</v>
      </c>
      <c r="T66" s="201" t="s">
        <v>301</v>
      </c>
      <c r="U66" s="205" t="s">
        <v>301</v>
      </c>
    </row>
    <row r="67" spans="1:21" x14ac:dyDescent="0.35">
      <c r="A67" s="204" t="s">
        <v>408</v>
      </c>
      <c r="B67" s="441" t="s">
        <v>409</v>
      </c>
      <c r="C67" s="442"/>
      <c r="D67" s="443"/>
      <c r="E67" s="201" t="s">
        <v>297</v>
      </c>
      <c r="F67" s="201" t="s">
        <v>297</v>
      </c>
      <c r="G67" s="201" t="s">
        <v>410</v>
      </c>
      <c r="H67" s="201" t="s">
        <v>299</v>
      </c>
      <c r="I67" s="201" t="s">
        <v>300</v>
      </c>
      <c r="J67" s="201" t="s">
        <v>299</v>
      </c>
      <c r="K67" s="202">
        <v>2975000</v>
      </c>
      <c r="L67" s="202">
        <v>2975000</v>
      </c>
      <c r="M67" s="201" t="s">
        <v>301</v>
      </c>
      <c r="N67" s="201" t="s">
        <v>299</v>
      </c>
      <c r="O67" s="203"/>
      <c r="P67" s="201" t="s">
        <v>355</v>
      </c>
      <c r="Q67" s="201" t="s">
        <v>407</v>
      </c>
      <c r="R67" s="201" t="s">
        <v>304</v>
      </c>
      <c r="S67" s="201" t="s">
        <v>305</v>
      </c>
      <c r="T67" s="201" t="s">
        <v>301</v>
      </c>
      <c r="U67" s="205" t="s">
        <v>301</v>
      </c>
    </row>
    <row r="68" spans="1:21" x14ac:dyDescent="0.35">
      <c r="A68" s="204" t="s">
        <v>350</v>
      </c>
      <c r="B68" s="441" t="s">
        <v>411</v>
      </c>
      <c r="C68" s="442"/>
      <c r="D68" s="443"/>
      <c r="E68" s="201" t="s">
        <v>297</v>
      </c>
      <c r="F68" s="201" t="s">
        <v>297</v>
      </c>
      <c r="G68" s="201" t="s">
        <v>410</v>
      </c>
      <c r="H68" s="201" t="s">
        <v>299</v>
      </c>
      <c r="I68" s="201" t="s">
        <v>300</v>
      </c>
      <c r="J68" s="201" t="s">
        <v>299</v>
      </c>
      <c r="K68" s="202">
        <v>1500000</v>
      </c>
      <c r="L68" s="202">
        <v>1500000</v>
      </c>
      <c r="M68" s="201" t="s">
        <v>301</v>
      </c>
      <c r="N68" s="201" t="s">
        <v>299</v>
      </c>
      <c r="O68" s="203"/>
      <c r="P68" s="201" t="s">
        <v>355</v>
      </c>
      <c r="Q68" s="201" t="s">
        <v>412</v>
      </c>
      <c r="R68" s="201" t="s">
        <v>304</v>
      </c>
      <c r="S68" s="201" t="s">
        <v>305</v>
      </c>
      <c r="T68" s="201" t="s">
        <v>301</v>
      </c>
      <c r="U68" s="205" t="s">
        <v>301</v>
      </c>
    </row>
    <row r="69" spans="1:21" x14ac:dyDescent="0.35">
      <c r="A69" s="204" t="s">
        <v>306</v>
      </c>
      <c r="B69" s="441" t="s">
        <v>413</v>
      </c>
      <c r="C69" s="442"/>
      <c r="D69" s="443"/>
      <c r="E69" s="201" t="s">
        <v>327</v>
      </c>
      <c r="F69" s="201" t="s">
        <v>327</v>
      </c>
      <c r="G69" s="201" t="s">
        <v>414</v>
      </c>
      <c r="H69" s="201" t="s">
        <v>299</v>
      </c>
      <c r="I69" s="201" t="s">
        <v>300</v>
      </c>
      <c r="J69" s="201" t="s">
        <v>299</v>
      </c>
      <c r="K69" s="202">
        <v>5950000</v>
      </c>
      <c r="L69" s="202">
        <v>5950000</v>
      </c>
      <c r="M69" s="201" t="s">
        <v>301</v>
      </c>
      <c r="N69" s="201" t="s">
        <v>299</v>
      </c>
      <c r="O69" s="203"/>
      <c r="P69" s="201" t="s">
        <v>355</v>
      </c>
      <c r="Q69" s="201" t="s">
        <v>412</v>
      </c>
      <c r="R69" s="201" t="s">
        <v>304</v>
      </c>
      <c r="S69" s="201" t="s">
        <v>305</v>
      </c>
      <c r="T69" s="201" t="s">
        <v>301</v>
      </c>
      <c r="U69" s="205" t="s">
        <v>301</v>
      </c>
    </row>
    <row r="70" spans="1:21" x14ac:dyDescent="0.35">
      <c r="A70" s="204" t="s">
        <v>415</v>
      </c>
      <c r="B70" s="441" t="s">
        <v>416</v>
      </c>
      <c r="C70" s="442"/>
      <c r="D70" s="443"/>
      <c r="E70" s="201" t="s">
        <v>301</v>
      </c>
      <c r="F70" s="201" t="s">
        <v>301</v>
      </c>
      <c r="G70" s="201" t="s">
        <v>310</v>
      </c>
      <c r="H70" s="201" t="s">
        <v>299</v>
      </c>
      <c r="I70" s="201" t="s">
        <v>300</v>
      </c>
      <c r="J70" s="201" t="s">
        <v>299</v>
      </c>
      <c r="K70" s="202">
        <v>1745839328</v>
      </c>
      <c r="L70" s="202">
        <v>1745839328</v>
      </c>
      <c r="M70" s="201" t="s">
        <v>301</v>
      </c>
      <c r="N70" s="201" t="s">
        <v>299</v>
      </c>
      <c r="O70" s="203"/>
      <c r="P70" s="201" t="s">
        <v>355</v>
      </c>
      <c r="Q70" s="201" t="s">
        <v>417</v>
      </c>
      <c r="R70" s="201" t="s">
        <v>304</v>
      </c>
      <c r="S70" s="201" t="s">
        <v>305</v>
      </c>
      <c r="T70" s="201" t="s">
        <v>301</v>
      </c>
      <c r="U70" s="205" t="s">
        <v>301</v>
      </c>
    </row>
    <row r="71" spans="1:21" x14ac:dyDescent="0.35">
      <c r="A71" s="204" t="s">
        <v>418</v>
      </c>
      <c r="B71" s="441" t="s">
        <v>419</v>
      </c>
      <c r="C71" s="442"/>
      <c r="D71" s="443"/>
      <c r="E71" s="201" t="s">
        <v>297</v>
      </c>
      <c r="F71" s="201" t="s">
        <v>297</v>
      </c>
      <c r="G71" s="201" t="s">
        <v>310</v>
      </c>
      <c r="H71" s="201" t="s">
        <v>299</v>
      </c>
      <c r="I71" s="201" t="s">
        <v>300</v>
      </c>
      <c r="J71" s="201" t="s">
        <v>299</v>
      </c>
      <c r="K71" s="202">
        <v>232407000</v>
      </c>
      <c r="L71" s="202">
        <v>232407000</v>
      </c>
      <c r="M71" s="201" t="s">
        <v>301</v>
      </c>
      <c r="N71" s="201" t="s">
        <v>299</v>
      </c>
      <c r="O71" s="203"/>
      <c r="P71" s="201" t="s">
        <v>355</v>
      </c>
      <c r="Q71" s="201" t="s">
        <v>417</v>
      </c>
      <c r="R71" s="201" t="s">
        <v>304</v>
      </c>
      <c r="S71" s="201" t="s">
        <v>305</v>
      </c>
      <c r="T71" s="201" t="s">
        <v>301</v>
      </c>
      <c r="U71" s="205" t="s">
        <v>301</v>
      </c>
    </row>
    <row r="72" spans="1:21" x14ac:dyDescent="0.35">
      <c r="A72" s="204" t="s">
        <v>420</v>
      </c>
      <c r="B72" s="441" t="s">
        <v>421</v>
      </c>
      <c r="C72" s="442"/>
      <c r="D72" s="443"/>
      <c r="E72" s="201" t="s">
        <v>297</v>
      </c>
      <c r="F72" s="201" t="s">
        <v>297</v>
      </c>
      <c r="G72" s="201" t="s">
        <v>310</v>
      </c>
      <c r="H72" s="201" t="s">
        <v>299</v>
      </c>
      <c r="I72" s="201" t="s">
        <v>300</v>
      </c>
      <c r="J72" s="201" t="s">
        <v>299</v>
      </c>
      <c r="K72" s="202">
        <v>178500000</v>
      </c>
      <c r="L72" s="202">
        <v>178500000</v>
      </c>
      <c r="M72" s="201" t="s">
        <v>301</v>
      </c>
      <c r="N72" s="201" t="s">
        <v>299</v>
      </c>
      <c r="O72" s="203"/>
      <c r="P72" s="201" t="s">
        <v>355</v>
      </c>
      <c r="Q72" s="201" t="s">
        <v>417</v>
      </c>
      <c r="R72" s="201" t="s">
        <v>304</v>
      </c>
      <c r="S72" s="201" t="s">
        <v>305</v>
      </c>
      <c r="T72" s="201" t="s">
        <v>301</v>
      </c>
      <c r="U72" s="205" t="s">
        <v>301</v>
      </c>
    </row>
    <row r="73" spans="1:21" x14ac:dyDescent="0.35">
      <c r="A73" s="204" t="s">
        <v>422</v>
      </c>
      <c r="B73" s="441" t="s">
        <v>423</v>
      </c>
      <c r="C73" s="442"/>
      <c r="D73" s="443"/>
      <c r="E73" s="201" t="s">
        <v>297</v>
      </c>
      <c r="F73" s="201" t="s">
        <v>297</v>
      </c>
      <c r="G73" s="201" t="s">
        <v>328</v>
      </c>
      <c r="H73" s="201" t="s">
        <v>299</v>
      </c>
      <c r="I73" s="201" t="s">
        <v>300</v>
      </c>
      <c r="J73" s="201" t="s">
        <v>299</v>
      </c>
      <c r="K73" s="202">
        <v>47600000</v>
      </c>
      <c r="L73" s="202">
        <v>47600000</v>
      </c>
      <c r="M73" s="201" t="s">
        <v>301</v>
      </c>
      <c r="N73" s="201" t="s">
        <v>299</v>
      </c>
      <c r="O73" s="203"/>
      <c r="P73" s="201" t="s">
        <v>355</v>
      </c>
      <c r="Q73" s="201" t="s">
        <v>417</v>
      </c>
      <c r="R73" s="201" t="s">
        <v>304</v>
      </c>
      <c r="S73" s="201" t="s">
        <v>305</v>
      </c>
      <c r="T73" s="201" t="s">
        <v>301</v>
      </c>
      <c r="U73" s="205" t="s">
        <v>301</v>
      </c>
    </row>
    <row r="74" spans="1:21" x14ac:dyDescent="0.35">
      <c r="A74" s="204" t="s">
        <v>348</v>
      </c>
      <c r="B74" s="441" t="s">
        <v>424</v>
      </c>
      <c r="C74" s="442"/>
      <c r="D74" s="443"/>
      <c r="E74" s="201" t="s">
        <v>405</v>
      </c>
      <c r="F74" s="201" t="s">
        <v>405</v>
      </c>
      <c r="G74" s="201" t="s">
        <v>328</v>
      </c>
      <c r="H74" s="201" t="s">
        <v>299</v>
      </c>
      <c r="I74" s="201" t="s">
        <v>300</v>
      </c>
      <c r="J74" s="201" t="s">
        <v>299</v>
      </c>
      <c r="K74" s="202">
        <v>10710000</v>
      </c>
      <c r="L74" s="202">
        <v>10710000</v>
      </c>
      <c r="M74" s="201" t="s">
        <v>301</v>
      </c>
      <c r="N74" s="201" t="s">
        <v>299</v>
      </c>
      <c r="O74" s="203"/>
      <c r="P74" s="201" t="s">
        <v>425</v>
      </c>
      <c r="Q74" s="201" t="s">
        <v>426</v>
      </c>
      <c r="R74" s="201" t="s">
        <v>304</v>
      </c>
      <c r="S74" s="201" t="s">
        <v>305</v>
      </c>
      <c r="T74" s="201" t="s">
        <v>301</v>
      </c>
      <c r="U74" s="205" t="s">
        <v>301</v>
      </c>
    </row>
    <row r="75" spans="1:21" x14ac:dyDescent="0.35">
      <c r="A75" s="204" t="s">
        <v>371</v>
      </c>
      <c r="B75" s="441" t="s">
        <v>427</v>
      </c>
      <c r="C75" s="442"/>
      <c r="D75" s="443"/>
      <c r="E75" s="201" t="s">
        <v>313</v>
      </c>
      <c r="F75" s="201" t="s">
        <v>313</v>
      </c>
      <c r="G75" s="201" t="s">
        <v>328</v>
      </c>
      <c r="H75" s="201" t="s">
        <v>299</v>
      </c>
      <c r="I75" s="201" t="s">
        <v>300</v>
      </c>
      <c r="J75" s="201" t="s">
        <v>299</v>
      </c>
      <c r="K75" s="202">
        <v>3570000</v>
      </c>
      <c r="L75" s="202">
        <v>3570000</v>
      </c>
      <c r="M75" s="201" t="s">
        <v>301</v>
      </c>
      <c r="N75" s="201" t="s">
        <v>299</v>
      </c>
      <c r="O75" s="203"/>
      <c r="P75" s="201" t="s">
        <v>425</v>
      </c>
      <c r="Q75" s="201" t="s">
        <v>426</v>
      </c>
      <c r="R75" s="201" t="s">
        <v>304</v>
      </c>
      <c r="S75" s="201" t="s">
        <v>305</v>
      </c>
      <c r="T75" s="201" t="s">
        <v>301</v>
      </c>
      <c r="U75" s="205" t="s">
        <v>301</v>
      </c>
    </row>
    <row r="76" spans="1:21" x14ac:dyDescent="0.35">
      <c r="A76" s="204" t="s">
        <v>308</v>
      </c>
      <c r="B76" s="441" t="s">
        <v>428</v>
      </c>
      <c r="C76" s="442"/>
      <c r="D76" s="443"/>
      <c r="E76" s="201" t="s">
        <v>297</v>
      </c>
      <c r="F76" s="201" t="s">
        <v>297</v>
      </c>
      <c r="G76" s="201" t="s">
        <v>310</v>
      </c>
      <c r="H76" s="201" t="s">
        <v>299</v>
      </c>
      <c r="I76" s="201" t="s">
        <v>300</v>
      </c>
      <c r="J76" s="201" t="s">
        <v>299</v>
      </c>
      <c r="K76" s="202">
        <v>10710000</v>
      </c>
      <c r="L76" s="202">
        <v>10710000</v>
      </c>
      <c r="M76" s="201" t="s">
        <v>301</v>
      </c>
      <c r="N76" s="201" t="s">
        <v>299</v>
      </c>
      <c r="O76" s="203"/>
      <c r="P76" s="201" t="s">
        <v>425</v>
      </c>
      <c r="Q76" s="201" t="s">
        <v>426</v>
      </c>
      <c r="R76" s="201" t="s">
        <v>304</v>
      </c>
      <c r="S76" s="201" t="s">
        <v>305</v>
      </c>
      <c r="T76" s="201" t="s">
        <v>301</v>
      </c>
      <c r="U76" s="205" t="s">
        <v>301</v>
      </c>
    </row>
    <row r="77" spans="1:21" x14ac:dyDescent="0.35">
      <c r="A77" s="204" t="s">
        <v>350</v>
      </c>
      <c r="B77" s="441" t="s">
        <v>404</v>
      </c>
      <c r="C77" s="442"/>
      <c r="D77" s="443"/>
      <c r="E77" s="201" t="s">
        <v>297</v>
      </c>
      <c r="F77" s="201" t="s">
        <v>297</v>
      </c>
      <c r="G77" s="201" t="s">
        <v>310</v>
      </c>
      <c r="H77" s="201" t="s">
        <v>299</v>
      </c>
      <c r="I77" s="201" t="s">
        <v>300</v>
      </c>
      <c r="J77" s="201" t="s">
        <v>299</v>
      </c>
      <c r="K77" s="202">
        <v>3000000</v>
      </c>
      <c r="L77" s="202">
        <v>3000000</v>
      </c>
      <c r="M77" s="201" t="s">
        <v>301</v>
      </c>
      <c r="N77" s="201" t="s">
        <v>299</v>
      </c>
      <c r="O77" s="203"/>
      <c r="P77" s="201" t="s">
        <v>425</v>
      </c>
      <c r="Q77" s="201" t="s">
        <v>426</v>
      </c>
      <c r="R77" s="201" t="s">
        <v>304</v>
      </c>
      <c r="S77" s="201" t="s">
        <v>305</v>
      </c>
      <c r="T77" s="201" t="s">
        <v>301</v>
      </c>
      <c r="U77" s="205" t="s">
        <v>301</v>
      </c>
    </row>
    <row r="78" spans="1:21" x14ac:dyDescent="0.35">
      <c r="A78" s="204" t="s">
        <v>381</v>
      </c>
      <c r="B78" s="441" t="s">
        <v>429</v>
      </c>
      <c r="C78" s="442"/>
      <c r="D78" s="443"/>
      <c r="E78" s="201" t="s">
        <v>297</v>
      </c>
      <c r="F78" s="201" t="s">
        <v>297</v>
      </c>
      <c r="G78" s="201" t="s">
        <v>310</v>
      </c>
      <c r="H78" s="201" t="s">
        <v>299</v>
      </c>
      <c r="I78" s="201" t="s">
        <v>300</v>
      </c>
      <c r="J78" s="201" t="s">
        <v>299</v>
      </c>
      <c r="K78" s="202">
        <v>29750000</v>
      </c>
      <c r="L78" s="202">
        <v>29750000</v>
      </c>
      <c r="M78" s="201" t="s">
        <v>301</v>
      </c>
      <c r="N78" s="201" t="s">
        <v>299</v>
      </c>
      <c r="O78" s="203"/>
      <c r="P78" s="201" t="s">
        <v>425</v>
      </c>
      <c r="Q78" s="201" t="s">
        <v>426</v>
      </c>
      <c r="R78" s="201" t="s">
        <v>304</v>
      </c>
      <c r="S78" s="201" t="s">
        <v>305</v>
      </c>
      <c r="T78" s="201" t="s">
        <v>301</v>
      </c>
      <c r="U78" s="205" t="s">
        <v>301</v>
      </c>
    </row>
    <row r="79" spans="1:21" x14ac:dyDescent="0.35">
      <c r="A79" s="204" t="s">
        <v>430</v>
      </c>
      <c r="B79" s="441" t="s">
        <v>431</v>
      </c>
      <c r="C79" s="442"/>
      <c r="D79" s="443"/>
      <c r="E79" s="201" t="s">
        <v>432</v>
      </c>
      <c r="F79" s="201" t="s">
        <v>432</v>
      </c>
      <c r="G79" s="201" t="s">
        <v>328</v>
      </c>
      <c r="H79" s="201" t="s">
        <v>299</v>
      </c>
      <c r="I79" s="201" t="s">
        <v>300</v>
      </c>
      <c r="J79" s="201" t="s">
        <v>299</v>
      </c>
      <c r="K79" s="202">
        <v>2500000</v>
      </c>
      <c r="L79" s="202">
        <v>2500000</v>
      </c>
      <c r="M79" s="201" t="s">
        <v>301</v>
      </c>
      <c r="N79" s="201" t="s">
        <v>299</v>
      </c>
      <c r="O79" s="203"/>
      <c r="P79" s="201" t="s">
        <v>425</v>
      </c>
      <c r="Q79" s="201" t="s">
        <v>426</v>
      </c>
      <c r="R79" s="201" t="s">
        <v>304</v>
      </c>
      <c r="S79" s="201" t="s">
        <v>305</v>
      </c>
      <c r="T79" s="201" t="s">
        <v>301</v>
      </c>
      <c r="U79" s="205" t="s">
        <v>301</v>
      </c>
    </row>
    <row r="80" spans="1:21" x14ac:dyDescent="0.35">
      <c r="A80" s="204" t="s">
        <v>433</v>
      </c>
      <c r="B80" s="441" t="s">
        <v>434</v>
      </c>
      <c r="C80" s="442"/>
      <c r="D80" s="443"/>
      <c r="E80" s="201" t="s">
        <v>327</v>
      </c>
      <c r="F80" s="201" t="s">
        <v>327</v>
      </c>
      <c r="G80" s="201" t="s">
        <v>328</v>
      </c>
      <c r="H80" s="201" t="s">
        <v>299</v>
      </c>
      <c r="I80" s="201" t="s">
        <v>300</v>
      </c>
      <c r="J80" s="201" t="s">
        <v>299</v>
      </c>
      <c r="K80" s="202">
        <v>1785000</v>
      </c>
      <c r="L80" s="202">
        <v>1785000</v>
      </c>
      <c r="M80" s="201" t="s">
        <v>301</v>
      </c>
      <c r="N80" s="201" t="s">
        <v>299</v>
      </c>
      <c r="O80" s="203"/>
      <c r="P80" s="201" t="s">
        <v>425</v>
      </c>
      <c r="Q80" s="201" t="s">
        <v>426</v>
      </c>
      <c r="R80" s="201" t="s">
        <v>304</v>
      </c>
      <c r="S80" s="201" t="s">
        <v>305</v>
      </c>
      <c r="T80" s="201" t="s">
        <v>301</v>
      </c>
      <c r="U80" s="205" t="s">
        <v>301</v>
      </c>
    </row>
    <row r="81" spans="1:21" x14ac:dyDescent="0.35">
      <c r="A81" s="204" t="s">
        <v>435</v>
      </c>
      <c r="B81" s="441" t="s">
        <v>436</v>
      </c>
      <c r="C81" s="442"/>
      <c r="D81" s="443"/>
      <c r="E81" s="201" t="s">
        <v>437</v>
      </c>
      <c r="F81" s="201" t="s">
        <v>437</v>
      </c>
      <c r="G81" s="201" t="s">
        <v>328</v>
      </c>
      <c r="H81" s="201" t="s">
        <v>299</v>
      </c>
      <c r="I81" s="201" t="s">
        <v>300</v>
      </c>
      <c r="J81" s="201" t="s">
        <v>299</v>
      </c>
      <c r="K81" s="202">
        <v>1011500</v>
      </c>
      <c r="L81" s="202">
        <v>1011500</v>
      </c>
      <c r="M81" s="201" t="s">
        <v>301</v>
      </c>
      <c r="N81" s="201" t="s">
        <v>299</v>
      </c>
      <c r="O81" s="203"/>
      <c r="P81" s="201" t="s">
        <v>425</v>
      </c>
      <c r="Q81" s="201" t="s">
        <v>426</v>
      </c>
      <c r="R81" s="201" t="s">
        <v>304</v>
      </c>
      <c r="S81" s="201" t="s">
        <v>305</v>
      </c>
      <c r="T81" s="201" t="s">
        <v>301</v>
      </c>
      <c r="U81" s="205" t="s">
        <v>301</v>
      </c>
    </row>
    <row r="82" spans="1:21" x14ac:dyDescent="0.35">
      <c r="A82" s="204" t="s">
        <v>438</v>
      </c>
      <c r="B82" s="441" t="s">
        <v>439</v>
      </c>
      <c r="C82" s="442"/>
      <c r="D82" s="443"/>
      <c r="E82" s="201" t="s">
        <v>319</v>
      </c>
      <c r="F82" s="201" t="s">
        <v>319</v>
      </c>
      <c r="G82" s="201" t="s">
        <v>328</v>
      </c>
      <c r="H82" s="201" t="s">
        <v>299</v>
      </c>
      <c r="I82" s="201" t="s">
        <v>300</v>
      </c>
      <c r="J82" s="201" t="s">
        <v>299</v>
      </c>
      <c r="K82" s="202">
        <v>2380000</v>
      </c>
      <c r="L82" s="202">
        <v>2380000</v>
      </c>
      <c r="M82" s="201" t="s">
        <v>301</v>
      </c>
      <c r="N82" s="201" t="s">
        <v>299</v>
      </c>
      <c r="O82" s="203"/>
      <c r="P82" s="201" t="s">
        <v>425</v>
      </c>
      <c r="Q82" s="201" t="s">
        <v>426</v>
      </c>
      <c r="R82" s="201" t="s">
        <v>304</v>
      </c>
      <c r="S82" s="201" t="s">
        <v>305</v>
      </c>
      <c r="T82" s="201" t="s">
        <v>301</v>
      </c>
      <c r="U82" s="205" t="s">
        <v>301</v>
      </c>
    </row>
    <row r="83" spans="1:21" x14ac:dyDescent="0.35">
      <c r="A83" s="204" t="s">
        <v>440</v>
      </c>
      <c r="B83" s="441" t="s">
        <v>441</v>
      </c>
      <c r="C83" s="442"/>
      <c r="D83" s="443"/>
      <c r="E83" s="201" t="s">
        <v>297</v>
      </c>
      <c r="F83" s="201" t="s">
        <v>297</v>
      </c>
      <c r="G83" s="201" t="s">
        <v>310</v>
      </c>
      <c r="H83" s="201" t="s">
        <v>299</v>
      </c>
      <c r="I83" s="201" t="s">
        <v>300</v>
      </c>
      <c r="J83" s="201" t="s">
        <v>299</v>
      </c>
      <c r="K83" s="202">
        <v>3000000</v>
      </c>
      <c r="L83" s="202">
        <v>3000000</v>
      </c>
      <c r="M83" s="201" t="s">
        <v>301</v>
      </c>
      <c r="N83" s="201" t="s">
        <v>299</v>
      </c>
      <c r="O83" s="203"/>
      <c r="P83" s="201" t="s">
        <v>425</v>
      </c>
      <c r="Q83" s="201" t="s">
        <v>426</v>
      </c>
      <c r="R83" s="201" t="s">
        <v>304</v>
      </c>
      <c r="S83" s="201" t="s">
        <v>305</v>
      </c>
      <c r="T83" s="201" t="s">
        <v>301</v>
      </c>
      <c r="U83" s="205" t="s">
        <v>301</v>
      </c>
    </row>
    <row r="84" spans="1:21" x14ac:dyDescent="0.35">
      <c r="A84" s="204" t="s">
        <v>315</v>
      </c>
      <c r="B84" s="441" t="s">
        <v>442</v>
      </c>
      <c r="C84" s="442"/>
      <c r="D84" s="443"/>
      <c r="E84" s="201" t="s">
        <v>313</v>
      </c>
      <c r="F84" s="201" t="s">
        <v>313</v>
      </c>
      <c r="G84" s="201" t="s">
        <v>310</v>
      </c>
      <c r="H84" s="201" t="s">
        <v>299</v>
      </c>
      <c r="I84" s="201" t="s">
        <v>300</v>
      </c>
      <c r="J84" s="201" t="s">
        <v>299</v>
      </c>
      <c r="K84" s="202">
        <v>69968901</v>
      </c>
      <c r="L84" s="202">
        <v>40570203</v>
      </c>
      <c r="M84" s="201" t="s">
        <v>301</v>
      </c>
      <c r="N84" s="201" t="s">
        <v>301</v>
      </c>
      <c r="O84" s="203"/>
      <c r="P84" s="201" t="s">
        <v>425</v>
      </c>
      <c r="Q84" s="201" t="s">
        <v>426</v>
      </c>
      <c r="R84" s="201" t="s">
        <v>304</v>
      </c>
      <c r="S84" s="201" t="s">
        <v>305</v>
      </c>
      <c r="T84" s="201" t="s">
        <v>301</v>
      </c>
      <c r="U84" s="205" t="s">
        <v>301</v>
      </c>
    </row>
    <row r="85" spans="1:21" x14ac:dyDescent="0.35">
      <c r="A85" s="204" t="s">
        <v>346</v>
      </c>
      <c r="B85" s="441" t="s">
        <v>443</v>
      </c>
      <c r="C85" s="442"/>
      <c r="D85" s="443"/>
      <c r="E85" s="201" t="s">
        <v>297</v>
      </c>
      <c r="F85" s="201" t="s">
        <v>297</v>
      </c>
      <c r="G85" s="201" t="s">
        <v>298</v>
      </c>
      <c r="H85" s="201" t="s">
        <v>299</v>
      </c>
      <c r="I85" s="201" t="s">
        <v>300</v>
      </c>
      <c r="J85" s="201" t="s">
        <v>299</v>
      </c>
      <c r="K85" s="202">
        <v>6300003</v>
      </c>
      <c r="L85" s="202">
        <v>6300003</v>
      </c>
      <c r="M85" s="201" t="s">
        <v>301</v>
      </c>
      <c r="N85" s="201" t="s">
        <v>299</v>
      </c>
      <c r="O85" s="203"/>
      <c r="P85" s="201" t="s">
        <v>444</v>
      </c>
      <c r="Q85" s="201" t="s">
        <v>445</v>
      </c>
      <c r="R85" s="201" t="s">
        <v>304</v>
      </c>
      <c r="S85" s="201" t="s">
        <v>305</v>
      </c>
      <c r="T85" s="201" t="s">
        <v>301</v>
      </c>
      <c r="U85" s="205" t="s">
        <v>301</v>
      </c>
    </row>
    <row r="86" spans="1:21" x14ac:dyDescent="0.35">
      <c r="A86" s="204" t="s">
        <v>315</v>
      </c>
      <c r="B86" s="441" t="s">
        <v>446</v>
      </c>
      <c r="C86" s="442"/>
      <c r="D86" s="443"/>
      <c r="E86" s="201" t="s">
        <v>437</v>
      </c>
      <c r="F86" s="201" t="s">
        <v>437</v>
      </c>
      <c r="G86" s="201" t="s">
        <v>310</v>
      </c>
      <c r="H86" s="201" t="s">
        <v>299</v>
      </c>
      <c r="I86" s="201" t="s">
        <v>300</v>
      </c>
      <c r="J86" s="201" t="s">
        <v>299</v>
      </c>
      <c r="K86" s="202">
        <v>16425612</v>
      </c>
      <c r="L86" s="202">
        <v>16425612</v>
      </c>
      <c r="M86" s="201" t="s">
        <v>301</v>
      </c>
      <c r="N86" s="201" t="s">
        <v>299</v>
      </c>
      <c r="O86" s="203"/>
      <c r="P86" s="201" t="s">
        <v>444</v>
      </c>
      <c r="Q86" s="201" t="s">
        <v>445</v>
      </c>
      <c r="R86" s="201" t="s">
        <v>304</v>
      </c>
      <c r="S86" s="201" t="s">
        <v>305</v>
      </c>
      <c r="T86" s="201" t="s">
        <v>301</v>
      </c>
      <c r="U86" s="205" t="s">
        <v>301</v>
      </c>
    </row>
    <row r="87" spans="1:21" x14ac:dyDescent="0.35">
      <c r="A87" s="204" t="s">
        <v>308</v>
      </c>
      <c r="B87" s="441" t="s">
        <v>447</v>
      </c>
      <c r="C87" s="442"/>
      <c r="D87" s="443"/>
      <c r="E87" s="201" t="s">
        <v>297</v>
      </c>
      <c r="F87" s="201" t="s">
        <v>297</v>
      </c>
      <c r="G87" s="201" t="s">
        <v>310</v>
      </c>
      <c r="H87" s="201" t="s">
        <v>299</v>
      </c>
      <c r="I87" s="201" t="s">
        <v>300</v>
      </c>
      <c r="J87" s="201" t="s">
        <v>299</v>
      </c>
      <c r="K87" s="202">
        <v>1399999</v>
      </c>
      <c r="L87" s="202">
        <v>1399999</v>
      </c>
      <c r="M87" s="201" t="s">
        <v>301</v>
      </c>
      <c r="N87" s="201" t="s">
        <v>299</v>
      </c>
      <c r="O87" s="203"/>
      <c r="P87" s="201" t="s">
        <v>444</v>
      </c>
      <c r="Q87" s="201" t="s">
        <v>445</v>
      </c>
      <c r="R87" s="201" t="s">
        <v>304</v>
      </c>
      <c r="S87" s="201" t="s">
        <v>305</v>
      </c>
      <c r="T87" s="201" t="s">
        <v>301</v>
      </c>
      <c r="U87" s="205" t="s">
        <v>301</v>
      </c>
    </row>
    <row r="88" spans="1:21" x14ac:dyDescent="0.35">
      <c r="A88" s="204" t="s">
        <v>435</v>
      </c>
      <c r="B88" s="441" t="s">
        <v>448</v>
      </c>
      <c r="C88" s="442"/>
      <c r="D88" s="443"/>
      <c r="E88" s="201" t="s">
        <v>437</v>
      </c>
      <c r="F88" s="201" t="s">
        <v>437</v>
      </c>
      <c r="G88" s="201" t="s">
        <v>310</v>
      </c>
      <c r="H88" s="201" t="s">
        <v>299</v>
      </c>
      <c r="I88" s="201" t="s">
        <v>300</v>
      </c>
      <c r="J88" s="201" t="s">
        <v>299</v>
      </c>
      <c r="K88" s="202">
        <v>349999</v>
      </c>
      <c r="L88" s="202">
        <v>349999</v>
      </c>
      <c r="M88" s="201" t="s">
        <v>301</v>
      </c>
      <c r="N88" s="201" t="s">
        <v>299</v>
      </c>
      <c r="O88" s="203"/>
      <c r="P88" s="201" t="s">
        <v>444</v>
      </c>
      <c r="Q88" s="201" t="s">
        <v>445</v>
      </c>
      <c r="R88" s="201" t="s">
        <v>304</v>
      </c>
      <c r="S88" s="201" t="s">
        <v>305</v>
      </c>
      <c r="T88" s="201" t="s">
        <v>301</v>
      </c>
      <c r="U88" s="205" t="s">
        <v>301</v>
      </c>
    </row>
    <row r="89" spans="1:21" x14ac:dyDescent="0.35">
      <c r="A89" s="204" t="s">
        <v>329</v>
      </c>
      <c r="B89" s="441" t="s">
        <v>449</v>
      </c>
      <c r="C89" s="442"/>
      <c r="D89" s="443"/>
      <c r="E89" s="201" t="s">
        <v>297</v>
      </c>
      <c r="F89" s="201" t="s">
        <v>297</v>
      </c>
      <c r="G89" s="201" t="s">
        <v>328</v>
      </c>
      <c r="H89" s="201" t="s">
        <v>299</v>
      </c>
      <c r="I89" s="201" t="s">
        <v>300</v>
      </c>
      <c r="J89" s="201" t="s">
        <v>299</v>
      </c>
      <c r="K89" s="202">
        <v>9520000</v>
      </c>
      <c r="L89" s="202">
        <v>9520000</v>
      </c>
      <c r="M89" s="201" t="s">
        <v>301</v>
      </c>
      <c r="N89" s="201" t="s">
        <v>299</v>
      </c>
      <c r="O89" s="203"/>
      <c r="P89" s="201" t="s">
        <v>444</v>
      </c>
      <c r="Q89" s="201" t="s">
        <v>445</v>
      </c>
      <c r="R89" s="201" t="s">
        <v>304</v>
      </c>
      <c r="S89" s="201" t="s">
        <v>305</v>
      </c>
      <c r="T89" s="201" t="s">
        <v>301</v>
      </c>
      <c r="U89" s="205" t="s">
        <v>301</v>
      </c>
    </row>
    <row r="90" spans="1:21" x14ac:dyDescent="0.35">
      <c r="A90" s="204" t="s">
        <v>430</v>
      </c>
      <c r="B90" s="441" t="s">
        <v>450</v>
      </c>
      <c r="C90" s="442"/>
      <c r="D90" s="443"/>
      <c r="E90" s="201" t="s">
        <v>297</v>
      </c>
      <c r="F90" s="201" t="s">
        <v>297</v>
      </c>
      <c r="G90" s="201" t="s">
        <v>414</v>
      </c>
      <c r="H90" s="201" t="s">
        <v>299</v>
      </c>
      <c r="I90" s="201" t="s">
        <v>300</v>
      </c>
      <c r="J90" s="201" t="s">
        <v>299</v>
      </c>
      <c r="K90" s="202">
        <v>39189080</v>
      </c>
      <c r="L90" s="202">
        <v>39189080</v>
      </c>
      <c r="M90" s="201" t="s">
        <v>301</v>
      </c>
      <c r="N90" s="201" t="s">
        <v>299</v>
      </c>
      <c r="O90" s="203"/>
      <c r="P90" s="201" t="s">
        <v>444</v>
      </c>
      <c r="Q90" s="201" t="s">
        <v>445</v>
      </c>
      <c r="R90" s="201" t="s">
        <v>304</v>
      </c>
      <c r="S90" s="201" t="s">
        <v>305</v>
      </c>
      <c r="T90" s="201" t="s">
        <v>301</v>
      </c>
      <c r="U90" s="205" t="s">
        <v>301</v>
      </c>
    </row>
    <row r="91" spans="1:21" x14ac:dyDescent="0.35">
      <c r="A91" s="204" t="s">
        <v>451</v>
      </c>
      <c r="B91" s="441" t="s">
        <v>452</v>
      </c>
      <c r="C91" s="442"/>
      <c r="D91" s="443"/>
      <c r="E91" s="201" t="s">
        <v>297</v>
      </c>
      <c r="F91" s="201" t="s">
        <v>297</v>
      </c>
      <c r="G91" s="201" t="s">
        <v>414</v>
      </c>
      <c r="H91" s="201" t="s">
        <v>299</v>
      </c>
      <c r="I91" s="201" t="s">
        <v>300</v>
      </c>
      <c r="J91" s="201" t="s">
        <v>299</v>
      </c>
      <c r="K91" s="202">
        <v>26907507</v>
      </c>
      <c r="L91" s="202">
        <v>26907507</v>
      </c>
      <c r="M91" s="201" t="s">
        <v>301</v>
      </c>
      <c r="N91" s="201" t="s">
        <v>299</v>
      </c>
      <c r="O91" s="203"/>
      <c r="P91" s="201" t="s">
        <v>444</v>
      </c>
      <c r="Q91" s="201" t="s">
        <v>445</v>
      </c>
      <c r="R91" s="201" t="s">
        <v>304</v>
      </c>
      <c r="S91" s="201" t="s">
        <v>305</v>
      </c>
      <c r="T91" s="201" t="s">
        <v>301</v>
      </c>
      <c r="U91" s="205" t="s">
        <v>301</v>
      </c>
    </row>
    <row r="92" spans="1:21" x14ac:dyDescent="0.35">
      <c r="A92" s="204" t="s">
        <v>365</v>
      </c>
      <c r="B92" s="441" t="s">
        <v>453</v>
      </c>
      <c r="C92" s="442"/>
      <c r="D92" s="443"/>
      <c r="E92" s="201" t="s">
        <v>297</v>
      </c>
      <c r="F92" s="201" t="s">
        <v>297</v>
      </c>
      <c r="G92" s="201" t="s">
        <v>414</v>
      </c>
      <c r="H92" s="201" t="s">
        <v>299</v>
      </c>
      <c r="I92" s="201" t="s">
        <v>300</v>
      </c>
      <c r="J92" s="201" t="s">
        <v>299</v>
      </c>
      <c r="K92" s="202">
        <v>9520000</v>
      </c>
      <c r="L92" s="202">
        <v>9520000</v>
      </c>
      <c r="M92" s="201" t="s">
        <v>301</v>
      </c>
      <c r="N92" s="201" t="s">
        <v>299</v>
      </c>
      <c r="O92" s="203"/>
      <c r="P92" s="201" t="s">
        <v>444</v>
      </c>
      <c r="Q92" s="201" t="s">
        <v>445</v>
      </c>
      <c r="R92" s="201" t="s">
        <v>304</v>
      </c>
      <c r="S92" s="201" t="s">
        <v>305</v>
      </c>
      <c r="T92" s="201" t="s">
        <v>301</v>
      </c>
      <c r="U92" s="205" t="s">
        <v>301</v>
      </c>
    </row>
    <row r="93" spans="1:21" x14ac:dyDescent="0.35">
      <c r="A93" s="204" t="s">
        <v>454</v>
      </c>
      <c r="B93" s="441" t="s">
        <v>455</v>
      </c>
      <c r="C93" s="442"/>
      <c r="D93" s="443"/>
      <c r="E93" s="201" t="s">
        <v>319</v>
      </c>
      <c r="F93" s="201" t="s">
        <v>319</v>
      </c>
      <c r="G93" s="201" t="s">
        <v>456</v>
      </c>
      <c r="H93" s="201" t="s">
        <v>299</v>
      </c>
      <c r="I93" s="201" t="s">
        <v>300</v>
      </c>
      <c r="J93" s="201" t="s">
        <v>299</v>
      </c>
      <c r="K93" s="202">
        <v>130900000</v>
      </c>
      <c r="L93" s="202">
        <v>130900000</v>
      </c>
      <c r="M93" s="201" t="s">
        <v>301</v>
      </c>
      <c r="N93" s="201" t="s">
        <v>299</v>
      </c>
      <c r="O93" s="203"/>
      <c r="P93" s="201" t="s">
        <v>355</v>
      </c>
      <c r="Q93" s="201" t="s">
        <v>457</v>
      </c>
      <c r="R93" s="201" t="s">
        <v>304</v>
      </c>
      <c r="S93" s="201" t="s">
        <v>305</v>
      </c>
      <c r="T93" s="201" t="s">
        <v>301</v>
      </c>
      <c r="U93" s="205" t="s">
        <v>301</v>
      </c>
    </row>
    <row r="94" spans="1:21" x14ac:dyDescent="0.35">
      <c r="A94" s="204" t="s">
        <v>458</v>
      </c>
      <c r="B94" s="441" t="s">
        <v>459</v>
      </c>
      <c r="C94" s="442"/>
      <c r="D94" s="443"/>
      <c r="E94" s="201" t="s">
        <v>460</v>
      </c>
      <c r="F94" s="201" t="s">
        <v>460</v>
      </c>
      <c r="G94" s="201" t="s">
        <v>461</v>
      </c>
      <c r="H94" s="201" t="s">
        <v>299</v>
      </c>
      <c r="I94" s="201" t="s">
        <v>300</v>
      </c>
      <c r="J94" s="201" t="s">
        <v>299</v>
      </c>
      <c r="K94" s="202">
        <v>19367250</v>
      </c>
      <c r="L94" s="202">
        <v>1985550</v>
      </c>
      <c r="M94" s="201" t="s">
        <v>301</v>
      </c>
      <c r="N94" s="201" t="s">
        <v>301</v>
      </c>
      <c r="O94" s="203"/>
      <c r="P94" s="201" t="s">
        <v>355</v>
      </c>
      <c r="Q94" s="201" t="s">
        <v>462</v>
      </c>
      <c r="R94" s="201" t="s">
        <v>304</v>
      </c>
      <c r="S94" s="201" t="s">
        <v>305</v>
      </c>
      <c r="T94" s="201" t="s">
        <v>301</v>
      </c>
      <c r="U94" s="205" t="s">
        <v>301</v>
      </c>
    </row>
    <row r="95" spans="1:21" x14ac:dyDescent="0.35">
      <c r="A95" s="204" t="s">
        <v>463</v>
      </c>
      <c r="B95" s="441" t="s">
        <v>464</v>
      </c>
      <c r="C95" s="442"/>
      <c r="D95" s="443"/>
      <c r="E95" s="201" t="s">
        <v>297</v>
      </c>
      <c r="F95" s="201" t="s">
        <v>297</v>
      </c>
      <c r="G95" s="201" t="s">
        <v>310</v>
      </c>
      <c r="H95" s="201" t="s">
        <v>299</v>
      </c>
      <c r="I95" s="201" t="s">
        <v>300</v>
      </c>
      <c r="J95" s="201" t="s">
        <v>299</v>
      </c>
      <c r="K95" s="202">
        <v>59500000</v>
      </c>
      <c r="L95" s="202">
        <v>59500000</v>
      </c>
      <c r="M95" s="201" t="s">
        <v>301</v>
      </c>
      <c r="N95" s="201" t="s">
        <v>299</v>
      </c>
      <c r="O95" s="203"/>
      <c r="P95" s="201" t="s">
        <v>355</v>
      </c>
      <c r="Q95" s="201" t="s">
        <v>465</v>
      </c>
      <c r="R95" s="201" t="s">
        <v>304</v>
      </c>
      <c r="S95" s="201" t="s">
        <v>305</v>
      </c>
      <c r="T95" s="201" t="s">
        <v>301</v>
      </c>
      <c r="U95" s="205" t="s">
        <v>301</v>
      </c>
    </row>
    <row r="96" spans="1:21" x14ac:dyDescent="0.35">
      <c r="A96" s="204" t="s">
        <v>466</v>
      </c>
      <c r="B96" s="441" t="s">
        <v>467</v>
      </c>
      <c r="C96" s="442"/>
      <c r="D96" s="443"/>
      <c r="E96" s="201" t="s">
        <v>460</v>
      </c>
      <c r="F96" s="201" t="s">
        <v>460</v>
      </c>
      <c r="G96" s="201" t="s">
        <v>468</v>
      </c>
      <c r="H96" s="201" t="s">
        <v>299</v>
      </c>
      <c r="I96" s="201" t="s">
        <v>300</v>
      </c>
      <c r="J96" s="201" t="s">
        <v>299</v>
      </c>
      <c r="K96" s="202">
        <v>18616986</v>
      </c>
      <c r="L96" s="202">
        <v>7954609</v>
      </c>
      <c r="M96" s="201" t="s">
        <v>301</v>
      </c>
      <c r="N96" s="201" t="s">
        <v>301</v>
      </c>
      <c r="O96" s="203"/>
      <c r="P96" s="201" t="s">
        <v>355</v>
      </c>
      <c r="Q96" s="201" t="s">
        <v>469</v>
      </c>
      <c r="R96" s="201" t="s">
        <v>304</v>
      </c>
      <c r="S96" s="201" t="s">
        <v>305</v>
      </c>
      <c r="T96" s="201" t="s">
        <v>301</v>
      </c>
      <c r="U96" s="205" t="s">
        <v>301</v>
      </c>
    </row>
    <row r="97" spans="1:21" x14ac:dyDescent="0.35">
      <c r="A97" s="204" t="s">
        <v>470</v>
      </c>
      <c r="B97" s="441" t="s">
        <v>471</v>
      </c>
      <c r="C97" s="442"/>
      <c r="D97" s="443"/>
      <c r="E97" s="201" t="s">
        <v>338</v>
      </c>
      <c r="F97" s="201" t="s">
        <v>338</v>
      </c>
      <c r="G97" s="201" t="s">
        <v>310</v>
      </c>
      <c r="H97" s="201" t="s">
        <v>299</v>
      </c>
      <c r="I97" s="201" t="s">
        <v>300</v>
      </c>
      <c r="J97" s="201" t="s">
        <v>299</v>
      </c>
      <c r="K97" s="202">
        <v>10044727</v>
      </c>
      <c r="L97" s="202">
        <v>10044727</v>
      </c>
      <c r="M97" s="201" t="s">
        <v>301</v>
      </c>
      <c r="N97" s="201" t="s">
        <v>301</v>
      </c>
      <c r="O97" s="203"/>
      <c r="P97" s="201" t="s">
        <v>355</v>
      </c>
      <c r="Q97" s="201" t="s">
        <v>472</v>
      </c>
      <c r="R97" s="201" t="s">
        <v>304</v>
      </c>
      <c r="S97" s="201" t="s">
        <v>305</v>
      </c>
      <c r="T97" s="201" t="s">
        <v>301</v>
      </c>
      <c r="U97" s="205" t="s">
        <v>301</v>
      </c>
    </row>
    <row r="98" spans="1:21" x14ac:dyDescent="0.35">
      <c r="A98" s="204" t="s">
        <v>473</v>
      </c>
      <c r="B98" s="441" t="s">
        <v>474</v>
      </c>
      <c r="C98" s="442"/>
      <c r="D98" s="443"/>
      <c r="E98" s="201" t="s">
        <v>297</v>
      </c>
      <c r="F98" s="201" t="s">
        <v>297</v>
      </c>
      <c r="G98" s="201" t="s">
        <v>468</v>
      </c>
      <c r="H98" s="201" t="s">
        <v>299</v>
      </c>
      <c r="I98" s="201" t="s">
        <v>300</v>
      </c>
      <c r="J98" s="201" t="s">
        <v>299</v>
      </c>
      <c r="K98" s="202">
        <v>0</v>
      </c>
      <c r="L98" s="202">
        <v>0</v>
      </c>
      <c r="M98" s="201" t="s">
        <v>301</v>
      </c>
      <c r="N98" s="201" t="s">
        <v>301</v>
      </c>
      <c r="O98" s="203"/>
      <c r="P98" s="201" t="s">
        <v>355</v>
      </c>
      <c r="Q98" s="201" t="s">
        <v>475</v>
      </c>
      <c r="R98" s="201" t="s">
        <v>304</v>
      </c>
      <c r="S98" s="201" t="s">
        <v>305</v>
      </c>
      <c r="T98" s="201" t="s">
        <v>301</v>
      </c>
      <c r="U98" s="205" t="s">
        <v>301</v>
      </c>
    </row>
    <row r="99" spans="1:21" x14ac:dyDescent="0.35">
      <c r="A99" s="204" t="s">
        <v>473</v>
      </c>
      <c r="B99" s="441" t="s">
        <v>474</v>
      </c>
      <c r="C99" s="442"/>
      <c r="D99" s="443"/>
      <c r="E99" s="201" t="s">
        <v>297</v>
      </c>
      <c r="F99" s="201" t="s">
        <v>297</v>
      </c>
      <c r="G99" s="201" t="s">
        <v>468</v>
      </c>
      <c r="H99" s="201" t="s">
        <v>299</v>
      </c>
      <c r="I99" s="201" t="s">
        <v>300</v>
      </c>
      <c r="J99" s="201" t="s">
        <v>299</v>
      </c>
      <c r="K99" s="202">
        <v>0</v>
      </c>
      <c r="L99" s="202">
        <v>0</v>
      </c>
      <c r="M99" s="201" t="s">
        <v>301</v>
      </c>
      <c r="N99" s="201" t="s">
        <v>301</v>
      </c>
      <c r="O99" s="203"/>
      <c r="P99" s="201" t="s">
        <v>355</v>
      </c>
      <c r="Q99" s="201" t="s">
        <v>475</v>
      </c>
      <c r="R99" s="201" t="s">
        <v>304</v>
      </c>
      <c r="S99" s="201" t="s">
        <v>305</v>
      </c>
      <c r="T99" s="201" t="s">
        <v>301</v>
      </c>
      <c r="U99" s="205" t="s">
        <v>301</v>
      </c>
    </row>
    <row r="100" spans="1:21" x14ac:dyDescent="0.35">
      <c r="A100" s="204" t="s">
        <v>463</v>
      </c>
      <c r="B100" s="441" t="s">
        <v>476</v>
      </c>
      <c r="C100" s="442"/>
      <c r="D100" s="443"/>
      <c r="E100" s="201" t="s">
        <v>313</v>
      </c>
      <c r="F100" s="201" t="s">
        <v>313</v>
      </c>
      <c r="G100" s="201" t="s">
        <v>414</v>
      </c>
      <c r="H100" s="201" t="s">
        <v>299</v>
      </c>
      <c r="I100" s="201" t="s">
        <v>300</v>
      </c>
      <c r="J100" s="201" t="s">
        <v>299</v>
      </c>
      <c r="K100" s="202">
        <v>35700000</v>
      </c>
      <c r="L100" s="202">
        <v>35700000</v>
      </c>
      <c r="M100" s="201" t="s">
        <v>301</v>
      </c>
      <c r="N100" s="201" t="s">
        <v>299</v>
      </c>
      <c r="O100" s="203"/>
      <c r="P100" s="201" t="s">
        <v>355</v>
      </c>
      <c r="Q100" s="201" t="s">
        <v>475</v>
      </c>
      <c r="R100" s="201" t="s">
        <v>304</v>
      </c>
      <c r="S100" s="201" t="s">
        <v>305</v>
      </c>
      <c r="T100" s="201" t="s">
        <v>301</v>
      </c>
      <c r="U100" s="205" t="s">
        <v>301</v>
      </c>
    </row>
    <row r="101" spans="1:21" x14ac:dyDescent="0.35">
      <c r="A101" s="204" t="s">
        <v>477</v>
      </c>
      <c r="B101" s="441" t="s">
        <v>478</v>
      </c>
      <c r="C101" s="442"/>
      <c r="D101" s="443"/>
      <c r="E101" s="201" t="s">
        <v>301</v>
      </c>
      <c r="F101" s="201" t="s">
        <v>301</v>
      </c>
      <c r="G101" s="201" t="s">
        <v>461</v>
      </c>
      <c r="H101" s="201" t="s">
        <v>299</v>
      </c>
      <c r="I101" s="201" t="s">
        <v>300</v>
      </c>
      <c r="J101" s="201" t="s">
        <v>299</v>
      </c>
      <c r="K101" s="202">
        <v>0</v>
      </c>
      <c r="L101" s="202">
        <v>0</v>
      </c>
      <c r="M101" s="201" t="s">
        <v>301</v>
      </c>
      <c r="N101" s="201" t="s">
        <v>301</v>
      </c>
      <c r="O101" s="203"/>
      <c r="P101" s="201" t="s">
        <v>355</v>
      </c>
      <c r="Q101" s="201" t="s">
        <v>475</v>
      </c>
      <c r="R101" s="201" t="s">
        <v>304</v>
      </c>
      <c r="S101" s="201" t="s">
        <v>305</v>
      </c>
      <c r="T101" s="201" t="s">
        <v>301</v>
      </c>
      <c r="U101" s="205" t="s">
        <v>301</v>
      </c>
    </row>
    <row r="102" spans="1:21" x14ac:dyDescent="0.35">
      <c r="A102" s="204" t="s">
        <v>479</v>
      </c>
      <c r="B102" s="441" t="s">
        <v>480</v>
      </c>
      <c r="C102" s="442"/>
      <c r="D102" s="443"/>
      <c r="E102" s="201" t="s">
        <v>327</v>
      </c>
      <c r="F102" s="201" t="s">
        <v>327</v>
      </c>
      <c r="G102" s="201" t="s">
        <v>328</v>
      </c>
      <c r="H102" s="201" t="s">
        <v>299</v>
      </c>
      <c r="I102" s="201" t="s">
        <v>300</v>
      </c>
      <c r="J102" s="201" t="s">
        <v>299</v>
      </c>
      <c r="K102" s="202">
        <v>7735000</v>
      </c>
      <c r="L102" s="202">
        <v>7735000</v>
      </c>
      <c r="M102" s="201" t="s">
        <v>301</v>
      </c>
      <c r="N102" s="201" t="s">
        <v>299</v>
      </c>
      <c r="O102" s="203"/>
      <c r="P102" s="201" t="s">
        <v>481</v>
      </c>
      <c r="Q102" s="201" t="s">
        <v>482</v>
      </c>
      <c r="R102" s="201" t="s">
        <v>304</v>
      </c>
      <c r="S102" s="201" t="s">
        <v>305</v>
      </c>
      <c r="T102" s="201" t="s">
        <v>301</v>
      </c>
      <c r="U102" s="205" t="s">
        <v>301</v>
      </c>
    </row>
    <row r="103" spans="1:21" x14ac:dyDescent="0.35">
      <c r="A103" s="204" t="s">
        <v>438</v>
      </c>
      <c r="B103" s="441" t="s">
        <v>449</v>
      </c>
      <c r="C103" s="442"/>
      <c r="D103" s="443"/>
      <c r="E103" s="201" t="s">
        <v>327</v>
      </c>
      <c r="F103" s="201" t="s">
        <v>327</v>
      </c>
      <c r="G103" s="201" t="s">
        <v>328</v>
      </c>
      <c r="H103" s="201" t="s">
        <v>299</v>
      </c>
      <c r="I103" s="201" t="s">
        <v>300</v>
      </c>
      <c r="J103" s="201" t="s">
        <v>299</v>
      </c>
      <c r="K103" s="202">
        <v>14280000</v>
      </c>
      <c r="L103" s="202">
        <v>14280000</v>
      </c>
      <c r="M103" s="201" t="s">
        <v>301</v>
      </c>
      <c r="N103" s="201" t="s">
        <v>299</v>
      </c>
      <c r="O103" s="203"/>
      <c r="P103" s="201" t="s">
        <v>481</v>
      </c>
      <c r="Q103" s="201" t="s">
        <v>482</v>
      </c>
      <c r="R103" s="201" t="s">
        <v>304</v>
      </c>
      <c r="S103" s="201" t="s">
        <v>305</v>
      </c>
      <c r="T103" s="201" t="s">
        <v>301</v>
      </c>
      <c r="U103" s="205" t="s">
        <v>301</v>
      </c>
    </row>
    <row r="104" spans="1:21" x14ac:dyDescent="0.35">
      <c r="A104" s="204" t="s">
        <v>483</v>
      </c>
      <c r="B104" s="441" t="s">
        <v>484</v>
      </c>
      <c r="C104" s="442"/>
      <c r="D104" s="443"/>
      <c r="E104" s="201" t="s">
        <v>327</v>
      </c>
      <c r="F104" s="201" t="s">
        <v>327</v>
      </c>
      <c r="G104" s="201" t="s">
        <v>485</v>
      </c>
      <c r="H104" s="201" t="s">
        <v>299</v>
      </c>
      <c r="I104" s="201" t="s">
        <v>300</v>
      </c>
      <c r="J104" s="201" t="s">
        <v>299</v>
      </c>
      <c r="K104" s="202">
        <v>35700000</v>
      </c>
      <c r="L104" s="202">
        <v>35700000</v>
      </c>
      <c r="M104" s="201" t="s">
        <v>301</v>
      </c>
      <c r="N104" s="201" t="s">
        <v>299</v>
      </c>
      <c r="O104" s="203"/>
      <c r="P104" s="201" t="s">
        <v>481</v>
      </c>
      <c r="Q104" s="201" t="s">
        <v>482</v>
      </c>
      <c r="R104" s="201" t="s">
        <v>304</v>
      </c>
      <c r="S104" s="201" t="s">
        <v>305</v>
      </c>
      <c r="T104" s="201" t="s">
        <v>301</v>
      </c>
      <c r="U104" s="205" t="s">
        <v>301</v>
      </c>
    </row>
    <row r="105" spans="1:21" x14ac:dyDescent="0.35">
      <c r="A105" s="204" t="s">
        <v>486</v>
      </c>
      <c r="B105" s="441" t="s">
        <v>487</v>
      </c>
      <c r="C105" s="442"/>
      <c r="D105" s="443"/>
      <c r="E105" s="201" t="s">
        <v>488</v>
      </c>
      <c r="F105" s="201" t="s">
        <v>488</v>
      </c>
      <c r="G105" s="201" t="s">
        <v>328</v>
      </c>
      <c r="H105" s="201" t="s">
        <v>299</v>
      </c>
      <c r="I105" s="201" t="s">
        <v>300</v>
      </c>
      <c r="J105" s="201" t="s">
        <v>299</v>
      </c>
      <c r="K105" s="202">
        <v>95200000</v>
      </c>
      <c r="L105" s="202">
        <v>95200000</v>
      </c>
      <c r="M105" s="201" t="s">
        <v>301</v>
      </c>
      <c r="N105" s="201" t="s">
        <v>299</v>
      </c>
      <c r="O105" s="203"/>
      <c r="P105" s="201" t="s">
        <v>481</v>
      </c>
      <c r="Q105" s="201" t="s">
        <v>482</v>
      </c>
      <c r="R105" s="201" t="s">
        <v>304</v>
      </c>
      <c r="S105" s="201" t="s">
        <v>305</v>
      </c>
      <c r="T105" s="201" t="s">
        <v>301</v>
      </c>
      <c r="U105" s="205" t="s">
        <v>301</v>
      </c>
    </row>
    <row r="106" spans="1:21" x14ac:dyDescent="0.35">
      <c r="A106" s="204" t="s">
        <v>489</v>
      </c>
      <c r="B106" s="441" t="s">
        <v>490</v>
      </c>
      <c r="C106" s="442"/>
      <c r="D106" s="443"/>
      <c r="E106" s="201" t="s">
        <v>319</v>
      </c>
      <c r="F106" s="201" t="s">
        <v>319</v>
      </c>
      <c r="G106" s="201" t="s">
        <v>328</v>
      </c>
      <c r="H106" s="201" t="s">
        <v>299</v>
      </c>
      <c r="I106" s="201" t="s">
        <v>300</v>
      </c>
      <c r="J106" s="201" t="s">
        <v>299</v>
      </c>
      <c r="K106" s="202">
        <v>41650000</v>
      </c>
      <c r="L106" s="202">
        <v>41650000</v>
      </c>
      <c r="M106" s="201" t="s">
        <v>301</v>
      </c>
      <c r="N106" s="201" t="s">
        <v>299</v>
      </c>
      <c r="O106" s="203"/>
      <c r="P106" s="201" t="s">
        <v>481</v>
      </c>
      <c r="Q106" s="201" t="s">
        <v>491</v>
      </c>
      <c r="R106" s="201" t="s">
        <v>304</v>
      </c>
      <c r="S106" s="201" t="s">
        <v>305</v>
      </c>
      <c r="T106" s="201" t="s">
        <v>301</v>
      </c>
      <c r="U106" s="205" t="s">
        <v>301</v>
      </c>
    </row>
    <row r="107" spans="1:21" x14ac:dyDescent="0.35">
      <c r="A107" s="204" t="s">
        <v>430</v>
      </c>
      <c r="B107" s="441" t="s">
        <v>492</v>
      </c>
      <c r="C107" s="442"/>
      <c r="D107" s="443"/>
      <c r="E107" s="201" t="s">
        <v>297</v>
      </c>
      <c r="F107" s="201" t="s">
        <v>297</v>
      </c>
      <c r="G107" s="201" t="s">
        <v>493</v>
      </c>
      <c r="H107" s="201" t="s">
        <v>299</v>
      </c>
      <c r="I107" s="201" t="s">
        <v>300</v>
      </c>
      <c r="J107" s="201" t="s">
        <v>299</v>
      </c>
      <c r="K107" s="202">
        <v>59500000</v>
      </c>
      <c r="L107" s="202">
        <v>59500000</v>
      </c>
      <c r="M107" s="201" t="s">
        <v>301</v>
      </c>
      <c r="N107" s="201" t="s">
        <v>299</v>
      </c>
      <c r="O107" s="203"/>
      <c r="P107" s="201" t="s">
        <v>481</v>
      </c>
      <c r="Q107" s="201" t="s">
        <v>491</v>
      </c>
      <c r="R107" s="201" t="s">
        <v>304</v>
      </c>
      <c r="S107" s="201" t="s">
        <v>305</v>
      </c>
      <c r="T107" s="201" t="s">
        <v>301</v>
      </c>
      <c r="U107" s="205" t="s">
        <v>301</v>
      </c>
    </row>
    <row r="108" spans="1:21" x14ac:dyDescent="0.35">
      <c r="A108" s="204" t="s">
        <v>308</v>
      </c>
      <c r="B108" s="441" t="s">
        <v>428</v>
      </c>
      <c r="C108" s="442"/>
      <c r="D108" s="443"/>
      <c r="E108" s="201" t="s">
        <v>297</v>
      </c>
      <c r="F108" s="201" t="s">
        <v>297</v>
      </c>
      <c r="G108" s="201" t="s">
        <v>298</v>
      </c>
      <c r="H108" s="201" t="s">
        <v>299</v>
      </c>
      <c r="I108" s="201" t="s">
        <v>300</v>
      </c>
      <c r="J108" s="201" t="s">
        <v>299</v>
      </c>
      <c r="K108" s="202">
        <v>1904000</v>
      </c>
      <c r="L108" s="202">
        <v>1904000</v>
      </c>
      <c r="M108" s="201" t="s">
        <v>301</v>
      </c>
      <c r="N108" s="201" t="s">
        <v>299</v>
      </c>
      <c r="O108" s="203"/>
      <c r="P108" s="201" t="s">
        <v>481</v>
      </c>
      <c r="Q108" s="201" t="s">
        <v>482</v>
      </c>
      <c r="R108" s="201" t="s">
        <v>304</v>
      </c>
      <c r="S108" s="201" t="s">
        <v>305</v>
      </c>
      <c r="T108" s="201" t="s">
        <v>301</v>
      </c>
      <c r="U108" s="205" t="s">
        <v>301</v>
      </c>
    </row>
    <row r="109" spans="1:21" x14ac:dyDescent="0.35">
      <c r="A109" s="204" t="s">
        <v>348</v>
      </c>
      <c r="B109" s="441" t="s">
        <v>494</v>
      </c>
      <c r="C109" s="442"/>
      <c r="D109" s="443"/>
      <c r="E109" s="201" t="s">
        <v>297</v>
      </c>
      <c r="F109" s="201" t="s">
        <v>297</v>
      </c>
      <c r="G109" s="201" t="s">
        <v>493</v>
      </c>
      <c r="H109" s="201" t="s">
        <v>299</v>
      </c>
      <c r="I109" s="201" t="s">
        <v>300</v>
      </c>
      <c r="J109" s="201" t="s">
        <v>299</v>
      </c>
      <c r="K109" s="202">
        <v>4165000</v>
      </c>
      <c r="L109" s="202">
        <v>4165000</v>
      </c>
      <c r="M109" s="201" t="s">
        <v>301</v>
      </c>
      <c r="N109" s="201" t="s">
        <v>299</v>
      </c>
      <c r="O109" s="203"/>
      <c r="P109" s="201" t="s">
        <v>481</v>
      </c>
      <c r="Q109" s="201" t="s">
        <v>482</v>
      </c>
      <c r="R109" s="201" t="s">
        <v>304</v>
      </c>
      <c r="S109" s="201" t="s">
        <v>305</v>
      </c>
      <c r="T109" s="201" t="s">
        <v>301</v>
      </c>
      <c r="U109" s="205" t="s">
        <v>301</v>
      </c>
    </row>
    <row r="110" spans="1:21" x14ac:dyDescent="0.35">
      <c r="A110" s="204" t="s">
        <v>350</v>
      </c>
      <c r="B110" s="441" t="s">
        <v>411</v>
      </c>
      <c r="C110" s="442"/>
      <c r="D110" s="443"/>
      <c r="E110" s="201" t="s">
        <v>327</v>
      </c>
      <c r="F110" s="201" t="s">
        <v>327</v>
      </c>
      <c r="G110" s="201" t="s">
        <v>328</v>
      </c>
      <c r="H110" s="201" t="s">
        <v>299</v>
      </c>
      <c r="I110" s="201" t="s">
        <v>300</v>
      </c>
      <c r="J110" s="201" t="s">
        <v>299</v>
      </c>
      <c r="K110" s="202">
        <v>16660000</v>
      </c>
      <c r="L110" s="202">
        <v>16660000</v>
      </c>
      <c r="M110" s="201" t="s">
        <v>301</v>
      </c>
      <c r="N110" s="201" t="s">
        <v>299</v>
      </c>
      <c r="O110" s="203"/>
      <c r="P110" s="201" t="s">
        <v>481</v>
      </c>
      <c r="Q110" s="201" t="s">
        <v>482</v>
      </c>
      <c r="R110" s="201" t="s">
        <v>304</v>
      </c>
      <c r="S110" s="201" t="s">
        <v>305</v>
      </c>
      <c r="T110" s="201" t="s">
        <v>301</v>
      </c>
      <c r="U110" s="205" t="s">
        <v>301</v>
      </c>
    </row>
    <row r="111" spans="1:21" x14ac:dyDescent="0.35">
      <c r="A111" s="204" t="s">
        <v>495</v>
      </c>
      <c r="B111" s="441" t="s">
        <v>496</v>
      </c>
      <c r="C111" s="442"/>
      <c r="D111" s="443"/>
      <c r="E111" s="201" t="s">
        <v>327</v>
      </c>
      <c r="F111" s="201" t="s">
        <v>327</v>
      </c>
      <c r="G111" s="201" t="s">
        <v>405</v>
      </c>
      <c r="H111" s="201" t="s">
        <v>299</v>
      </c>
      <c r="I111" s="201" t="s">
        <v>300</v>
      </c>
      <c r="J111" s="201" t="s">
        <v>299</v>
      </c>
      <c r="K111" s="202">
        <v>1755250</v>
      </c>
      <c r="L111" s="202">
        <v>1755250</v>
      </c>
      <c r="M111" s="201" t="s">
        <v>301</v>
      </c>
      <c r="N111" s="201" t="s">
        <v>299</v>
      </c>
      <c r="O111" s="203"/>
      <c r="P111" s="201" t="s">
        <v>481</v>
      </c>
      <c r="Q111" s="201" t="s">
        <v>482</v>
      </c>
      <c r="R111" s="201" t="s">
        <v>304</v>
      </c>
      <c r="S111" s="201" t="s">
        <v>305</v>
      </c>
      <c r="T111" s="201" t="s">
        <v>301</v>
      </c>
      <c r="U111" s="205" t="s">
        <v>301</v>
      </c>
    </row>
    <row r="112" spans="1:21" x14ac:dyDescent="0.35">
      <c r="A112" s="204" t="s">
        <v>435</v>
      </c>
      <c r="B112" s="441" t="s">
        <v>497</v>
      </c>
      <c r="C112" s="442"/>
      <c r="D112" s="443"/>
      <c r="E112" s="201" t="s">
        <v>405</v>
      </c>
      <c r="F112" s="201" t="s">
        <v>405</v>
      </c>
      <c r="G112" s="201" t="s">
        <v>405</v>
      </c>
      <c r="H112" s="201" t="s">
        <v>299</v>
      </c>
      <c r="I112" s="201" t="s">
        <v>300</v>
      </c>
      <c r="J112" s="201" t="s">
        <v>299</v>
      </c>
      <c r="K112" s="202">
        <v>595000</v>
      </c>
      <c r="L112" s="202">
        <v>595000</v>
      </c>
      <c r="M112" s="201" t="s">
        <v>301</v>
      </c>
      <c r="N112" s="201" t="s">
        <v>299</v>
      </c>
      <c r="O112" s="203"/>
      <c r="P112" s="201" t="s">
        <v>481</v>
      </c>
      <c r="Q112" s="201" t="s">
        <v>498</v>
      </c>
      <c r="R112" s="201" t="s">
        <v>304</v>
      </c>
      <c r="S112" s="201" t="s">
        <v>305</v>
      </c>
      <c r="T112" s="201" t="s">
        <v>301</v>
      </c>
      <c r="U112" s="205" t="s">
        <v>301</v>
      </c>
    </row>
    <row r="113" spans="1:21" x14ac:dyDescent="0.35">
      <c r="A113" s="204" t="s">
        <v>499</v>
      </c>
      <c r="B113" s="441" t="s">
        <v>500</v>
      </c>
      <c r="C113" s="442"/>
      <c r="D113" s="443"/>
      <c r="E113" s="201" t="s">
        <v>327</v>
      </c>
      <c r="F113" s="201" t="s">
        <v>327</v>
      </c>
      <c r="G113" s="201" t="s">
        <v>501</v>
      </c>
      <c r="H113" s="201" t="s">
        <v>299</v>
      </c>
      <c r="I113" s="201" t="s">
        <v>300</v>
      </c>
      <c r="J113" s="201" t="s">
        <v>299</v>
      </c>
      <c r="K113" s="202">
        <v>2100000</v>
      </c>
      <c r="L113" s="202">
        <v>2100000</v>
      </c>
      <c r="M113" s="201" t="s">
        <v>301</v>
      </c>
      <c r="N113" s="201" t="s">
        <v>299</v>
      </c>
      <c r="O113" s="203"/>
      <c r="P113" s="201" t="s">
        <v>502</v>
      </c>
      <c r="Q113" s="201" t="s">
        <v>503</v>
      </c>
      <c r="R113" s="201" t="s">
        <v>304</v>
      </c>
      <c r="S113" s="201" t="s">
        <v>305</v>
      </c>
      <c r="T113" s="201" t="s">
        <v>301</v>
      </c>
      <c r="U113" s="205" t="s">
        <v>301</v>
      </c>
    </row>
    <row r="114" spans="1:21" x14ac:dyDescent="0.35">
      <c r="A114" s="204" t="s">
        <v>440</v>
      </c>
      <c r="B114" s="441" t="s">
        <v>504</v>
      </c>
      <c r="C114" s="442"/>
      <c r="D114" s="443"/>
      <c r="E114" s="201" t="s">
        <v>297</v>
      </c>
      <c r="F114" s="201" t="s">
        <v>297</v>
      </c>
      <c r="G114" s="201" t="s">
        <v>310</v>
      </c>
      <c r="H114" s="201" t="s">
        <v>299</v>
      </c>
      <c r="I114" s="201" t="s">
        <v>300</v>
      </c>
      <c r="J114" s="201" t="s">
        <v>299</v>
      </c>
      <c r="K114" s="202">
        <v>10000000</v>
      </c>
      <c r="L114" s="202">
        <v>10000000</v>
      </c>
      <c r="M114" s="201" t="s">
        <v>301</v>
      </c>
      <c r="N114" s="201" t="s">
        <v>299</v>
      </c>
      <c r="O114" s="203"/>
      <c r="P114" s="201" t="s">
        <v>502</v>
      </c>
      <c r="Q114" s="201" t="s">
        <v>503</v>
      </c>
      <c r="R114" s="201" t="s">
        <v>304</v>
      </c>
      <c r="S114" s="201" t="s">
        <v>305</v>
      </c>
      <c r="T114" s="201" t="s">
        <v>301</v>
      </c>
      <c r="U114" s="205" t="s">
        <v>301</v>
      </c>
    </row>
    <row r="115" spans="1:21" x14ac:dyDescent="0.35">
      <c r="A115" s="204" t="s">
        <v>311</v>
      </c>
      <c r="B115" s="441" t="s">
        <v>505</v>
      </c>
      <c r="C115" s="442"/>
      <c r="D115" s="443"/>
      <c r="E115" s="201" t="s">
        <v>297</v>
      </c>
      <c r="F115" s="201" t="s">
        <v>297</v>
      </c>
      <c r="G115" s="201" t="s">
        <v>310</v>
      </c>
      <c r="H115" s="201" t="s">
        <v>299</v>
      </c>
      <c r="I115" s="201" t="s">
        <v>300</v>
      </c>
      <c r="J115" s="201" t="s">
        <v>299</v>
      </c>
      <c r="K115" s="202">
        <v>8098440</v>
      </c>
      <c r="L115" s="202">
        <v>8098440</v>
      </c>
      <c r="M115" s="201" t="s">
        <v>301</v>
      </c>
      <c r="N115" s="201" t="s">
        <v>299</v>
      </c>
      <c r="O115" s="203"/>
      <c r="P115" s="201" t="s">
        <v>502</v>
      </c>
      <c r="Q115" s="201" t="s">
        <v>503</v>
      </c>
      <c r="R115" s="201" t="s">
        <v>304</v>
      </c>
      <c r="S115" s="201" t="s">
        <v>305</v>
      </c>
      <c r="T115" s="201" t="s">
        <v>301</v>
      </c>
      <c r="U115" s="205" t="s">
        <v>301</v>
      </c>
    </row>
    <row r="116" spans="1:21" x14ac:dyDescent="0.35">
      <c r="A116" s="204" t="s">
        <v>506</v>
      </c>
      <c r="B116" s="441" t="s">
        <v>507</v>
      </c>
      <c r="C116" s="442"/>
      <c r="D116" s="443"/>
      <c r="E116" s="201" t="s">
        <v>297</v>
      </c>
      <c r="F116" s="201" t="s">
        <v>297</v>
      </c>
      <c r="G116" s="201" t="s">
        <v>414</v>
      </c>
      <c r="H116" s="201" t="s">
        <v>299</v>
      </c>
      <c r="I116" s="201" t="s">
        <v>300</v>
      </c>
      <c r="J116" s="201" t="s">
        <v>299</v>
      </c>
      <c r="K116" s="202">
        <v>1011500</v>
      </c>
      <c r="L116" s="202">
        <v>1011500</v>
      </c>
      <c r="M116" s="201" t="s">
        <v>301</v>
      </c>
      <c r="N116" s="201" t="s">
        <v>299</v>
      </c>
      <c r="O116" s="203"/>
      <c r="P116" s="201" t="s">
        <v>502</v>
      </c>
      <c r="Q116" s="201" t="s">
        <v>503</v>
      </c>
      <c r="R116" s="201" t="s">
        <v>304</v>
      </c>
      <c r="S116" s="201" t="s">
        <v>305</v>
      </c>
      <c r="T116" s="201" t="s">
        <v>301</v>
      </c>
      <c r="U116" s="205" t="s">
        <v>301</v>
      </c>
    </row>
    <row r="117" spans="1:21" x14ac:dyDescent="0.35">
      <c r="A117" s="204" t="s">
        <v>306</v>
      </c>
      <c r="B117" s="441" t="s">
        <v>508</v>
      </c>
      <c r="C117" s="442"/>
      <c r="D117" s="443"/>
      <c r="E117" s="201" t="s">
        <v>297</v>
      </c>
      <c r="F117" s="201" t="s">
        <v>297</v>
      </c>
      <c r="G117" s="201" t="s">
        <v>414</v>
      </c>
      <c r="H117" s="201" t="s">
        <v>299</v>
      </c>
      <c r="I117" s="201" t="s">
        <v>300</v>
      </c>
      <c r="J117" s="201" t="s">
        <v>299</v>
      </c>
      <c r="K117" s="202">
        <v>3570000</v>
      </c>
      <c r="L117" s="202">
        <v>3570000</v>
      </c>
      <c r="M117" s="201" t="s">
        <v>301</v>
      </c>
      <c r="N117" s="201" t="s">
        <v>299</v>
      </c>
      <c r="O117" s="203"/>
      <c r="P117" s="201" t="s">
        <v>502</v>
      </c>
      <c r="Q117" s="201" t="s">
        <v>503</v>
      </c>
      <c r="R117" s="201" t="s">
        <v>304</v>
      </c>
      <c r="S117" s="201" t="s">
        <v>305</v>
      </c>
      <c r="T117" s="201" t="s">
        <v>301</v>
      </c>
      <c r="U117" s="205" t="s">
        <v>301</v>
      </c>
    </row>
    <row r="118" spans="1:21" x14ac:dyDescent="0.35">
      <c r="A118" s="204" t="s">
        <v>509</v>
      </c>
      <c r="B118" s="441" t="s">
        <v>510</v>
      </c>
      <c r="C118" s="442"/>
      <c r="D118" s="443"/>
      <c r="E118" s="201" t="s">
        <v>297</v>
      </c>
      <c r="F118" s="201" t="s">
        <v>297</v>
      </c>
      <c r="G118" s="201" t="s">
        <v>414</v>
      </c>
      <c r="H118" s="201" t="s">
        <v>299</v>
      </c>
      <c r="I118" s="201" t="s">
        <v>300</v>
      </c>
      <c r="J118" s="201" t="s">
        <v>299</v>
      </c>
      <c r="K118" s="202">
        <v>3332000</v>
      </c>
      <c r="L118" s="202">
        <v>3332000</v>
      </c>
      <c r="M118" s="201" t="s">
        <v>301</v>
      </c>
      <c r="N118" s="201" t="s">
        <v>299</v>
      </c>
      <c r="O118" s="203"/>
      <c r="P118" s="201" t="s">
        <v>502</v>
      </c>
      <c r="Q118" s="201" t="s">
        <v>503</v>
      </c>
      <c r="R118" s="201" t="s">
        <v>304</v>
      </c>
      <c r="S118" s="201" t="s">
        <v>305</v>
      </c>
      <c r="T118" s="201" t="s">
        <v>301</v>
      </c>
      <c r="U118" s="205" t="s">
        <v>301</v>
      </c>
    </row>
    <row r="119" spans="1:21" x14ac:dyDescent="0.35">
      <c r="A119" s="204" t="s">
        <v>511</v>
      </c>
      <c r="B119" s="441" t="s">
        <v>512</v>
      </c>
      <c r="C119" s="442"/>
      <c r="D119" s="443"/>
      <c r="E119" s="201" t="s">
        <v>297</v>
      </c>
      <c r="F119" s="201" t="s">
        <v>297</v>
      </c>
      <c r="G119" s="201" t="s">
        <v>354</v>
      </c>
      <c r="H119" s="201" t="s">
        <v>299</v>
      </c>
      <c r="I119" s="201" t="s">
        <v>300</v>
      </c>
      <c r="J119" s="201" t="s">
        <v>299</v>
      </c>
      <c r="K119" s="202">
        <v>40000000</v>
      </c>
      <c r="L119" s="202">
        <v>40000000</v>
      </c>
      <c r="M119" s="201" t="s">
        <v>301</v>
      </c>
      <c r="N119" s="201" t="s">
        <v>299</v>
      </c>
      <c r="O119" s="203"/>
      <c r="P119" s="201" t="s">
        <v>502</v>
      </c>
      <c r="Q119" s="201" t="s">
        <v>503</v>
      </c>
      <c r="R119" s="201" t="s">
        <v>304</v>
      </c>
      <c r="S119" s="201" t="s">
        <v>305</v>
      </c>
      <c r="T119" s="201" t="s">
        <v>301</v>
      </c>
      <c r="U119" s="205" t="s">
        <v>301</v>
      </c>
    </row>
    <row r="120" spans="1:21" x14ac:dyDescent="0.35">
      <c r="A120" s="204" t="s">
        <v>440</v>
      </c>
      <c r="B120" s="441" t="s">
        <v>513</v>
      </c>
      <c r="C120" s="442"/>
      <c r="D120" s="443"/>
      <c r="E120" s="201" t="s">
        <v>297</v>
      </c>
      <c r="F120" s="201" t="s">
        <v>297</v>
      </c>
      <c r="G120" s="201" t="s">
        <v>514</v>
      </c>
      <c r="H120" s="201" t="s">
        <v>299</v>
      </c>
      <c r="I120" s="201" t="s">
        <v>300</v>
      </c>
      <c r="J120" s="201" t="s">
        <v>299</v>
      </c>
      <c r="K120" s="202">
        <v>1620000</v>
      </c>
      <c r="L120" s="202">
        <v>1620000</v>
      </c>
      <c r="M120" s="201" t="s">
        <v>301</v>
      </c>
      <c r="N120" s="201" t="s">
        <v>299</v>
      </c>
      <c r="O120" s="203"/>
      <c r="P120" s="201" t="s">
        <v>515</v>
      </c>
      <c r="Q120" s="201" t="s">
        <v>516</v>
      </c>
      <c r="R120" s="201" t="s">
        <v>304</v>
      </c>
      <c r="S120" s="201" t="s">
        <v>305</v>
      </c>
      <c r="T120" s="201" t="s">
        <v>301</v>
      </c>
      <c r="U120" s="205" t="s">
        <v>301</v>
      </c>
    </row>
    <row r="121" spans="1:21" x14ac:dyDescent="0.35">
      <c r="A121" s="204" t="s">
        <v>308</v>
      </c>
      <c r="B121" s="441" t="s">
        <v>517</v>
      </c>
      <c r="C121" s="442"/>
      <c r="D121" s="443"/>
      <c r="E121" s="201" t="s">
        <v>297</v>
      </c>
      <c r="F121" s="201" t="s">
        <v>297</v>
      </c>
      <c r="G121" s="201" t="s">
        <v>518</v>
      </c>
      <c r="H121" s="201" t="s">
        <v>299</v>
      </c>
      <c r="I121" s="201" t="s">
        <v>300</v>
      </c>
      <c r="J121" s="201" t="s">
        <v>299</v>
      </c>
      <c r="K121" s="202">
        <v>2967847</v>
      </c>
      <c r="L121" s="202">
        <v>2967847</v>
      </c>
      <c r="M121" s="201" t="s">
        <v>301</v>
      </c>
      <c r="N121" s="201" t="s">
        <v>299</v>
      </c>
      <c r="O121" s="203"/>
      <c r="P121" s="201" t="s">
        <v>515</v>
      </c>
      <c r="Q121" s="201" t="s">
        <v>516</v>
      </c>
      <c r="R121" s="201" t="s">
        <v>304</v>
      </c>
      <c r="S121" s="201" t="s">
        <v>305</v>
      </c>
      <c r="T121" s="201" t="s">
        <v>301</v>
      </c>
      <c r="U121" s="205" t="s">
        <v>301</v>
      </c>
    </row>
    <row r="122" spans="1:21" x14ac:dyDescent="0.35">
      <c r="A122" s="204" t="s">
        <v>519</v>
      </c>
      <c r="B122" s="441" t="s">
        <v>520</v>
      </c>
      <c r="C122" s="442"/>
      <c r="D122" s="443"/>
      <c r="E122" s="201" t="s">
        <v>338</v>
      </c>
      <c r="F122" s="201" t="s">
        <v>338</v>
      </c>
      <c r="G122" s="201" t="s">
        <v>298</v>
      </c>
      <c r="H122" s="201" t="s">
        <v>299</v>
      </c>
      <c r="I122" s="201" t="s">
        <v>300</v>
      </c>
      <c r="J122" s="201" t="s">
        <v>299</v>
      </c>
      <c r="K122" s="202">
        <v>2335124</v>
      </c>
      <c r="L122" s="202">
        <v>2335124</v>
      </c>
      <c r="M122" s="201" t="s">
        <v>301</v>
      </c>
      <c r="N122" s="201" t="s">
        <v>299</v>
      </c>
      <c r="O122" s="203"/>
      <c r="P122" s="201" t="s">
        <v>515</v>
      </c>
      <c r="Q122" s="201" t="s">
        <v>516</v>
      </c>
      <c r="R122" s="201" t="s">
        <v>304</v>
      </c>
      <c r="S122" s="201" t="s">
        <v>305</v>
      </c>
      <c r="T122" s="201" t="s">
        <v>301</v>
      </c>
      <c r="U122" s="205" t="s">
        <v>301</v>
      </c>
    </row>
    <row r="123" spans="1:21" x14ac:dyDescent="0.35">
      <c r="A123" s="204" t="s">
        <v>308</v>
      </c>
      <c r="B123" s="441" t="s">
        <v>521</v>
      </c>
      <c r="C123" s="442"/>
      <c r="D123" s="443"/>
      <c r="E123" s="201" t="s">
        <v>297</v>
      </c>
      <c r="F123" s="201" t="s">
        <v>297</v>
      </c>
      <c r="G123" s="201" t="s">
        <v>522</v>
      </c>
      <c r="H123" s="201" t="s">
        <v>299</v>
      </c>
      <c r="I123" s="201" t="s">
        <v>300</v>
      </c>
      <c r="J123" s="201" t="s">
        <v>299</v>
      </c>
      <c r="K123" s="202">
        <v>11260970</v>
      </c>
      <c r="L123" s="202">
        <v>11260970</v>
      </c>
      <c r="M123" s="201" t="s">
        <v>301</v>
      </c>
      <c r="N123" s="201" t="s">
        <v>299</v>
      </c>
      <c r="O123" s="203"/>
      <c r="P123" s="201" t="s">
        <v>523</v>
      </c>
      <c r="Q123" s="201" t="s">
        <v>524</v>
      </c>
      <c r="R123" s="201" t="s">
        <v>304</v>
      </c>
      <c r="S123" s="201" t="s">
        <v>305</v>
      </c>
      <c r="T123" s="201" t="s">
        <v>301</v>
      </c>
      <c r="U123" s="205" t="s">
        <v>301</v>
      </c>
    </row>
    <row r="124" spans="1:21" x14ac:dyDescent="0.35">
      <c r="A124" s="204" t="s">
        <v>525</v>
      </c>
      <c r="B124" s="441" t="s">
        <v>526</v>
      </c>
      <c r="C124" s="442"/>
      <c r="D124" s="443"/>
      <c r="E124" s="201" t="s">
        <v>297</v>
      </c>
      <c r="F124" s="201" t="s">
        <v>297</v>
      </c>
      <c r="G124" s="201" t="s">
        <v>522</v>
      </c>
      <c r="H124" s="201" t="s">
        <v>299</v>
      </c>
      <c r="I124" s="201" t="s">
        <v>300</v>
      </c>
      <c r="J124" s="201" t="s">
        <v>299</v>
      </c>
      <c r="K124" s="202">
        <v>7140000</v>
      </c>
      <c r="L124" s="202">
        <v>7140000</v>
      </c>
      <c r="M124" s="201" t="s">
        <v>301</v>
      </c>
      <c r="N124" s="201" t="s">
        <v>299</v>
      </c>
      <c r="O124" s="203"/>
      <c r="P124" s="201" t="s">
        <v>523</v>
      </c>
      <c r="Q124" s="201" t="s">
        <v>524</v>
      </c>
      <c r="R124" s="201" t="s">
        <v>304</v>
      </c>
      <c r="S124" s="201" t="s">
        <v>305</v>
      </c>
      <c r="T124" s="201" t="s">
        <v>301</v>
      </c>
      <c r="U124" s="205" t="s">
        <v>301</v>
      </c>
    </row>
    <row r="125" spans="1:21" x14ac:dyDescent="0.35">
      <c r="A125" s="204" t="s">
        <v>527</v>
      </c>
      <c r="B125" s="441" t="s">
        <v>528</v>
      </c>
      <c r="C125" s="442"/>
      <c r="D125" s="443"/>
      <c r="E125" s="201" t="s">
        <v>297</v>
      </c>
      <c r="F125" s="201" t="s">
        <v>297</v>
      </c>
      <c r="G125" s="201" t="s">
        <v>328</v>
      </c>
      <c r="H125" s="201" t="s">
        <v>299</v>
      </c>
      <c r="I125" s="201" t="s">
        <v>300</v>
      </c>
      <c r="J125" s="201" t="s">
        <v>299</v>
      </c>
      <c r="K125" s="202">
        <v>1071000</v>
      </c>
      <c r="L125" s="202">
        <v>1071000</v>
      </c>
      <c r="M125" s="201" t="s">
        <v>301</v>
      </c>
      <c r="N125" s="201" t="s">
        <v>299</v>
      </c>
      <c r="O125" s="203"/>
      <c r="P125" s="201" t="s">
        <v>523</v>
      </c>
      <c r="Q125" s="201" t="s">
        <v>524</v>
      </c>
      <c r="R125" s="201" t="s">
        <v>304</v>
      </c>
      <c r="S125" s="201" t="s">
        <v>305</v>
      </c>
      <c r="T125" s="201" t="s">
        <v>301</v>
      </c>
      <c r="U125" s="205" t="s">
        <v>301</v>
      </c>
    </row>
    <row r="126" spans="1:21" x14ac:dyDescent="0.35">
      <c r="A126" s="204" t="s">
        <v>346</v>
      </c>
      <c r="B126" s="441" t="s">
        <v>529</v>
      </c>
      <c r="C126" s="442"/>
      <c r="D126" s="443"/>
      <c r="E126" s="201" t="s">
        <v>437</v>
      </c>
      <c r="F126" s="201" t="s">
        <v>437</v>
      </c>
      <c r="G126" s="201" t="s">
        <v>328</v>
      </c>
      <c r="H126" s="201" t="s">
        <v>299</v>
      </c>
      <c r="I126" s="201" t="s">
        <v>300</v>
      </c>
      <c r="J126" s="201" t="s">
        <v>299</v>
      </c>
      <c r="K126" s="202">
        <v>4165000</v>
      </c>
      <c r="L126" s="202">
        <v>4165000</v>
      </c>
      <c r="M126" s="201" t="s">
        <v>301</v>
      </c>
      <c r="N126" s="201" t="s">
        <v>299</v>
      </c>
      <c r="O126" s="203"/>
      <c r="P126" s="201" t="s">
        <v>523</v>
      </c>
      <c r="Q126" s="201" t="s">
        <v>524</v>
      </c>
      <c r="R126" s="201" t="s">
        <v>304</v>
      </c>
      <c r="S126" s="201" t="s">
        <v>305</v>
      </c>
      <c r="T126" s="201" t="s">
        <v>301</v>
      </c>
      <c r="U126" s="205" t="s">
        <v>301</v>
      </c>
    </row>
    <row r="127" spans="1:21" x14ac:dyDescent="0.35">
      <c r="A127" s="204" t="s">
        <v>336</v>
      </c>
      <c r="B127" s="441" t="s">
        <v>530</v>
      </c>
      <c r="C127" s="442"/>
      <c r="D127" s="443"/>
      <c r="E127" s="201" t="s">
        <v>327</v>
      </c>
      <c r="F127" s="201" t="s">
        <v>327</v>
      </c>
      <c r="G127" s="201" t="s">
        <v>328</v>
      </c>
      <c r="H127" s="201" t="s">
        <v>299</v>
      </c>
      <c r="I127" s="201" t="s">
        <v>300</v>
      </c>
      <c r="J127" s="201" t="s">
        <v>299</v>
      </c>
      <c r="K127" s="202">
        <v>1190000</v>
      </c>
      <c r="L127" s="202">
        <v>1190000</v>
      </c>
      <c r="M127" s="201" t="s">
        <v>301</v>
      </c>
      <c r="N127" s="201" t="s">
        <v>299</v>
      </c>
      <c r="O127" s="203"/>
      <c r="P127" s="201" t="s">
        <v>523</v>
      </c>
      <c r="Q127" s="201" t="s">
        <v>524</v>
      </c>
      <c r="R127" s="201" t="s">
        <v>304</v>
      </c>
      <c r="S127" s="201" t="s">
        <v>305</v>
      </c>
      <c r="T127" s="201" t="s">
        <v>301</v>
      </c>
      <c r="U127" s="205" t="s">
        <v>301</v>
      </c>
    </row>
    <row r="128" spans="1:21" x14ac:dyDescent="0.35">
      <c r="A128" s="204" t="s">
        <v>531</v>
      </c>
      <c r="B128" s="441" t="s">
        <v>532</v>
      </c>
      <c r="C128" s="442"/>
      <c r="D128" s="443"/>
      <c r="E128" s="201" t="s">
        <v>327</v>
      </c>
      <c r="F128" s="201" t="s">
        <v>327</v>
      </c>
      <c r="G128" s="201" t="s">
        <v>328</v>
      </c>
      <c r="H128" s="201" t="s">
        <v>299</v>
      </c>
      <c r="I128" s="201" t="s">
        <v>300</v>
      </c>
      <c r="J128" s="201" t="s">
        <v>299</v>
      </c>
      <c r="K128" s="202">
        <v>833000</v>
      </c>
      <c r="L128" s="202">
        <v>833000</v>
      </c>
      <c r="M128" s="201" t="s">
        <v>301</v>
      </c>
      <c r="N128" s="201" t="s">
        <v>299</v>
      </c>
      <c r="O128" s="203"/>
      <c r="P128" s="201" t="s">
        <v>523</v>
      </c>
      <c r="Q128" s="201" t="s">
        <v>524</v>
      </c>
      <c r="R128" s="201" t="s">
        <v>304</v>
      </c>
      <c r="S128" s="201" t="s">
        <v>305</v>
      </c>
      <c r="T128" s="201" t="s">
        <v>301</v>
      </c>
      <c r="U128" s="205" t="s">
        <v>301</v>
      </c>
    </row>
    <row r="129" spans="1:21" x14ac:dyDescent="0.35">
      <c r="A129" s="204" t="s">
        <v>440</v>
      </c>
      <c r="B129" s="441" t="s">
        <v>533</v>
      </c>
      <c r="C129" s="442"/>
      <c r="D129" s="443"/>
      <c r="E129" s="201" t="s">
        <v>297</v>
      </c>
      <c r="F129" s="201" t="s">
        <v>297</v>
      </c>
      <c r="G129" s="201" t="s">
        <v>534</v>
      </c>
      <c r="H129" s="201" t="s">
        <v>299</v>
      </c>
      <c r="I129" s="201" t="s">
        <v>300</v>
      </c>
      <c r="J129" s="201" t="s">
        <v>299</v>
      </c>
      <c r="K129" s="202">
        <v>3084480</v>
      </c>
      <c r="L129" s="202">
        <v>3084480</v>
      </c>
      <c r="M129" s="201" t="s">
        <v>301</v>
      </c>
      <c r="N129" s="201" t="s">
        <v>299</v>
      </c>
      <c r="O129" s="203"/>
      <c r="P129" s="201" t="s">
        <v>523</v>
      </c>
      <c r="Q129" s="201" t="s">
        <v>524</v>
      </c>
      <c r="R129" s="201" t="s">
        <v>304</v>
      </c>
      <c r="S129" s="201" t="s">
        <v>305</v>
      </c>
      <c r="T129" s="201" t="s">
        <v>301</v>
      </c>
      <c r="U129" s="205" t="s">
        <v>301</v>
      </c>
    </row>
    <row r="130" spans="1:21" x14ac:dyDescent="0.35">
      <c r="A130" s="204" t="s">
        <v>329</v>
      </c>
      <c r="B130" s="441" t="s">
        <v>535</v>
      </c>
      <c r="C130" s="442"/>
      <c r="D130" s="443"/>
      <c r="E130" s="201" t="s">
        <v>327</v>
      </c>
      <c r="F130" s="201" t="s">
        <v>327</v>
      </c>
      <c r="G130" s="201" t="s">
        <v>456</v>
      </c>
      <c r="H130" s="201" t="s">
        <v>299</v>
      </c>
      <c r="I130" s="201" t="s">
        <v>300</v>
      </c>
      <c r="J130" s="201" t="s">
        <v>299</v>
      </c>
      <c r="K130" s="202">
        <v>22610000</v>
      </c>
      <c r="L130" s="202">
        <v>22610000</v>
      </c>
      <c r="M130" s="201" t="s">
        <v>301</v>
      </c>
      <c r="N130" s="201" t="s">
        <v>299</v>
      </c>
      <c r="O130" s="203"/>
      <c r="P130" s="201" t="s">
        <v>523</v>
      </c>
      <c r="Q130" s="201" t="s">
        <v>524</v>
      </c>
      <c r="R130" s="201" t="s">
        <v>304</v>
      </c>
      <c r="S130" s="201" t="s">
        <v>305</v>
      </c>
      <c r="T130" s="201" t="s">
        <v>301</v>
      </c>
      <c r="U130" s="205" t="s">
        <v>301</v>
      </c>
    </row>
    <row r="131" spans="1:21" x14ac:dyDescent="0.35">
      <c r="A131" s="204" t="s">
        <v>348</v>
      </c>
      <c r="B131" s="441" t="s">
        <v>536</v>
      </c>
      <c r="C131" s="442"/>
      <c r="D131" s="443"/>
      <c r="E131" s="201" t="s">
        <v>327</v>
      </c>
      <c r="F131" s="201" t="s">
        <v>327</v>
      </c>
      <c r="G131" s="201" t="s">
        <v>456</v>
      </c>
      <c r="H131" s="201" t="s">
        <v>299</v>
      </c>
      <c r="I131" s="201" t="s">
        <v>300</v>
      </c>
      <c r="J131" s="201" t="s">
        <v>299</v>
      </c>
      <c r="K131" s="202">
        <v>7140000</v>
      </c>
      <c r="L131" s="202">
        <v>7140000</v>
      </c>
      <c r="M131" s="201" t="s">
        <v>301</v>
      </c>
      <c r="N131" s="201" t="s">
        <v>299</v>
      </c>
      <c r="O131" s="203"/>
      <c r="P131" s="201" t="s">
        <v>537</v>
      </c>
      <c r="Q131" s="201" t="s">
        <v>524</v>
      </c>
      <c r="R131" s="201" t="s">
        <v>304</v>
      </c>
      <c r="S131" s="201" t="s">
        <v>305</v>
      </c>
      <c r="T131" s="201" t="s">
        <v>301</v>
      </c>
      <c r="U131" s="205" t="s">
        <v>301</v>
      </c>
    </row>
    <row r="132" spans="1:21" x14ac:dyDescent="0.35">
      <c r="A132" s="204" t="s">
        <v>308</v>
      </c>
      <c r="B132" s="441" t="s">
        <v>536</v>
      </c>
      <c r="C132" s="442"/>
      <c r="D132" s="443"/>
      <c r="E132" s="201" t="s">
        <v>327</v>
      </c>
      <c r="F132" s="201" t="s">
        <v>327</v>
      </c>
      <c r="G132" s="201" t="s">
        <v>456</v>
      </c>
      <c r="H132" s="201" t="s">
        <v>299</v>
      </c>
      <c r="I132" s="201" t="s">
        <v>300</v>
      </c>
      <c r="J132" s="201" t="s">
        <v>299</v>
      </c>
      <c r="K132" s="202">
        <v>5950000</v>
      </c>
      <c r="L132" s="202">
        <v>5950000</v>
      </c>
      <c r="M132" s="201" t="s">
        <v>301</v>
      </c>
      <c r="N132" s="201" t="s">
        <v>299</v>
      </c>
      <c r="O132" s="203"/>
      <c r="P132" s="201" t="s">
        <v>537</v>
      </c>
      <c r="Q132" s="201" t="s">
        <v>524</v>
      </c>
      <c r="R132" s="201" t="s">
        <v>304</v>
      </c>
      <c r="S132" s="201" t="s">
        <v>305</v>
      </c>
      <c r="T132" s="201" t="s">
        <v>301</v>
      </c>
      <c r="U132" s="205" t="s">
        <v>301</v>
      </c>
    </row>
    <row r="133" spans="1:21" x14ac:dyDescent="0.35">
      <c r="A133" s="204" t="s">
        <v>538</v>
      </c>
      <c r="B133" s="441" t="s">
        <v>539</v>
      </c>
      <c r="C133" s="442"/>
      <c r="D133" s="443"/>
      <c r="E133" s="201" t="s">
        <v>297</v>
      </c>
      <c r="F133" s="201" t="s">
        <v>297</v>
      </c>
      <c r="G133" s="201" t="s">
        <v>534</v>
      </c>
      <c r="H133" s="201" t="s">
        <v>299</v>
      </c>
      <c r="I133" s="201" t="s">
        <v>300</v>
      </c>
      <c r="J133" s="201" t="s">
        <v>299</v>
      </c>
      <c r="K133" s="202">
        <v>7400000</v>
      </c>
      <c r="L133" s="202">
        <v>7400000</v>
      </c>
      <c r="M133" s="201" t="s">
        <v>301</v>
      </c>
      <c r="N133" s="201" t="s">
        <v>299</v>
      </c>
      <c r="O133" s="203"/>
      <c r="P133" s="201" t="s">
        <v>540</v>
      </c>
      <c r="Q133" s="201" t="s">
        <v>541</v>
      </c>
      <c r="R133" s="201" t="s">
        <v>304</v>
      </c>
      <c r="S133" s="201" t="s">
        <v>305</v>
      </c>
      <c r="T133" s="201" t="s">
        <v>301</v>
      </c>
      <c r="U133" s="205" t="s">
        <v>301</v>
      </c>
    </row>
    <row r="134" spans="1:21" x14ac:dyDescent="0.35">
      <c r="A134" s="204" t="s">
        <v>542</v>
      </c>
      <c r="B134" s="441" t="s">
        <v>543</v>
      </c>
      <c r="C134" s="442"/>
      <c r="D134" s="443"/>
      <c r="E134" s="201" t="s">
        <v>297</v>
      </c>
      <c r="F134" s="201" t="s">
        <v>297</v>
      </c>
      <c r="G134" s="201" t="s">
        <v>534</v>
      </c>
      <c r="H134" s="201" t="s">
        <v>299</v>
      </c>
      <c r="I134" s="201" t="s">
        <v>300</v>
      </c>
      <c r="J134" s="201" t="s">
        <v>299</v>
      </c>
      <c r="K134" s="202">
        <v>1175000</v>
      </c>
      <c r="L134" s="202">
        <v>1175000</v>
      </c>
      <c r="M134" s="201" t="s">
        <v>301</v>
      </c>
      <c r="N134" s="201" t="s">
        <v>299</v>
      </c>
      <c r="O134" s="203"/>
      <c r="P134" s="201" t="s">
        <v>540</v>
      </c>
      <c r="Q134" s="201" t="s">
        <v>541</v>
      </c>
      <c r="R134" s="201" t="s">
        <v>304</v>
      </c>
      <c r="S134" s="201" t="s">
        <v>305</v>
      </c>
      <c r="T134" s="201" t="s">
        <v>301</v>
      </c>
      <c r="U134" s="205" t="s">
        <v>301</v>
      </c>
    </row>
    <row r="135" spans="1:21" x14ac:dyDescent="0.35">
      <c r="A135" s="204" t="s">
        <v>348</v>
      </c>
      <c r="B135" s="441" t="s">
        <v>544</v>
      </c>
      <c r="C135" s="442"/>
      <c r="D135" s="443"/>
      <c r="E135" s="201" t="s">
        <v>327</v>
      </c>
      <c r="F135" s="201" t="s">
        <v>327</v>
      </c>
      <c r="G135" s="201" t="s">
        <v>545</v>
      </c>
      <c r="H135" s="201" t="s">
        <v>299</v>
      </c>
      <c r="I135" s="201" t="s">
        <v>300</v>
      </c>
      <c r="J135" s="201" t="s">
        <v>299</v>
      </c>
      <c r="K135" s="202">
        <v>1050000</v>
      </c>
      <c r="L135" s="202">
        <v>1050000</v>
      </c>
      <c r="M135" s="201" t="s">
        <v>301</v>
      </c>
      <c r="N135" s="201" t="s">
        <v>299</v>
      </c>
      <c r="O135" s="203"/>
      <c r="P135" s="201" t="s">
        <v>540</v>
      </c>
      <c r="Q135" s="201" t="s">
        <v>541</v>
      </c>
      <c r="R135" s="201" t="s">
        <v>304</v>
      </c>
      <c r="S135" s="201" t="s">
        <v>305</v>
      </c>
      <c r="T135" s="201" t="s">
        <v>301</v>
      </c>
      <c r="U135" s="205" t="s">
        <v>301</v>
      </c>
    </row>
    <row r="136" spans="1:21" x14ac:dyDescent="0.35">
      <c r="A136" s="204" t="s">
        <v>546</v>
      </c>
      <c r="B136" s="441" t="s">
        <v>547</v>
      </c>
      <c r="C136" s="442"/>
      <c r="D136" s="443"/>
      <c r="E136" s="201" t="s">
        <v>327</v>
      </c>
      <c r="F136" s="201" t="s">
        <v>327</v>
      </c>
      <c r="G136" s="201" t="s">
        <v>545</v>
      </c>
      <c r="H136" s="201" t="s">
        <v>299</v>
      </c>
      <c r="I136" s="201" t="s">
        <v>300</v>
      </c>
      <c r="J136" s="201" t="s">
        <v>299</v>
      </c>
      <c r="K136" s="202">
        <v>870000</v>
      </c>
      <c r="L136" s="202">
        <v>870000</v>
      </c>
      <c r="M136" s="201" t="s">
        <v>301</v>
      </c>
      <c r="N136" s="201" t="s">
        <v>299</v>
      </c>
      <c r="O136" s="203"/>
      <c r="P136" s="201" t="s">
        <v>540</v>
      </c>
      <c r="Q136" s="201" t="s">
        <v>541</v>
      </c>
      <c r="R136" s="201" t="s">
        <v>304</v>
      </c>
      <c r="S136" s="201" t="s">
        <v>305</v>
      </c>
      <c r="T136" s="201" t="s">
        <v>301</v>
      </c>
      <c r="U136" s="205" t="s">
        <v>301</v>
      </c>
    </row>
    <row r="137" spans="1:21" x14ac:dyDescent="0.35">
      <c r="A137" s="204" t="s">
        <v>308</v>
      </c>
      <c r="B137" s="441" t="s">
        <v>548</v>
      </c>
      <c r="C137" s="442"/>
      <c r="D137" s="443"/>
      <c r="E137" s="201" t="s">
        <v>297</v>
      </c>
      <c r="F137" s="201" t="s">
        <v>297</v>
      </c>
      <c r="G137" s="201" t="s">
        <v>549</v>
      </c>
      <c r="H137" s="201" t="s">
        <v>299</v>
      </c>
      <c r="I137" s="201" t="s">
        <v>300</v>
      </c>
      <c r="J137" s="201" t="s">
        <v>299</v>
      </c>
      <c r="K137" s="202">
        <v>4353686</v>
      </c>
      <c r="L137" s="202">
        <v>4353686</v>
      </c>
      <c r="M137" s="201" t="s">
        <v>301</v>
      </c>
      <c r="N137" s="201" t="s">
        <v>299</v>
      </c>
      <c r="O137" s="203"/>
      <c r="P137" s="201" t="s">
        <v>550</v>
      </c>
      <c r="Q137" s="201" t="s">
        <v>551</v>
      </c>
      <c r="R137" s="201" t="s">
        <v>304</v>
      </c>
      <c r="S137" s="201" t="s">
        <v>305</v>
      </c>
      <c r="T137" s="201" t="s">
        <v>301</v>
      </c>
      <c r="U137" s="205" t="s">
        <v>301</v>
      </c>
    </row>
    <row r="138" spans="1:21" x14ac:dyDescent="0.35">
      <c r="A138" s="204" t="s">
        <v>552</v>
      </c>
      <c r="B138" s="441" t="s">
        <v>553</v>
      </c>
      <c r="C138" s="442"/>
      <c r="D138" s="443"/>
      <c r="E138" s="201" t="s">
        <v>327</v>
      </c>
      <c r="F138" s="201" t="s">
        <v>327</v>
      </c>
      <c r="G138" s="201" t="s">
        <v>328</v>
      </c>
      <c r="H138" s="201" t="s">
        <v>299</v>
      </c>
      <c r="I138" s="201" t="s">
        <v>300</v>
      </c>
      <c r="J138" s="201" t="s">
        <v>299</v>
      </c>
      <c r="K138" s="202">
        <v>700000</v>
      </c>
      <c r="L138" s="202">
        <v>700000</v>
      </c>
      <c r="M138" s="201" t="s">
        <v>301</v>
      </c>
      <c r="N138" s="201" t="s">
        <v>299</v>
      </c>
      <c r="O138" s="203"/>
      <c r="P138" s="201" t="s">
        <v>550</v>
      </c>
      <c r="Q138" s="201" t="s">
        <v>551</v>
      </c>
      <c r="R138" s="201" t="s">
        <v>304</v>
      </c>
      <c r="S138" s="201" t="s">
        <v>305</v>
      </c>
      <c r="T138" s="201" t="s">
        <v>301</v>
      </c>
      <c r="U138" s="205" t="s">
        <v>301</v>
      </c>
    </row>
    <row r="139" spans="1:21" x14ac:dyDescent="0.35">
      <c r="A139" s="204" t="s">
        <v>350</v>
      </c>
      <c r="B139" s="441" t="s">
        <v>554</v>
      </c>
      <c r="C139" s="442"/>
      <c r="D139" s="443"/>
      <c r="E139" s="201" t="s">
        <v>297</v>
      </c>
      <c r="F139" s="201" t="s">
        <v>297</v>
      </c>
      <c r="G139" s="201" t="s">
        <v>501</v>
      </c>
      <c r="H139" s="201" t="s">
        <v>299</v>
      </c>
      <c r="I139" s="201" t="s">
        <v>300</v>
      </c>
      <c r="J139" s="201" t="s">
        <v>299</v>
      </c>
      <c r="K139" s="202">
        <v>50000</v>
      </c>
      <c r="L139" s="202">
        <v>50000</v>
      </c>
      <c r="M139" s="201" t="s">
        <v>301</v>
      </c>
      <c r="N139" s="201" t="s">
        <v>299</v>
      </c>
      <c r="O139" s="203"/>
      <c r="P139" s="201" t="s">
        <v>550</v>
      </c>
      <c r="Q139" s="201" t="s">
        <v>551</v>
      </c>
      <c r="R139" s="201" t="s">
        <v>304</v>
      </c>
      <c r="S139" s="201" t="s">
        <v>305</v>
      </c>
      <c r="T139" s="201" t="s">
        <v>301</v>
      </c>
      <c r="U139" s="205" t="s">
        <v>301</v>
      </c>
    </row>
    <row r="140" spans="1:21" x14ac:dyDescent="0.35">
      <c r="A140" s="204" t="s">
        <v>308</v>
      </c>
      <c r="B140" s="441" t="s">
        <v>555</v>
      </c>
      <c r="C140" s="442"/>
      <c r="D140" s="443"/>
      <c r="E140" s="201" t="s">
        <v>297</v>
      </c>
      <c r="F140" s="201" t="s">
        <v>297</v>
      </c>
      <c r="G140" s="201" t="s">
        <v>410</v>
      </c>
      <c r="H140" s="201" t="s">
        <v>299</v>
      </c>
      <c r="I140" s="201" t="s">
        <v>300</v>
      </c>
      <c r="J140" s="201" t="s">
        <v>299</v>
      </c>
      <c r="K140" s="202">
        <v>2380000</v>
      </c>
      <c r="L140" s="202">
        <v>2380000</v>
      </c>
      <c r="M140" s="201" t="s">
        <v>301</v>
      </c>
      <c r="N140" s="201" t="s">
        <v>299</v>
      </c>
      <c r="O140" s="203"/>
      <c r="P140" s="201" t="s">
        <v>556</v>
      </c>
      <c r="Q140" s="201" t="s">
        <v>557</v>
      </c>
      <c r="R140" s="201" t="s">
        <v>304</v>
      </c>
      <c r="S140" s="201" t="s">
        <v>305</v>
      </c>
      <c r="T140" s="201" t="s">
        <v>301</v>
      </c>
      <c r="U140" s="205" t="s">
        <v>301</v>
      </c>
    </row>
    <row r="141" spans="1:21" x14ac:dyDescent="0.35">
      <c r="A141" s="204" t="s">
        <v>342</v>
      </c>
      <c r="B141" s="441" t="s">
        <v>558</v>
      </c>
      <c r="C141" s="442"/>
      <c r="D141" s="443"/>
      <c r="E141" s="201" t="s">
        <v>297</v>
      </c>
      <c r="F141" s="201" t="s">
        <v>297</v>
      </c>
      <c r="G141" s="201" t="s">
        <v>410</v>
      </c>
      <c r="H141" s="201" t="s">
        <v>299</v>
      </c>
      <c r="I141" s="201" t="s">
        <v>300</v>
      </c>
      <c r="J141" s="201" t="s">
        <v>299</v>
      </c>
      <c r="K141" s="202">
        <v>1785000</v>
      </c>
      <c r="L141" s="202">
        <v>1785000</v>
      </c>
      <c r="M141" s="201" t="s">
        <v>301</v>
      </c>
      <c r="N141" s="201" t="s">
        <v>299</v>
      </c>
      <c r="O141" s="203"/>
      <c r="P141" s="201" t="s">
        <v>556</v>
      </c>
      <c r="Q141" s="201" t="s">
        <v>557</v>
      </c>
      <c r="R141" s="201" t="s">
        <v>304</v>
      </c>
      <c r="S141" s="201" t="s">
        <v>305</v>
      </c>
      <c r="T141" s="201" t="s">
        <v>301</v>
      </c>
      <c r="U141" s="205" t="s">
        <v>301</v>
      </c>
    </row>
    <row r="142" spans="1:21" x14ac:dyDescent="0.35">
      <c r="A142" s="204" t="s">
        <v>559</v>
      </c>
      <c r="B142" s="441" t="s">
        <v>560</v>
      </c>
      <c r="C142" s="442"/>
      <c r="D142" s="443"/>
      <c r="E142" s="201" t="s">
        <v>297</v>
      </c>
      <c r="F142" s="201" t="s">
        <v>297</v>
      </c>
      <c r="G142" s="201" t="s">
        <v>410</v>
      </c>
      <c r="H142" s="201" t="s">
        <v>299</v>
      </c>
      <c r="I142" s="201" t="s">
        <v>300</v>
      </c>
      <c r="J142" s="201" t="s">
        <v>299</v>
      </c>
      <c r="K142" s="202">
        <v>862750</v>
      </c>
      <c r="L142" s="202">
        <v>862750</v>
      </c>
      <c r="M142" s="201" t="s">
        <v>301</v>
      </c>
      <c r="N142" s="201" t="s">
        <v>299</v>
      </c>
      <c r="O142" s="203"/>
      <c r="P142" s="201" t="s">
        <v>556</v>
      </c>
      <c r="Q142" s="201" t="s">
        <v>557</v>
      </c>
      <c r="R142" s="201" t="s">
        <v>304</v>
      </c>
      <c r="S142" s="201" t="s">
        <v>305</v>
      </c>
      <c r="T142" s="201" t="s">
        <v>301</v>
      </c>
      <c r="U142" s="205" t="s">
        <v>301</v>
      </c>
    </row>
    <row r="143" spans="1:21" x14ac:dyDescent="0.35">
      <c r="A143" s="204" t="s">
        <v>306</v>
      </c>
      <c r="B143" s="441" t="s">
        <v>561</v>
      </c>
      <c r="C143" s="442"/>
      <c r="D143" s="443"/>
      <c r="E143" s="201" t="s">
        <v>297</v>
      </c>
      <c r="F143" s="201" t="s">
        <v>297</v>
      </c>
      <c r="G143" s="201" t="s">
        <v>310</v>
      </c>
      <c r="H143" s="201" t="s">
        <v>299</v>
      </c>
      <c r="I143" s="201" t="s">
        <v>300</v>
      </c>
      <c r="J143" s="201" t="s">
        <v>299</v>
      </c>
      <c r="K143" s="202">
        <v>7140000</v>
      </c>
      <c r="L143" s="202">
        <v>7140000</v>
      </c>
      <c r="M143" s="201" t="s">
        <v>301</v>
      </c>
      <c r="N143" s="201" t="s">
        <v>299</v>
      </c>
      <c r="O143" s="203"/>
      <c r="P143" s="201" t="s">
        <v>556</v>
      </c>
      <c r="Q143" s="201" t="s">
        <v>557</v>
      </c>
      <c r="R143" s="201" t="s">
        <v>304</v>
      </c>
      <c r="S143" s="201" t="s">
        <v>305</v>
      </c>
      <c r="T143" s="201" t="s">
        <v>301</v>
      </c>
      <c r="U143" s="205" t="s">
        <v>301</v>
      </c>
    </row>
    <row r="144" spans="1:21" x14ac:dyDescent="0.35">
      <c r="A144" s="204" t="s">
        <v>308</v>
      </c>
      <c r="B144" s="441" t="s">
        <v>562</v>
      </c>
      <c r="C144" s="442"/>
      <c r="D144" s="443"/>
      <c r="E144" s="201" t="s">
        <v>297</v>
      </c>
      <c r="F144" s="201" t="s">
        <v>297</v>
      </c>
      <c r="G144" s="201" t="s">
        <v>410</v>
      </c>
      <c r="H144" s="201" t="s">
        <v>299</v>
      </c>
      <c r="I144" s="201" t="s">
        <v>300</v>
      </c>
      <c r="J144" s="201" t="s">
        <v>299</v>
      </c>
      <c r="K144" s="202">
        <v>6664000</v>
      </c>
      <c r="L144" s="202">
        <v>6664000</v>
      </c>
      <c r="M144" s="201" t="s">
        <v>301</v>
      </c>
      <c r="N144" s="201" t="s">
        <v>299</v>
      </c>
      <c r="O144" s="203"/>
      <c r="P144" s="201" t="s">
        <v>563</v>
      </c>
      <c r="Q144" s="201" t="s">
        <v>564</v>
      </c>
      <c r="R144" s="201" t="s">
        <v>304</v>
      </c>
      <c r="S144" s="201" t="s">
        <v>305</v>
      </c>
      <c r="T144" s="201" t="s">
        <v>301</v>
      </c>
      <c r="U144" s="205" t="s">
        <v>301</v>
      </c>
    </row>
    <row r="145" spans="1:21" x14ac:dyDescent="0.35">
      <c r="A145" s="204" t="s">
        <v>329</v>
      </c>
      <c r="B145" s="441" t="s">
        <v>565</v>
      </c>
      <c r="C145" s="442"/>
      <c r="D145" s="443"/>
      <c r="E145" s="201" t="s">
        <v>297</v>
      </c>
      <c r="F145" s="201" t="s">
        <v>297</v>
      </c>
      <c r="G145" s="201" t="s">
        <v>414</v>
      </c>
      <c r="H145" s="201" t="s">
        <v>299</v>
      </c>
      <c r="I145" s="201" t="s">
        <v>300</v>
      </c>
      <c r="J145" s="201" t="s">
        <v>299</v>
      </c>
      <c r="K145" s="202">
        <v>9520000</v>
      </c>
      <c r="L145" s="202">
        <v>9520000</v>
      </c>
      <c r="M145" s="201" t="s">
        <v>301</v>
      </c>
      <c r="N145" s="201" t="s">
        <v>299</v>
      </c>
      <c r="O145" s="203"/>
      <c r="P145" s="201" t="s">
        <v>563</v>
      </c>
      <c r="Q145" s="201" t="s">
        <v>564</v>
      </c>
      <c r="R145" s="201" t="s">
        <v>304</v>
      </c>
      <c r="S145" s="201" t="s">
        <v>305</v>
      </c>
      <c r="T145" s="201" t="s">
        <v>301</v>
      </c>
      <c r="U145" s="205" t="s">
        <v>301</v>
      </c>
    </row>
    <row r="146" spans="1:21" x14ac:dyDescent="0.35">
      <c r="A146" s="204" t="s">
        <v>566</v>
      </c>
      <c r="B146" s="441" t="s">
        <v>567</v>
      </c>
      <c r="C146" s="442"/>
      <c r="D146" s="443"/>
      <c r="E146" s="201" t="s">
        <v>432</v>
      </c>
      <c r="F146" s="201" t="s">
        <v>432</v>
      </c>
      <c r="G146" s="201" t="s">
        <v>414</v>
      </c>
      <c r="H146" s="201" t="s">
        <v>299</v>
      </c>
      <c r="I146" s="201" t="s">
        <v>300</v>
      </c>
      <c r="J146" s="201" t="s">
        <v>299</v>
      </c>
      <c r="K146" s="202">
        <v>2975000</v>
      </c>
      <c r="L146" s="202">
        <v>2975000</v>
      </c>
      <c r="M146" s="201" t="s">
        <v>301</v>
      </c>
      <c r="N146" s="201" t="s">
        <v>299</v>
      </c>
      <c r="O146" s="203"/>
      <c r="P146" s="201" t="s">
        <v>563</v>
      </c>
      <c r="Q146" s="201" t="s">
        <v>564</v>
      </c>
      <c r="R146" s="201" t="s">
        <v>304</v>
      </c>
      <c r="S146" s="201" t="s">
        <v>305</v>
      </c>
      <c r="T146" s="201" t="s">
        <v>301</v>
      </c>
      <c r="U146" s="205" t="s">
        <v>301</v>
      </c>
    </row>
    <row r="147" spans="1:21" x14ac:dyDescent="0.35">
      <c r="A147" s="204" t="s">
        <v>346</v>
      </c>
      <c r="B147" s="441" t="s">
        <v>568</v>
      </c>
      <c r="C147" s="442"/>
      <c r="D147" s="443"/>
      <c r="E147" s="201" t="s">
        <v>297</v>
      </c>
      <c r="F147" s="201" t="s">
        <v>297</v>
      </c>
      <c r="G147" s="201" t="s">
        <v>414</v>
      </c>
      <c r="H147" s="201" t="s">
        <v>299</v>
      </c>
      <c r="I147" s="201" t="s">
        <v>300</v>
      </c>
      <c r="J147" s="201" t="s">
        <v>299</v>
      </c>
      <c r="K147" s="202">
        <v>2618000</v>
      </c>
      <c r="L147" s="202">
        <v>2618000</v>
      </c>
      <c r="M147" s="201" t="s">
        <v>301</v>
      </c>
      <c r="N147" s="201" t="s">
        <v>299</v>
      </c>
      <c r="O147" s="203"/>
      <c r="P147" s="201" t="s">
        <v>563</v>
      </c>
      <c r="Q147" s="201" t="s">
        <v>564</v>
      </c>
      <c r="R147" s="201" t="s">
        <v>304</v>
      </c>
      <c r="S147" s="201" t="s">
        <v>305</v>
      </c>
      <c r="T147" s="201" t="s">
        <v>301</v>
      </c>
      <c r="U147" s="205" t="s">
        <v>301</v>
      </c>
    </row>
    <row r="148" spans="1:21" x14ac:dyDescent="0.35">
      <c r="A148" s="204" t="s">
        <v>569</v>
      </c>
      <c r="B148" s="441" t="s">
        <v>570</v>
      </c>
      <c r="C148" s="442"/>
      <c r="D148" s="443"/>
      <c r="E148" s="201" t="s">
        <v>297</v>
      </c>
      <c r="F148" s="201" t="s">
        <v>297</v>
      </c>
      <c r="G148" s="201" t="s">
        <v>410</v>
      </c>
      <c r="H148" s="201" t="s">
        <v>299</v>
      </c>
      <c r="I148" s="201" t="s">
        <v>300</v>
      </c>
      <c r="J148" s="201" t="s">
        <v>299</v>
      </c>
      <c r="K148" s="202">
        <v>7497000</v>
      </c>
      <c r="L148" s="202">
        <v>7497000</v>
      </c>
      <c r="M148" s="201" t="s">
        <v>301</v>
      </c>
      <c r="N148" s="201" t="s">
        <v>299</v>
      </c>
      <c r="O148" s="203"/>
      <c r="P148" s="201" t="s">
        <v>563</v>
      </c>
      <c r="Q148" s="201" t="s">
        <v>564</v>
      </c>
      <c r="R148" s="201" t="s">
        <v>304</v>
      </c>
      <c r="S148" s="201" t="s">
        <v>305</v>
      </c>
      <c r="T148" s="201" t="s">
        <v>301</v>
      </c>
      <c r="U148" s="205" t="s">
        <v>301</v>
      </c>
    </row>
    <row r="149" spans="1:21" x14ac:dyDescent="0.35">
      <c r="A149" s="204" t="s">
        <v>571</v>
      </c>
      <c r="B149" s="441" t="s">
        <v>572</v>
      </c>
      <c r="C149" s="442"/>
      <c r="D149" s="443"/>
      <c r="E149" s="201" t="s">
        <v>338</v>
      </c>
      <c r="F149" s="201" t="s">
        <v>338</v>
      </c>
      <c r="G149" s="201" t="s">
        <v>328</v>
      </c>
      <c r="H149" s="201" t="s">
        <v>299</v>
      </c>
      <c r="I149" s="201" t="s">
        <v>300</v>
      </c>
      <c r="J149" s="201" t="s">
        <v>299</v>
      </c>
      <c r="K149" s="202">
        <v>2380000</v>
      </c>
      <c r="L149" s="202">
        <v>2380000</v>
      </c>
      <c r="M149" s="201" t="s">
        <v>301</v>
      </c>
      <c r="N149" s="201" t="s">
        <v>299</v>
      </c>
      <c r="O149" s="203"/>
      <c r="P149" s="201" t="s">
        <v>563</v>
      </c>
      <c r="Q149" s="201" t="s">
        <v>564</v>
      </c>
      <c r="R149" s="201" t="s">
        <v>304</v>
      </c>
      <c r="S149" s="201" t="s">
        <v>305</v>
      </c>
      <c r="T149" s="201" t="s">
        <v>301</v>
      </c>
      <c r="U149" s="205" t="s">
        <v>301</v>
      </c>
    </row>
    <row r="150" spans="1:21" x14ac:dyDescent="0.35">
      <c r="A150" s="204" t="s">
        <v>308</v>
      </c>
      <c r="B150" s="441" t="s">
        <v>573</v>
      </c>
      <c r="C150" s="442"/>
      <c r="D150" s="443"/>
      <c r="E150" s="201" t="s">
        <v>297</v>
      </c>
      <c r="F150" s="201" t="s">
        <v>297</v>
      </c>
      <c r="G150" s="201" t="s">
        <v>410</v>
      </c>
      <c r="H150" s="201" t="s">
        <v>299</v>
      </c>
      <c r="I150" s="201" t="s">
        <v>300</v>
      </c>
      <c r="J150" s="201" t="s">
        <v>299</v>
      </c>
      <c r="K150" s="202">
        <v>3909972</v>
      </c>
      <c r="L150" s="202">
        <v>3909972</v>
      </c>
      <c r="M150" s="201" t="s">
        <v>301</v>
      </c>
      <c r="N150" s="201" t="s">
        <v>299</v>
      </c>
      <c r="O150" s="203"/>
      <c r="P150" s="201" t="s">
        <v>574</v>
      </c>
      <c r="Q150" s="201" t="s">
        <v>575</v>
      </c>
      <c r="R150" s="201" t="s">
        <v>304</v>
      </c>
      <c r="S150" s="201" t="s">
        <v>305</v>
      </c>
      <c r="T150" s="201" t="s">
        <v>301</v>
      </c>
      <c r="U150" s="205" t="s">
        <v>301</v>
      </c>
    </row>
    <row r="151" spans="1:21" x14ac:dyDescent="0.35">
      <c r="A151" s="204" t="s">
        <v>352</v>
      </c>
      <c r="B151" s="441" t="s">
        <v>576</v>
      </c>
      <c r="C151" s="442"/>
      <c r="D151" s="443"/>
      <c r="E151" s="201" t="s">
        <v>297</v>
      </c>
      <c r="F151" s="201" t="s">
        <v>297</v>
      </c>
      <c r="G151" s="201" t="s">
        <v>410</v>
      </c>
      <c r="H151" s="201" t="s">
        <v>299</v>
      </c>
      <c r="I151" s="201" t="s">
        <v>300</v>
      </c>
      <c r="J151" s="201" t="s">
        <v>299</v>
      </c>
      <c r="K151" s="202">
        <v>4549809</v>
      </c>
      <c r="L151" s="202">
        <v>4549809</v>
      </c>
      <c r="M151" s="201" t="s">
        <v>301</v>
      </c>
      <c r="N151" s="201" t="s">
        <v>299</v>
      </c>
      <c r="O151" s="203"/>
      <c r="P151" s="201" t="s">
        <v>574</v>
      </c>
      <c r="Q151" s="201" t="s">
        <v>575</v>
      </c>
      <c r="R151" s="201" t="s">
        <v>304</v>
      </c>
      <c r="S151" s="201" t="s">
        <v>305</v>
      </c>
      <c r="T151" s="201" t="s">
        <v>301</v>
      </c>
      <c r="U151" s="205" t="s">
        <v>301</v>
      </c>
    </row>
    <row r="152" spans="1:21" x14ac:dyDescent="0.35">
      <c r="A152" s="204" t="s">
        <v>577</v>
      </c>
      <c r="B152" s="441" t="s">
        <v>578</v>
      </c>
      <c r="C152" s="442"/>
      <c r="D152" s="443"/>
      <c r="E152" s="201" t="s">
        <v>297</v>
      </c>
      <c r="F152" s="201" t="s">
        <v>297</v>
      </c>
      <c r="G152" s="201" t="s">
        <v>410</v>
      </c>
      <c r="H152" s="201" t="s">
        <v>299</v>
      </c>
      <c r="I152" s="201" t="s">
        <v>300</v>
      </c>
      <c r="J152" s="201" t="s">
        <v>299</v>
      </c>
      <c r="K152" s="202">
        <v>15000000</v>
      </c>
      <c r="L152" s="202">
        <v>15000000</v>
      </c>
      <c r="M152" s="201" t="s">
        <v>301</v>
      </c>
      <c r="N152" s="201" t="s">
        <v>299</v>
      </c>
      <c r="O152" s="203"/>
      <c r="P152" s="201" t="s">
        <v>574</v>
      </c>
      <c r="Q152" s="201" t="s">
        <v>575</v>
      </c>
      <c r="R152" s="201" t="s">
        <v>304</v>
      </c>
      <c r="S152" s="201" t="s">
        <v>305</v>
      </c>
      <c r="T152" s="201" t="s">
        <v>301</v>
      </c>
      <c r="U152" s="205" t="s">
        <v>301</v>
      </c>
    </row>
    <row r="153" spans="1:21" x14ac:dyDescent="0.35">
      <c r="A153" s="204" t="s">
        <v>579</v>
      </c>
      <c r="B153" s="441" t="s">
        <v>580</v>
      </c>
      <c r="C153" s="442"/>
      <c r="D153" s="443"/>
      <c r="E153" s="201" t="s">
        <v>297</v>
      </c>
      <c r="F153" s="201" t="s">
        <v>297</v>
      </c>
      <c r="G153" s="201" t="s">
        <v>410</v>
      </c>
      <c r="H153" s="201" t="s">
        <v>299</v>
      </c>
      <c r="I153" s="201" t="s">
        <v>300</v>
      </c>
      <c r="J153" s="201" t="s">
        <v>299</v>
      </c>
      <c r="K153" s="202">
        <v>6563378</v>
      </c>
      <c r="L153" s="202">
        <v>6563378</v>
      </c>
      <c r="M153" s="201" t="s">
        <v>301</v>
      </c>
      <c r="N153" s="201" t="s">
        <v>299</v>
      </c>
      <c r="O153" s="203"/>
      <c r="P153" s="201" t="s">
        <v>574</v>
      </c>
      <c r="Q153" s="201" t="s">
        <v>575</v>
      </c>
      <c r="R153" s="201" t="s">
        <v>304</v>
      </c>
      <c r="S153" s="201" t="s">
        <v>305</v>
      </c>
      <c r="T153" s="201" t="s">
        <v>301</v>
      </c>
      <c r="U153" s="205" t="s">
        <v>301</v>
      </c>
    </row>
    <row r="154" spans="1:21" x14ac:dyDescent="0.35">
      <c r="A154" s="204" t="s">
        <v>435</v>
      </c>
      <c r="B154" s="441" t="s">
        <v>581</v>
      </c>
      <c r="C154" s="442"/>
      <c r="D154" s="443"/>
      <c r="E154" s="201" t="s">
        <v>313</v>
      </c>
      <c r="F154" s="201" t="s">
        <v>313</v>
      </c>
      <c r="G154" s="201" t="s">
        <v>327</v>
      </c>
      <c r="H154" s="201" t="s">
        <v>299</v>
      </c>
      <c r="I154" s="201" t="s">
        <v>300</v>
      </c>
      <c r="J154" s="201" t="s">
        <v>299</v>
      </c>
      <c r="K154" s="202">
        <v>714000</v>
      </c>
      <c r="L154" s="202">
        <v>714000</v>
      </c>
      <c r="M154" s="201" t="s">
        <v>301</v>
      </c>
      <c r="N154" s="201" t="s">
        <v>299</v>
      </c>
      <c r="O154" s="203"/>
      <c r="P154" s="201" t="s">
        <v>574</v>
      </c>
      <c r="Q154" s="201" t="s">
        <v>575</v>
      </c>
      <c r="R154" s="201" t="s">
        <v>304</v>
      </c>
      <c r="S154" s="201" t="s">
        <v>305</v>
      </c>
      <c r="T154" s="201" t="s">
        <v>301</v>
      </c>
      <c r="U154" s="205" t="s">
        <v>301</v>
      </c>
    </row>
    <row r="155" spans="1:21" x14ac:dyDescent="0.35">
      <c r="A155" s="204" t="s">
        <v>430</v>
      </c>
      <c r="B155" s="441" t="s">
        <v>582</v>
      </c>
      <c r="C155" s="442"/>
      <c r="D155" s="443"/>
      <c r="E155" s="201" t="s">
        <v>297</v>
      </c>
      <c r="F155" s="201" t="s">
        <v>297</v>
      </c>
      <c r="G155" s="201" t="s">
        <v>493</v>
      </c>
      <c r="H155" s="201" t="s">
        <v>299</v>
      </c>
      <c r="I155" s="201" t="s">
        <v>300</v>
      </c>
      <c r="J155" s="201" t="s">
        <v>299</v>
      </c>
      <c r="K155" s="202">
        <v>5000000</v>
      </c>
      <c r="L155" s="202">
        <v>5000000</v>
      </c>
      <c r="M155" s="201" t="s">
        <v>301</v>
      </c>
      <c r="N155" s="201" t="s">
        <v>299</v>
      </c>
      <c r="O155" s="203"/>
      <c r="P155" s="201" t="s">
        <v>583</v>
      </c>
      <c r="Q155" s="201" t="s">
        <v>584</v>
      </c>
      <c r="R155" s="201" t="s">
        <v>304</v>
      </c>
      <c r="S155" s="201" t="s">
        <v>305</v>
      </c>
      <c r="T155" s="201" t="s">
        <v>301</v>
      </c>
      <c r="U155" s="205" t="s">
        <v>301</v>
      </c>
    </row>
    <row r="156" spans="1:21" x14ac:dyDescent="0.35">
      <c r="A156" s="204" t="s">
        <v>546</v>
      </c>
      <c r="B156" s="441" t="s">
        <v>585</v>
      </c>
      <c r="C156" s="442"/>
      <c r="D156" s="443"/>
      <c r="E156" s="201" t="s">
        <v>432</v>
      </c>
      <c r="F156" s="201" t="s">
        <v>432</v>
      </c>
      <c r="G156" s="201" t="s">
        <v>493</v>
      </c>
      <c r="H156" s="201" t="s">
        <v>299</v>
      </c>
      <c r="I156" s="201" t="s">
        <v>300</v>
      </c>
      <c r="J156" s="201" t="s">
        <v>299</v>
      </c>
      <c r="K156" s="202">
        <v>1758000</v>
      </c>
      <c r="L156" s="202">
        <v>1758000</v>
      </c>
      <c r="M156" s="201" t="s">
        <v>301</v>
      </c>
      <c r="N156" s="201" t="s">
        <v>299</v>
      </c>
      <c r="O156" s="203"/>
      <c r="P156" s="201" t="s">
        <v>583</v>
      </c>
      <c r="Q156" s="201" t="s">
        <v>584</v>
      </c>
      <c r="R156" s="201" t="s">
        <v>304</v>
      </c>
      <c r="S156" s="201" t="s">
        <v>305</v>
      </c>
      <c r="T156" s="201" t="s">
        <v>301</v>
      </c>
      <c r="U156" s="205" t="s">
        <v>301</v>
      </c>
    </row>
    <row r="157" spans="1:21" x14ac:dyDescent="0.35">
      <c r="A157" s="204" t="s">
        <v>308</v>
      </c>
      <c r="B157" s="441" t="s">
        <v>573</v>
      </c>
      <c r="C157" s="442"/>
      <c r="D157" s="443"/>
      <c r="E157" s="201" t="s">
        <v>432</v>
      </c>
      <c r="F157" s="201" t="s">
        <v>432</v>
      </c>
      <c r="G157" s="201" t="s">
        <v>298</v>
      </c>
      <c r="H157" s="201" t="s">
        <v>299</v>
      </c>
      <c r="I157" s="201" t="s">
        <v>300</v>
      </c>
      <c r="J157" s="201" t="s">
        <v>299</v>
      </c>
      <c r="K157" s="202">
        <v>1357000</v>
      </c>
      <c r="L157" s="202">
        <v>1357000</v>
      </c>
      <c r="M157" s="201" t="s">
        <v>301</v>
      </c>
      <c r="N157" s="201" t="s">
        <v>299</v>
      </c>
      <c r="O157" s="203"/>
      <c r="P157" s="201" t="s">
        <v>583</v>
      </c>
      <c r="Q157" s="201" t="s">
        <v>584</v>
      </c>
      <c r="R157" s="201" t="s">
        <v>304</v>
      </c>
      <c r="S157" s="201" t="s">
        <v>305</v>
      </c>
      <c r="T157" s="201" t="s">
        <v>301</v>
      </c>
      <c r="U157" s="205" t="s">
        <v>301</v>
      </c>
    </row>
    <row r="158" spans="1:21" x14ac:dyDescent="0.35">
      <c r="A158" s="204" t="s">
        <v>435</v>
      </c>
      <c r="B158" s="441" t="s">
        <v>586</v>
      </c>
      <c r="C158" s="442"/>
      <c r="D158" s="443"/>
      <c r="E158" s="201" t="s">
        <v>432</v>
      </c>
      <c r="F158" s="201" t="s">
        <v>432</v>
      </c>
      <c r="G158" s="201" t="s">
        <v>338</v>
      </c>
      <c r="H158" s="201" t="s">
        <v>299</v>
      </c>
      <c r="I158" s="201" t="s">
        <v>300</v>
      </c>
      <c r="J158" s="201" t="s">
        <v>299</v>
      </c>
      <c r="K158" s="202">
        <v>319299</v>
      </c>
      <c r="L158" s="202">
        <v>319299</v>
      </c>
      <c r="M158" s="201" t="s">
        <v>301</v>
      </c>
      <c r="N158" s="201" t="s">
        <v>299</v>
      </c>
      <c r="O158" s="203"/>
      <c r="P158" s="201" t="s">
        <v>583</v>
      </c>
      <c r="Q158" s="201" t="s">
        <v>584</v>
      </c>
      <c r="R158" s="201" t="s">
        <v>304</v>
      </c>
      <c r="S158" s="201" t="s">
        <v>305</v>
      </c>
      <c r="T158" s="201" t="s">
        <v>301</v>
      </c>
      <c r="U158" s="205" t="s">
        <v>301</v>
      </c>
    </row>
    <row r="159" spans="1:21" x14ac:dyDescent="0.35">
      <c r="A159" s="204" t="s">
        <v>342</v>
      </c>
      <c r="B159" s="441" t="s">
        <v>558</v>
      </c>
      <c r="C159" s="442"/>
      <c r="D159" s="443"/>
      <c r="E159" s="201" t="s">
        <v>432</v>
      </c>
      <c r="F159" s="201" t="s">
        <v>432</v>
      </c>
      <c r="G159" s="201" t="s">
        <v>493</v>
      </c>
      <c r="H159" s="201" t="s">
        <v>299</v>
      </c>
      <c r="I159" s="201" t="s">
        <v>300</v>
      </c>
      <c r="J159" s="201" t="s">
        <v>299</v>
      </c>
      <c r="K159" s="202">
        <v>623150</v>
      </c>
      <c r="L159" s="202">
        <v>623150</v>
      </c>
      <c r="M159" s="201" t="s">
        <v>301</v>
      </c>
      <c r="N159" s="201" t="s">
        <v>299</v>
      </c>
      <c r="O159" s="203"/>
      <c r="P159" s="201" t="s">
        <v>583</v>
      </c>
      <c r="Q159" s="201" t="s">
        <v>584</v>
      </c>
      <c r="R159" s="201" t="s">
        <v>304</v>
      </c>
      <c r="S159" s="201" t="s">
        <v>305</v>
      </c>
      <c r="T159" s="201" t="s">
        <v>301</v>
      </c>
      <c r="U159" s="205" t="s">
        <v>301</v>
      </c>
    </row>
    <row r="160" spans="1:21" x14ac:dyDescent="0.35">
      <c r="A160" s="204" t="s">
        <v>587</v>
      </c>
      <c r="B160" s="441" t="s">
        <v>588</v>
      </c>
      <c r="C160" s="442"/>
      <c r="D160" s="443"/>
      <c r="E160" s="201" t="s">
        <v>488</v>
      </c>
      <c r="F160" s="201" t="s">
        <v>488</v>
      </c>
      <c r="G160" s="201" t="s">
        <v>310</v>
      </c>
      <c r="H160" s="201" t="s">
        <v>299</v>
      </c>
      <c r="I160" s="201" t="s">
        <v>300</v>
      </c>
      <c r="J160" s="201" t="s">
        <v>299</v>
      </c>
      <c r="K160" s="202">
        <v>7385614163</v>
      </c>
      <c r="L160" s="202">
        <v>7737310075</v>
      </c>
      <c r="M160" s="201" t="s">
        <v>301</v>
      </c>
      <c r="N160" s="201" t="s">
        <v>299</v>
      </c>
      <c r="O160" s="203"/>
      <c r="P160" s="201" t="s">
        <v>355</v>
      </c>
      <c r="Q160" s="201" t="s">
        <v>589</v>
      </c>
      <c r="R160" s="201" t="s">
        <v>304</v>
      </c>
      <c r="S160" s="201" t="s">
        <v>305</v>
      </c>
      <c r="T160" s="201" t="s">
        <v>301</v>
      </c>
      <c r="U160" s="205" t="s">
        <v>301</v>
      </c>
    </row>
    <row r="161" spans="1:21" x14ac:dyDescent="0.35">
      <c r="A161" s="204" t="s">
        <v>590</v>
      </c>
      <c r="B161" s="441" t="s">
        <v>591</v>
      </c>
      <c r="C161" s="442"/>
      <c r="D161" s="443"/>
      <c r="E161" s="201" t="s">
        <v>488</v>
      </c>
      <c r="F161" s="201" t="s">
        <v>488</v>
      </c>
      <c r="G161" s="201" t="s">
        <v>310</v>
      </c>
      <c r="H161" s="201" t="s">
        <v>299</v>
      </c>
      <c r="I161" s="201" t="s">
        <v>300</v>
      </c>
      <c r="J161" s="201" t="s">
        <v>299</v>
      </c>
      <c r="K161" s="202">
        <v>1114987083</v>
      </c>
      <c r="L161" s="202">
        <v>1114987083</v>
      </c>
      <c r="M161" s="201" t="s">
        <v>301</v>
      </c>
      <c r="N161" s="201" t="s">
        <v>299</v>
      </c>
      <c r="O161" s="203"/>
      <c r="P161" s="201" t="s">
        <v>355</v>
      </c>
      <c r="Q161" s="201" t="s">
        <v>589</v>
      </c>
      <c r="R161" s="201" t="s">
        <v>304</v>
      </c>
      <c r="S161" s="201" t="s">
        <v>305</v>
      </c>
      <c r="T161" s="201" t="s">
        <v>301</v>
      </c>
      <c r="U161" s="205" t="s">
        <v>301</v>
      </c>
    </row>
    <row r="162" spans="1:21" x14ac:dyDescent="0.35">
      <c r="A162" s="204" t="s">
        <v>592</v>
      </c>
      <c r="B162" s="441" t="s">
        <v>593</v>
      </c>
      <c r="C162" s="442"/>
      <c r="D162" s="443"/>
      <c r="E162" s="201" t="s">
        <v>488</v>
      </c>
      <c r="F162" s="201" t="s">
        <v>488</v>
      </c>
      <c r="G162" s="201" t="s">
        <v>310</v>
      </c>
      <c r="H162" s="201" t="s">
        <v>299</v>
      </c>
      <c r="I162" s="201" t="s">
        <v>300</v>
      </c>
      <c r="J162" s="201" t="s">
        <v>299</v>
      </c>
      <c r="K162" s="202">
        <v>64345081</v>
      </c>
      <c r="L162" s="202">
        <v>64345081</v>
      </c>
      <c r="M162" s="201" t="s">
        <v>301</v>
      </c>
      <c r="N162" s="201" t="s">
        <v>299</v>
      </c>
      <c r="O162" s="203"/>
      <c r="P162" s="201" t="s">
        <v>355</v>
      </c>
      <c r="Q162" s="201" t="s">
        <v>589</v>
      </c>
      <c r="R162" s="201" t="s">
        <v>304</v>
      </c>
      <c r="S162" s="201" t="s">
        <v>305</v>
      </c>
      <c r="T162" s="201" t="s">
        <v>301</v>
      </c>
      <c r="U162" s="205" t="s">
        <v>301</v>
      </c>
    </row>
    <row r="163" spans="1:21" x14ac:dyDescent="0.35">
      <c r="A163" s="204" t="s">
        <v>590</v>
      </c>
      <c r="B163" s="441" t="s">
        <v>594</v>
      </c>
      <c r="C163" s="442"/>
      <c r="D163" s="443"/>
      <c r="E163" s="201" t="s">
        <v>488</v>
      </c>
      <c r="F163" s="201" t="s">
        <v>488</v>
      </c>
      <c r="G163" s="201" t="s">
        <v>310</v>
      </c>
      <c r="H163" s="201" t="s">
        <v>299</v>
      </c>
      <c r="I163" s="201" t="s">
        <v>300</v>
      </c>
      <c r="J163" s="201" t="s">
        <v>299</v>
      </c>
      <c r="K163" s="202">
        <v>73727825</v>
      </c>
      <c r="L163" s="202">
        <v>73727825</v>
      </c>
      <c r="M163" s="201" t="s">
        <v>301</v>
      </c>
      <c r="N163" s="201" t="s">
        <v>299</v>
      </c>
      <c r="O163" s="203"/>
      <c r="P163" s="201" t="s">
        <v>355</v>
      </c>
      <c r="Q163" s="201" t="s">
        <v>589</v>
      </c>
      <c r="R163" s="201" t="s">
        <v>304</v>
      </c>
      <c r="S163" s="201" t="s">
        <v>305</v>
      </c>
      <c r="T163" s="201" t="s">
        <v>301</v>
      </c>
      <c r="U163" s="205" t="s">
        <v>301</v>
      </c>
    </row>
    <row r="164" spans="1:21" x14ac:dyDescent="0.35">
      <c r="A164" s="204" t="s">
        <v>595</v>
      </c>
      <c r="B164" s="441" t="s">
        <v>596</v>
      </c>
      <c r="C164" s="442"/>
      <c r="D164" s="443"/>
      <c r="E164" s="201" t="s">
        <v>488</v>
      </c>
      <c r="F164" s="201" t="s">
        <v>488</v>
      </c>
      <c r="G164" s="201" t="s">
        <v>468</v>
      </c>
      <c r="H164" s="201" t="s">
        <v>299</v>
      </c>
      <c r="I164" s="201" t="s">
        <v>300</v>
      </c>
      <c r="J164" s="201" t="s">
        <v>299</v>
      </c>
      <c r="K164" s="202">
        <v>0</v>
      </c>
      <c r="L164" s="202">
        <v>0</v>
      </c>
      <c r="M164" s="201" t="s">
        <v>301</v>
      </c>
      <c r="N164" s="201" t="s">
        <v>299</v>
      </c>
      <c r="O164" s="203"/>
      <c r="P164" s="201" t="s">
        <v>355</v>
      </c>
      <c r="Q164" s="201" t="s">
        <v>589</v>
      </c>
      <c r="R164" s="201" t="s">
        <v>304</v>
      </c>
      <c r="S164" s="201" t="s">
        <v>305</v>
      </c>
      <c r="T164" s="201" t="s">
        <v>301</v>
      </c>
      <c r="U164" s="205" t="s">
        <v>301</v>
      </c>
    </row>
    <row r="165" spans="1:21" x14ac:dyDescent="0.35">
      <c r="A165" s="204" t="s">
        <v>597</v>
      </c>
      <c r="B165" s="441" t="s">
        <v>598</v>
      </c>
      <c r="C165" s="442"/>
      <c r="D165" s="443"/>
      <c r="E165" s="201" t="s">
        <v>301</v>
      </c>
      <c r="F165" s="201" t="s">
        <v>301</v>
      </c>
      <c r="G165" s="201" t="s">
        <v>599</v>
      </c>
      <c r="H165" s="201" t="s">
        <v>299</v>
      </c>
      <c r="I165" s="201" t="s">
        <v>300</v>
      </c>
      <c r="J165" s="201" t="s">
        <v>299</v>
      </c>
      <c r="K165" s="202">
        <v>2629494771</v>
      </c>
      <c r="L165" s="202">
        <v>1275527082</v>
      </c>
      <c r="M165" s="201" t="s">
        <v>301</v>
      </c>
      <c r="N165" s="201" t="s">
        <v>301</v>
      </c>
      <c r="O165" s="203"/>
      <c r="P165" s="201" t="s">
        <v>355</v>
      </c>
      <c r="Q165" s="201" t="s">
        <v>600</v>
      </c>
      <c r="R165" s="201" t="s">
        <v>304</v>
      </c>
      <c r="S165" s="201" t="s">
        <v>305</v>
      </c>
      <c r="T165" s="201" t="s">
        <v>301</v>
      </c>
      <c r="U165" s="205" t="s">
        <v>301</v>
      </c>
    </row>
    <row r="166" spans="1:21" x14ac:dyDescent="0.35">
      <c r="A166" s="204" t="s">
        <v>601</v>
      </c>
      <c r="B166" s="441" t="s">
        <v>602</v>
      </c>
      <c r="C166" s="442"/>
      <c r="D166" s="443"/>
      <c r="E166" s="201" t="s">
        <v>327</v>
      </c>
      <c r="F166" s="201" t="s">
        <v>327</v>
      </c>
      <c r="G166" s="201" t="s">
        <v>599</v>
      </c>
      <c r="H166" s="201" t="s">
        <v>299</v>
      </c>
      <c r="I166" s="201" t="s">
        <v>300</v>
      </c>
      <c r="J166" s="201" t="s">
        <v>299</v>
      </c>
      <c r="K166" s="202">
        <v>4010213341</v>
      </c>
      <c r="L166" s="202">
        <v>2226572635</v>
      </c>
      <c r="M166" s="201" t="s">
        <v>301</v>
      </c>
      <c r="N166" s="201" t="s">
        <v>301</v>
      </c>
      <c r="O166" s="203"/>
      <c r="P166" s="201" t="s">
        <v>355</v>
      </c>
      <c r="Q166" s="201" t="s">
        <v>600</v>
      </c>
      <c r="R166" s="201" t="s">
        <v>304</v>
      </c>
      <c r="S166" s="201" t="s">
        <v>305</v>
      </c>
      <c r="T166" s="201" t="s">
        <v>301</v>
      </c>
      <c r="U166" s="205" t="s">
        <v>301</v>
      </c>
    </row>
    <row r="167" spans="1:21" x14ac:dyDescent="0.35">
      <c r="A167" s="204" t="s">
        <v>603</v>
      </c>
      <c r="B167" s="441" t="s">
        <v>604</v>
      </c>
      <c r="C167" s="442"/>
      <c r="D167" s="443"/>
      <c r="E167" s="201" t="s">
        <v>301</v>
      </c>
      <c r="F167" s="201" t="s">
        <v>301</v>
      </c>
      <c r="G167" s="201" t="s">
        <v>599</v>
      </c>
      <c r="H167" s="201" t="s">
        <v>299</v>
      </c>
      <c r="I167" s="201" t="s">
        <v>300</v>
      </c>
      <c r="J167" s="201" t="s">
        <v>299</v>
      </c>
      <c r="K167" s="202">
        <v>306046618</v>
      </c>
      <c r="L167" s="202">
        <v>149272585</v>
      </c>
      <c r="M167" s="201" t="s">
        <v>301</v>
      </c>
      <c r="N167" s="201" t="s">
        <v>301</v>
      </c>
      <c r="O167" s="203"/>
      <c r="P167" s="201" t="s">
        <v>355</v>
      </c>
      <c r="Q167" s="201" t="s">
        <v>600</v>
      </c>
      <c r="R167" s="201" t="s">
        <v>304</v>
      </c>
      <c r="S167" s="201" t="s">
        <v>305</v>
      </c>
      <c r="T167" s="201" t="s">
        <v>301</v>
      </c>
      <c r="U167" s="205" t="s">
        <v>301</v>
      </c>
    </row>
    <row r="168" spans="1:21" x14ac:dyDescent="0.35">
      <c r="A168" s="204" t="s">
        <v>603</v>
      </c>
      <c r="B168" s="441" t="s">
        <v>605</v>
      </c>
      <c r="C168" s="442"/>
      <c r="D168" s="443"/>
      <c r="E168" s="201" t="s">
        <v>338</v>
      </c>
      <c r="F168" s="201" t="s">
        <v>338</v>
      </c>
      <c r="G168" s="201" t="s">
        <v>606</v>
      </c>
      <c r="H168" s="201" t="s">
        <v>299</v>
      </c>
      <c r="I168" s="201" t="s">
        <v>300</v>
      </c>
      <c r="J168" s="201" t="s">
        <v>299</v>
      </c>
      <c r="K168" s="202">
        <v>214200000</v>
      </c>
      <c r="L168" s="202">
        <v>214200000</v>
      </c>
      <c r="M168" s="201" t="s">
        <v>301</v>
      </c>
      <c r="N168" s="201" t="s">
        <v>299</v>
      </c>
      <c r="O168" s="203"/>
      <c r="P168" s="201" t="s">
        <v>355</v>
      </c>
      <c r="Q168" s="201" t="s">
        <v>600</v>
      </c>
      <c r="R168" s="201" t="s">
        <v>304</v>
      </c>
      <c r="S168" s="201" t="s">
        <v>305</v>
      </c>
      <c r="T168" s="201" t="s">
        <v>301</v>
      </c>
      <c r="U168" s="205" t="s">
        <v>301</v>
      </c>
    </row>
    <row r="169" spans="1:21" x14ac:dyDescent="0.35">
      <c r="A169" s="204" t="s">
        <v>590</v>
      </c>
      <c r="B169" s="441" t="s">
        <v>607</v>
      </c>
      <c r="C169" s="442"/>
      <c r="D169" s="443"/>
      <c r="E169" s="201" t="s">
        <v>297</v>
      </c>
      <c r="F169" s="201" t="s">
        <v>297</v>
      </c>
      <c r="G169" s="201" t="s">
        <v>410</v>
      </c>
      <c r="H169" s="201" t="s">
        <v>299</v>
      </c>
      <c r="I169" s="201" t="s">
        <v>300</v>
      </c>
      <c r="J169" s="201" t="s">
        <v>299</v>
      </c>
      <c r="K169" s="202">
        <v>71948283</v>
      </c>
      <c r="L169" s="202">
        <v>71948283</v>
      </c>
      <c r="M169" s="201" t="s">
        <v>301</v>
      </c>
      <c r="N169" s="201" t="s">
        <v>299</v>
      </c>
      <c r="O169" s="203"/>
      <c r="P169" s="201" t="s">
        <v>355</v>
      </c>
      <c r="Q169" s="201" t="s">
        <v>600</v>
      </c>
      <c r="R169" s="201" t="s">
        <v>304</v>
      </c>
      <c r="S169" s="201" t="s">
        <v>305</v>
      </c>
      <c r="T169" s="201" t="s">
        <v>301</v>
      </c>
      <c r="U169" s="205" t="s">
        <v>301</v>
      </c>
    </row>
    <row r="170" spans="1:21" x14ac:dyDescent="0.35">
      <c r="A170" s="204" t="s">
        <v>608</v>
      </c>
      <c r="B170" s="441" t="s">
        <v>609</v>
      </c>
      <c r="C170" s="442"/>
      <c r="D170" s="443"/>
      <c r="E170" s="201" t="s">
        <v>327</v>
      </c>
      <c r="F170" s="201" t="s">
        <v>327</v>
      </c>
      <c r="G170" s="201" t="s">
        <v>414</v>
      </c>
      <c r="H170" s="201" t="s">
        <v>299</v>
      </c>
      <c r="I170" s="201" t="s">
        <v>300</v>
      </c>
      <c r="J170" s="201" t="s">
        <v>299</v>
      </c>
      <c r="K170" s="202">
        <v>20230000</v>
      </c>
      <c r="L170" s="202">
        <v>20230000</v>
      </c>
      <c r="M170" s="201" t="s">
        <v>301</v>
      </c>
      <c r="N170" s="201" t="s">
        <v>299</v>
      </c>
      <c r="O170" s="203"/>
      <c r="P170" s="201" t="s">
        <v>355</v>
      </c>
      <c r="Q170" s="201" t="s">
        <v>600</v>
      </c>
      <c r="R170" s="201" t="s">
        <v>304</v>
      </c>
      <c r="S170" s="201" t="s">
        <v>305</v>
      </c>
      <c r="T170" s="201" t="s">
        <v>301</v>
      </c>
      <c r="U170" s="205" t="s">
        <v>301</v>
      </c>
    </row>
    <row r="171" spans="1:21" x14ac:dyDescent="0.35">
      <c r="A171" s="204" t="s">
        <v>608</v>
      </c>
      <c r="B171" s="441" t="s">
        <v>610</v>
      </c>
      <c r="C171" s="442"/>
      <c r="D171" s="443"/>
      <c r="E171" s="201" t="s">
        <v>327</v>
      </c>
      <c r="F171" s="201" t="s">
        <v>327</v>
      </c>
      <c r="G171" s="201" t="s">
        <v>410</v>
      </c>
      <c r="H171" s="201" t="s">
        <v>299</v>
      </c>
      <c r="I171" s="201" t="s">
        <v>300</v>
      </c>
      <c r="J171" s="201" t="s">
        <v>299</v>
      </c>
      <c r="K171" s="202">
        <v>5000000</v>
      </c>
      <c r="L171" s="202">
        <v>5000000</v>
      </c>
      <c r="M171" s="201" t="s">
        <v>301</v>
      </c>
      <c r="N171" s="201" t="s">
        <v>299</v>
      </c>
      <c r="O171" s="203"/>
      <c r="P171" s="201" t="s">
        <v>355</v>
      </c>
      <c r="Q171" s="201" t="s">
        <v>600</v>
      </c>
      <c r="R171" s="201" t="s">
        <v>304</v>
      </c>
      <c r="S171" s="201" t="s">
        <v>305</v>
      </c>
      <c r="T171" s="201" t="s">
        <v>301</v>
      </c>
      <c r="U171" s="205" t="s">
        <v>301</v>
      </c>
    </row>
    <row r="172" spans="1:21" x14ac:dyDescent="0.35">
      <c r="A172" s="204" t="s">
        <v>611</v>
      </c>
      <c r="B172" s="441" t="s">
        <v>612</v>
      </c>
      <c r="C172" s="442"/>
      <c r="D172" s="443"/>
      <c r="E172" s="201" t="s">
        <v>297</v>
      </c>
      <c r="F172" s="201" t="s">
        <v>297</v>
      </c>
      <c r="G172" s="201" t="s">
        <v>310</v>
      </c>
      <c r="H172" s="201" t="s">
        <v>299</v>
      </c>
      <c r="I172" s="201" t="s">
        <v>300</v>
      </c>
      <c r="J172" s="201" t="s">
        <v>299</v>
      </c>
      <c r="K172" s="202">
        <v>547685651</v>
      </c>
      <c r="L172" s="202">
        <v>547685651</v>
      </c>
      <c r="M172" s="201" t="s">
        <v>301</v>
      </c>
      <c r="N172" s="201" t="s">
        <v>299</v>
      </c>
      <c r="O172" s="203"/>
      <c r="P172" s="201" t="s">
        <v>355</v>
      </c>
      <c r="Q172" s="201" t="s">
        <v>600</v>
      </c>
      <c r="R172" s="201" t="s">
        <v>304</v>
      </c>
      <c r="S172" s="201" t="s">
        <v>305</v>
      </c>
      <c r="T172" s="201" t="s">
        <v>301</v>
      </c>
      <c r="U172" s="205" t="s">
        <v>301</v>
      </c>
    </row>
    <row r="173" spans="1:21" x14ac:dyDescent="0.35">
      <c r="A173" s="204" t="s">
        <v>613</v>
      </c>
      <c r="B173" s="441" t="s">
        <v>614</v>
      </c>
      <c r="C173" s="442"/>
      <c r="D173" s="443"/>
      <c r="E173" s="201" t="s">
        <v>301</v>
      </c>
      <c r="F173" s="201" t="s">
        <v>301</v>
      </c>
      <c r="G173" s="201" t="s">
        <v>310</v>
      </c>
      <c r="H173" s="201" t="s">
        <v>299</v>
      </c>
      <c r="I173" s="201" t="s">
        <v>300</v>
      </c>
      <c r="J173" s="201" t="s">
        <v>299</v>
      </c>
      <c r="K173" s="202">
        <v>153991541</v>
      </c>
      <c r="L173" s="202">
        <v>153991541</v>
      </c>
      <c r="M173" s="201" t="s">
        <v>301</v>
      </c>
      <c r="N173" s="201" t="s">
        <v>299</v>
      </c>
      <c r="O173" s="203"/>
      <c r="P173" s="201" t="s">
        <v>355</v>
      </c>
      <c r="Q173" s="201" t="s">
        <v>600</v>
      </c>
      <c r="R173" s="201" t="s">
        <v>304</v>
      </c>
      <c r="S173" s="201" t="s">
        <v>305</v>
      </c>
      <c r="T173" s="201" t="s">
        <v>301</v>
      </c>
      <c r="U173" s="205" t="s">
        <v>301</v>
      </c>
    </row>
    <row r="174" spans="1:21" x14ac:dyDescent="0.35">
      <c r="A174" s="204" t="s">
        <v>615</v>
      </c>
      <c r="B174" s="441" t="s">
        <v>616</v>
      </c>
      <c r="C174" s="442"/>
      <c r="D174" s="443"/>
      <c r="E174" s="201" t="s">
        <v>617</v>
      </c>
      <c r="F174" s="201" t="s">
        <v>617</v>
      </c>
      <c r="G174" s="201" t="s">
        <v>310</v>
      </c>
      <c r="H174" s="201" t="s">
        <v>299</v>
      </c>
      <c r="I174" s="201" t="s">
        <v>300</v>
      </c>
      <c r="J174" s="201" t="s">
        <v>299</v>
      </c>
      <c r="K174" s="202">
        <v>50000000</v>
      </c>
      <c r="L174" s="202">
        <v>50000000</v>
      </c>
      <c r="M174" s="201" t="s">
        <v>301</v>
      </c>
      <c r="N174" s="201" t="s">
        <v>299</v>
      </c>
      <c r="O174" s="203"/>
      <c r="P174" s="201" t="s">
        <v>355</v>
      </c>
      <c r="Q174" s="201" t="s">
        <v>618</v>
      </c>
      <c r="R174" s="201" t="s">
        <v>304</v>
      </c>
      <c r="S174" s="201" t="s">
        <v>305</v>
      </c>
      <c r="T174" s="201" t="s">
        <v>301</v>
      </c>
      <c r="U174" s="205" t="s">
        <v>301</v>
      </c>
    </row>
    <row r="175" spans="1:21" x14ac:dyDescent="0.35">
      <c r="A175" s="204" t="s">
        <v>615</v>
      </c>
      <c r="B175" s="441" t="s">
        <v>619</v>
      </c>
      <c r="C175" s="442"/>
      <c r="D175" s="443"/>
      <c r="E175" s="201" t="s">
        <v>437</v>
      </c>
      <c r="F175" s="201" t="s">
        <v>437</v>
      </c>
      <c r="G175" s="201" t="s">
        <v>310</v>
      </c>
      <c r="H175" s="201" t="s">
        <v>299</v>
      </c>
      <c r="I175" s="201" t="s">
        <v>300</v>
      </c>
      <c r="J175" s="201" t="s">
        <v>299</v>
      </c>
      <c r="K175" s="202">
        <v>1190000</v>
      </c>
      <c r="L175" s="202">
        <v>1190000</v>
      </c>
      <c r="M175" s="201" t="s">
        <v>301</v>
      </c>
      <c r="N175" s="201" t="s">
        <v>299</v>
      </c>
      <c r="O175" s="203"/>
      <c r="P175" s="201" t="s">
        <v>355</v>
      </c>
      <c r="Q175" s="201" t="s">
        <v>618</v>
      </c>
      <c r="R175" s="201" t="s">
        <v>304</v>
      </c>
      <c r="S175" s="201" t="s">
        <v>305</v>
      </c>
      <c r="T175" s="201" t="s">
        <v>301</v>
      </c>
      <c r="U175" s="205" t="s">
        <v>301</v>
      </c>
    </row>
    <row r="176" spans="1:21" x14ac:dyDescent="0.35">
      <c r="A176" s="204" t="s">
        <v>615</v>
      </c>
      <c r="B176" s="441" t="s">
        <v>620</v>
      </c>
      <c r="C176" s="442"/>
      <c r="D176" s="443"/>
      <c r="E176" s="201" t="s">
        <v>437</v>
      </c>
      <c r="F176" s="201" t="s">
        <v>437</v>
      </c>
      <c r="G176" s="201" t="s">
        <v>310</v>
      </c>
      <c r="H176" s="201" t="s">
        <v>299</v>
      </c>
      <c r="I176" s="201" t="s">
        <v>300</v>
      </c>
      <c r="J176" s="201" t="s">
        <v>299</v>
      </c>
      <c r="K176" s="202">
        <v>18361921</v>
      </c>
      <c r="L176" s="202">
        <v>18361921</v>
      </c>
      <c r="M176" s="201" t="s">
        <v>301</v>
      </c>
      <c r="N176" s="201" t="s">
        <v>299</v>
      </c>
      <c r="O176" s="203"/>
      <c r="P176" s="201" t="s">
        <v>355</v>
      </c>
      <c r="Q176" s="201" t="s">
        <v>618</v>
      </c>
      <c r="R176" s="201" t="s">
        <v>304</v>
      </c>
      <c r="S176" s="201" t="s">
        <v>305</v>
      </c>
      <c r="T176" s="201" t="s">
        <v>301</v>
      </c>
      <c r="U176" s="205" t="s">
        <v>301</v>
      </c>
    </row>
    <row r="177" spans="1:21" x14ac:dyDescent="0.35">
      <c r="A177" s="204" t="s">
        <v>621</v>
      </c>
      <c r="B177" s="441" t="s">
        <v>622</v>
      </c>
      <c r="C177" s="442"/>
      <c r="D177" s="443"/>
      <c r="E177" s="201" t="s">
        <v>617</v>
      </c>
      <c r="F177" s="201" t="s">
        <v>617</v>
      </c>
      <c r="G177" s="201" t="s">
        <v>461</v>
      </c>
      <c r="H177" s="201" t="s">
        <v>299</v>
      </c>
      <c r="I177" s="201" t="s">
        <v>300</v>
      </c>
      <c r="J177" s="201" t="s">
        <v>299</v>
      </c>
      <c r="K177" s="202">
        <v>23800000</v>
      </c>
      <c r="L177" s="202">
        <v>13800000</v>
      </c>
      <c r="M177" s="201" t="s">
        <v>301</v>
      </c>
      <c r="N177" s="201" t="s">
        <v>301</v>
      </c>
      <c r="O177" s="203"/>
      <c r="P177" s="201" t="s">
        <v>355</v>
      </c>
      <c r="Q177" s="201" t="s">
        <v>618</v>
      </c>
      <c r="R177" s="201" t="s">
        <v>304</v>
      </c>
      <c r="S177" s="201" t="s">
        <v>305</v>
      </c>
      <c r="T177" s="201" t="s">
        <v>301</v>
      </c>
      <c r="U177" s="205" t="s">
        <v>301</v>
      </c>
    </row>
    <row r="178" spans="1:21" x14ac:dyDescent="0.35">
      <c r="A178" s="204" t="s">
        <v>623</v>
      </c>
      <c r="B178" s="441" t="s">
        <v>624</v>
      </c>
      <c r="C178" s="442"/>
      <c r="D178" s="443"/>
      <c r="E178" s="201" t="s">
        <v>319</v>
      </c>
      <c r="F178" s="201" t="s">
        <v>319</v>
      </c>
      <c r="G178" s="201" t="s">
        <v>310</v>
      </c>
      <c r="H178" s="201" t="s">
        <v>299</v>
      </c>
      <c r="I178" s="201" t="s">
        <v>300</v>
      </c>
      <c r="J178" s="201" t="s">
        <v>299</v>
      </c>
      <c r="K178" s="202">
        <v>67000000</v>
      </c>
      <c r="L178" s="202">
        <v>33500000</v>
      </c>
      <c r="M178" s="201" t="s">
        <v>301</v>
      </c>
      <c r="N178" s="201" t="s">
        <v>301</v>
      </c>
      <c r="O178" s="203"/>
      <c r="P178" s="201" t="s">
        <v>355</v>
      </c>
      <c r="Q178" s="201" t="s">
        <v>618</v>
      </c>
      <c r="R178" s="201" t="s">
        <v>304</v>
      </c>
      <c r="S178" s="201" t="s">
        <v>305</v>
      </c>
      <c r="T178" s="201" t="s">
        <v>301</v>
      </c>
      <c r="U178" s="205" t="s">
        <v>301</v>
      </c>
    </row>
    <row r="179" spans="1:21" x14ac:dyDescent="0.35">
      <c r="A179" s="204" t="s">
        <v>625</v>
      </c>
      <c r="B179" s="441" t="s">
        <v>626</v>
      </c>
      <c r="C179" s="442"/>
      <c r="D179" s="443"/>
      <c r="E179" s="201" t="s">
        <v>617</v>
      </c>
      <c r="F179" s="201" t="s">
        <v>617</v>
      </c>
      <c r="G179" s="201" t="s">
        <v>310</v>
      </c>
      <c r="H179" s="201" t="s">
        <v>299</v>
      </c>
      <c r="I179" s="201" t="s">
        <v>300</v>
      </c>
      <c r="J179" s="201" t="s">
        <v>299</v>
      </c>
      <c r="K179" s="202">
        <v>148750000</v>
      </c>
      <c r="L179" s="202">
        <v>148750000</v>
      </c>
      <c r="M179" s="201" t="s">
        <v>301</v>
      </c>
      <c r="N179" s="201" t="s">
        <v>299</v>
      </c>
      <c r="O179" s="203"/>
      <c r="P179" s="201" t="s">
        <v>355</v>
      </c>
      <c r="Q179" s="201" t="s">
        <v>618</v>
      </c>
      <c r="R179" s="201" t="s">
        <v>304</v>
      </c>
      <c r="S179" s="201" t="s">
        <v>305</v>
      </c>
      <c r="T179" s="201" t="s">
        <v>301</v>
      </c>
      <c r="U179" s="205" t="s">
        <v>301</v>
      </c>
    </row>
    <row r="180" spans="1:21" x14ac:dyDescent="0.35">
      <c r="A180" s="204" t="s">
        <v>627</v>
      </c>
      <c r="B180" s="441" t="s">
        <v>628</v>
      </c>
      <c r="C180" s="442"/>
      <c r="D180" s="443"/>
      <c r="E180" s="201" t="s">
        <v>617</v>
      </c>
      <c r="F180" s="201" t="s">
        <v>617</v>
      </c>
      <c r="G180" s="201" t="s">
        <v>310</v>
      </c>
      <c r="H180" s="201" t="s">
        <v>299</v>
      </c>
      <c r="I180" s="201" t="s">
        <v>300</v>
      </c>
      <c r="J180" s="201" t="s">
        <v>299</v>
      </c>
      <c r="K180" s="202">
        <v>470000000</v>
      </c>
      <c r="L180" s="202">
        <v>370000000</v>
      </c>
      <c r="M180" s="201" t="s">
        <v>301</v>
      </c>
      <c r="N180" s="201" t="s">
        <v>301</v>
      </c>
      <c r="O180" s="203"/>
      <c r="P180" s="201" t="s">
        <v>355</v>
      </c>
      <c r="Q180" s="201" t="s">
        <v>618</v>
      </c>
      <c r="R180" s="201" t="s">
        <v>304</v>
      </c>
      <c r="S180" s="201" t="s">
        <v>305</v>
      </c>
      <c r="T180" s="201" t="s">
        <v>301</v>
      </c>
      <c r="U180" s="205" t="s">
        <v>301</v>
      </c>
    </row>
    <row r="181" spans="1:21" x14ac:dyDescent="0.35">
      <c r="A181" s="204" t="s">
        <v>627</v>
      </c>
      <c r="B181" s="441" t="s">
        <v>629</v>
      </c>
      <c r="C181" s="442"/>
      <c r="D181" s="443"/>
      <c r="E181" s="201" t="s">
        <v>617</v>
      </c>
      <c r="F181" s="201" t="s">
        <v>617</v>
      </c>
      <c r="G181" s="201" t="s">
        <v>310</v>
      </c>
      <c r="H181" s="201" t="s">
        <v>299</v>
      </c>
      <c r="I181" s="201" t="s">
        <v>300</v>
      </c>
      <c r="J181" s="201" t="s">
        <v>299</v>
      </c>
      <c r="K181" s="202">
        <v>20000000</v>
      </c>
      <c r="L181" s="202">
        <v>20000000</v>
      </c>
      <c r="M181" s="201" t="s">
        <v>301</v>
      </c>
      <c r="N181" s="201" t="s">
        <v>299</v>
      </c>
      <c r="O181" s="203"/>
      <c r="P181" s="201" t="s">
        <v>355</v>
      </c>
      <c r="Q181" s="201" t="s">
        <v>618</v>
      </c>
      <c r="R181" s="201" t="s">
        <v>304</v>
      </c>
      <c r="S181" s="201" t="s">
        <v>305</v>
      </c>
      <c r="T181" s="201" t="s">
        <v>301</v>
      </c>
      <c r="U181" s="205" t="s">
        <v>301</v>
      </c>
    </row>
    <row r="182" spans="1:21" x14ac:dyDescent="0.35">
      <c r="A182" s="204" t="s">
        <v>627</v>
      </c>
      <c r="B182" s="441" t="s">
        <v>630</v>
      </c>
      <c r="C182" s="442"/>
      <c r="D182" s="443"/>
      <c r="E182" s="201" t="s">
        <v>297</v>
      </c>
      <c r="F182" s="201" t="s">
        <v>297</v>
      </c>
      <c r="G182" s="201" t="s">
        <v>310</v>
      </c>
      <c r="H182" s="201" t="s">
        <v>299</v>
      </c>
      <c r="I182" s="201" t="s">
        <v>300</v>
      </c>
      <c r="J182" s="201" t="s">
        <v>299</v>
      </c>
      <c r="K182" s="202">
        <v>52473336</v>
      </c>
      <c r="L182" s="202">
        <v>52473336</v>
      </c>
      <c r="M182" s="201" t="s">
        <v>301</v>
      </c>
      <c r="N182" s="201" t="s">
        <v>299</v>
      </c>
      <c r="O182" s="203"/>
      <c r="P182" s="201" t="s">
        <v>355</v>
      </c>
      <c r="Q182" s="201" t="s">
        <v>618</v>
      </c>
      <c r="R182" s="201" t="s">
        <v>304</v>
      </c>
      <c r="S182" s="201" t="s">
        <v>305</v>
      </c>
      <c r="T182" s="201" t="s">
        <v>301</v>
      </c>
      <c r="U182" s="205" t="s">
        <v>301</v>
      </c>
    </row>
    <row r="183" spans="1:21" x14ac:dyDescent="0.35">
      <c r="A183" s="204" t="s">
        <v>627</v>
      </c>
      <c r="B183" s="441" t="s">
        <v>631</v>
      </c>
      <c r="C183" s="442"/>
      <c r="D183" s="443"/>
      <c r="E183" s="201" t="s">
        <v>297</v>
      </c>
      <c r="F183" s="201" t="s">
        <v>297</v>
      </c>
      <c r="G183" s="201" t="s">
        <v>310</v>
      </c>
      <c r="H183" s="201" t="s">
        <v>299</v>
      </c>
      <c r="I183" s="201" t="s">
        <v>300</v>
      </c>
      <c r="J183" s="201" t="s">
        <v>299</v>
      </c>
      <c r="K183" s="202">
        <v>126390701</v>
      </c>
      <c r="L183" s="202">
        <v>126390701</v>
      </c>
      <c r="M183" s="201" t="s">
        <v>301</v>
      </c>
      <c r="N183" s="201" t="s">
        <v>299</v>
      </c>
      <c r="O183" s="203"/>
      <c r="P183" s="201" t="s">
        <v>355</v>
      </c>
      <c r="Q183" s="201" t="s">
        <v>618</v>
      </c>
      <c r="R183" s="201" t="s">
        <v>304</v>
      </c>
      <c r="S183" s="201" t="s">
        <v>305</v>
      </c>
      <c r="T183" s="201" t="s">
        <v>301</v>
      </c>
      <c r="U183" s="205" t="s">
        <v>301</v>
      </c>
    </row>
    <row r="184" spans="1:21" x14ac:dyDescent="0.35">
      <c r="A184" s="204" t="s">
        <v>627</v>
      </c>
      <c r="B184" s="441" t="s">
        <v>632</v>
      </c>
      <c r="C184" s="442"/>
      <c r="D184" s="443"/>
      <c r="E184" s="201" t="s">
        <v>617</v>
      </c>
      <c r="F184" s="201" t="s">
        <v>617</v>
      </c>
      <c r="G184" s="201" t="s">
        <v>310</v>
      </c>
      <c r="H184" s="201" t="s">
        <v>299</v>
      </c>
      <c r="I184" s="201" t="s">
        <v>300</v>
      </c>
      <c r="J184" s="201" t="s">
        <v>299</v>
      </c>
      <c r="K184" s="202">
        <v>133248911</v>
      </c>
      <c r="L184" s="202">
        <v>133248911</v>
      </c>
      <c r="M184" s="201" t="s">
        <v>301</v>
      </c>
      <c r="N184" s="201" t="s">
        <v>299</v>
      </c>
      <c r="O184" s="203"/>
      <c r="P184" s="201" t="s">
        <v>355</v>
      </c>
      <c r="Q184" s="201" t="s">
        <v>618</v>
      </c>
      <c r="R184" s="201" t="s">
        <v>304</v>
      </c>
      <c r="S184" s="201" t="s">
        <v>305</v>
      </c>
      <c r="T184" s="201" t="s">
        <v>301</v>
      </c>
      <c r="U184" s="205" t="s">
        <v>301</v>
      </c>
    </row>
    <row r="185" spans="1:21" x14ac:dyDescent="0.35">
      <c r="A185" s="204" t="s">
        <v>311</v>
      </c>
      <c r="B185" s="441" t="s">
        <v>633</v>
      </c>
      <c r="C185" s="442"/>
      <c r="D185" s="443"/>
      <c r="E185" s="201" t="s">
        <v>460</v>
      </c>
      <c r="F185" s="201" t="s">
        <v>460</v>
      </c>
      <c r="G185" s="201" t="s">
        <v>310</v>
      </c>
      <c r="H185" s="201" t="s">
        <v>299</v>
      </c>
      <c r="I185" s="201" t="s">
        <v>300</v>
      </c>
      <c r="J185" s="201" t="s">
        <v>299</v>
      </c>
      <c r="K185" s="202">
        <v>34012357</v>
      </c>
      <c r="L185" s="202">
        <v>34012357</v>
      </c>
      <c r="M185" s="201" t="s">
        <v>301</v>
      </c>
      <c r="N185" s="201" t="s">
        <v>299</v>
      </c>
      <c r="O185" s="203"/>
      <c r="P185" s="201" t="s">
        <v>355</v>
      </c>
      <c r="Q185" s="201" t="s">
        <v>634</v>
      </c>
      <c r="R185" s="201" t="s">
        <v>304</v>
      </c>
      <c r="S185" s="201" t="s">
        <v>305</v>
      </c>
      <c r="T185" s="201" t="s">
        <v>301</v>
      </c>
      <c r="U185" s="205" t="s">
        <v>301</v>
      </c>
    </row>
    <row r="186" spans="1:21" x14ac:dyDescent="0.35">
      <c r="A186" s="204" t="s">
        <v>635</v>
      </c>
      <c r="B186" s="441" t="s">
        <v>636</v>
      </c>
      <c r="C186" s="442"/>
      <c r="D186" s="443"/>
      <c r="E186" s="201" t="s">
        <v>405</v>
      </c>
      <c r="F186" s="201" t="s">
        <v>405</v>
      </c>
      <c r="G186" s="201" t="s">
        <v>637</v>
      </c>
      <c r="H186" s="201" t="s">
        <v>299</v>
      </c>
      <c r="I186" s="201" t="s">
        <v>300</v>
      </c>
      <c r="J186" s="201" t="s">
        <v>299</v>
      </c>
      <c r="K186" s="202">
        <v>40671225</v>
      </c>
      <c r="L186" s="202">
        <v>3588637</v>
      </c>
      <c r="M186" s="201" t="s">
        <v>301</v>
      </c>
      <c r="N186" s="201" t="s">
        <v>301</v>
      </c>
      <c r="O186" s="203"/>
      <c r="P186" s="201" t="s">
        <v>355</v>
      </c>
      <c r="Q186" s="201" t="s">
        <v>634</v>
      </c>
      <c r="R186" s="201" t="s">
        <v>304</v>
      </c>
      <c r="S186" s="201" t="s">
        <v>305</v>
      </c>
      <c r="T186" s="201" t="s">
        <v>301</v>
      </c>
      <c r="U186" s="205" t="s">
        <v>301</v>
      </c>
    </row>
    <row r="187" spans="1:21" x14ac:dyDescent="0.35">
      <c r="A187" s="204" t="s">
        <v>311</v>
      </c>
      <c r="B187" s="441" t="s">
        <v>638</v>
      </c>
      <c r="C187" s="442"/>
      <c r="D187" s="443"/>
      <c r="E187" s="201" t="s">
        <v>313</v>
      </c>
      <c r="F187" s="201" t="s">
        <v>313</v>
      </c>
      <c r="G187" s="201" t="s">
        <v>310</v>
      </c>
      <c r="H187" s="201" t="s">
        <v>299</v>
      </c>
      <c r="I187" s="201" t="s">
        <v>300</v>
      </c>
      <c r="J187" s="201" t="s">
        <v>299</v>
      </c>
      <c r="K187" s="202">
        <v>23232264</v>
      </c>
      <c r="L187" s="202">
        <v>15488176</v>
      </c>
      <c r="M187" s="201" t="s">
        <v>301</v>
      </c>
      <c r="N187" s="201" t="s">
        <v>301</v>
      </c>
      <c r="O187" s="203"/>
      <c r="P187" s="201" t="s">
        <v>355</v>
      </c>
      <c r="Q187" s="201" t="s">
        <v>634</v>
      </c>
      <c r="R187" s="201" t="s">
        <v>304</v>
      </c>
      <c r="S187" s="201" t="s">
        <v>305</v>
      </c>
      <c r="T187" s="201" t="s">
        <v>301</v>
      </c>
      <c r="U187" s="205" t="s">
        <v>301</v>
      </c>
    </row>
    <row r="188" spans="1:21" x14ac:dyDescent="0.35">
      <c r="A188" s="204" t="s">
        <v>311</v>
      </c>
      <c r="B188" s="441" t="s">
        <v>639</v>
      </c>
      <c r="C188" s="442"/>
      <c r="D188" s="443"/>
      <c r="E188" s="201" t="s">
        <v>313</v>
      </c>
      <c r="F188" s="201" t="s">
        <v>313</v>
      </c>
      <c r="G188" s="201" t="s">
        <v>310</v>
      </c>
      <c r="H188" s="201" t="s">
        <v>299</v>
      </c>
      <c r="I188" s="201" t="s">
        <v>300</v>
      </c>
      <c r="J188" s="201" t="s">
        <v>299</v>
      </c>
      <c r="K188" s="202">
        <v>17774580</v>
      </c>
      <c r="L188" s="202">
        <v>2962430</v>
      </c>
      <c r="M188" s="201" t="s">
        <v>301</v>
      </c>
      <c r="N188" s="201" t="s">
        <v>301</v>
      </c>
      <c r="O188" s="203"/>
      <c r="P188" s="201" t="s">
        <v>355</v>
      </c>
      <c r="Q188" s="201" t="s">
        <v>634</v>
      </c>
      <c r="R188" s="201" t="s">
        <v>304</v>
      </c>
      <c r="S188" s="201" t="s">
        <v>305</v>
      </c>
      <c r="T188" s="201" t="s">
        <v>301</v>
      </c>
      <c r="U188" s="205" t="s">
        <v>301</v>
      </c>
    </row>
    <row r="189" spans="1:21" x14ac:dyDescent="0.35">
      <c r="A189" s="204" t="s">
        <v>311</v>
      </c>
      <c r="B189" s="441" t="s">
        <v>640</v>
      </c>
      <c r="C189" s="442"/>
      <c r="D189" s="443"/>
      <c r="E189" s="201" t="s">
        <v>405</v>
      </c>
      <c r="F189" s="201" t="s">
        <v>405</v>
      </c>
      <c r="G189" s="201" t="s">
        <v>310</v>
      </c>
      <c r="H189" s="201" t="s">
        <v>299</v>
      </c>
      <c r="I189" s="201" t="s">
        <v>300</v>
      </c>
      <c r="J189" s="201" t="s">
        <v>299</v>
      </c>
      <c r="K189" s="202">
        <v>47108735</v>
      </c>
      <c r="L189" s="202">
        <v>25264472</v>
      </c>
      <c r="M189" s="201" t="s">
        <v>301</v>
      </c>
      <c r="N189" s="201" t="s">
        <v>301</v>
      </c>
      <c r="O189" s="203"/>
      <c r="P189" s="201" t="s">
        <v>355</v>
      </c>
      <c r="Q189" s="201" t="s">
        <v>634</v>
      </c>
      <c r="R189" s="201" t="s">
        <v>304</v>
      </c>
      <c r="S189" s="201" t="s">
        <v>305</v>
      </c>
      <c r="T189" s="201" t="s">
        <v>301</v>
      </c>
      <c r="U189" s="205" t="s">
        <v>301</v>
      </c>
    </row>
    <row r="190" spans="1:21" x14ac:dyDescent="0.35">
      <c r="A190" s="204" t="s">
        <v>311</v>
      </c>
      <c r="B190" s="441" t="s">
        <v>641</v>
      </c>
      <c r="C190" s="442"/>
      <c r="D190" s="443"/>
      <c r="E190" s="201" t="s">
        <v>405</v>
      </c>
      <c r="F190" s="201" t="s">
        <v>405</v>
      </c>
      <c r="G190" s="201" t="s">
        <v>310</v>
      </c>
      <c r="H190" s="201" t="s">
        <v>299</v>
      </c>
      <c r="I190" s="201" t="s">
        <v>300</v>
      </c>
      <c r="J190" s="201" t="s">
        <v>299</v>
      </c>
      <c r="K190" s="202">
        <v>38873024</v>
      </c>
      <c r="L190" s="202">
        <v>12957674</v>
      </c>
      <c r="M190" s="201" t="s">
        <v>301</v>
      </c>
      <c r="N190" s="201" t="s">
        <v>301</v>
      </c>
      <c r="O190" s="203"/>
      <c r="P190" s="201" t="s">
        <v>355</v>
      </c>
      <c r="Q190" s="201" t="s">
        <v>634</v>
      </c>
      <c r="R190" s="201" t="s">
        <v>304</v>
      </c>
      <c r="S190" s="201" t="s">
        <v>305</v>
      </c>
      <c r="T190" s="201" t="s">
        <v>301</v>
      </c>
      <c r="U190" s="205" t="s">
        <v>301</v>
      </c>
    </row>
    <row r="191" spans="1:21" x14ac:dyDescent="0.35">
      <c r="A191" s="204" t="s">
        <v>311</v>
      </c>
      <c r="B191" s="441" t="s">
        <v>642</v>
      </c>
      <c r="C191" s="442"/>
      <c r="D191" s="443"/>
      <c r="E191" s="201" t="s">
        <v>405</v>
      </c>
      <c r="F191" s="201" t="s">
        <v>405</v>
      </c>
      <c r="G191" s="201" t="s">
        <v>310</v>
      </c>
      <c r="H191" s="201" t="s">
        <v>299</v>
      </c>
      <c r="I191" s="201" t="s">
        <v>300</v>
      </c>
      <c r="J191" s="201" t="s">
        <v>299</v>
      </c>
      <c r="K191" s="202">
        <v>60430974</v>
      </c>
      <c r="L191" s="202">
        <v>20143658</v>
      </c>
      <c r="M191" s="201" t="s">
        <v>301</v>
      </c>
      <c r="N191" s="201" t="s">
        <v>301</v>
      </c>
      <c r="O191" s="203"/>
      <c r="P191" s="201" t="s">
        <v>355</v>
      </c>
      <c r="Q191" s="201" t="s">
        <v>634</v>
      </c>
      <c r="R191" s="201" t="s">
        <v>304</v>
      </c>
      <c r="S191" s="201" t="s">
        <v>305</v>
      </c>
      <c r="T191" s="201" t="s">
        <v>301</v>
      </c>
      <c r="U191" s="205" t="s">
        <v>301</v>
      </c>
    </row>
    <row r="192" spans="1:21" x14ac:dyDescent="0.35">
      <c r="A192" s="204" t="s">
        <v>311</v>
      </c>
      <c r="B192" s="441" t="s">
        <v>643</v>
      </c>
      <c r="C192" s="442"/>
      <c r="D192" s="443"/>
      <c r="E192" s="201" t="s">
        <v>405</v>
      </c>
      <c r="F192" s="201" t="s">
        <v>405</v>
      </c>
      <c r="G192" s="201" t="s">
        <v>310</v>
      </c>
      <c r="H192" s="201" t="s">
        <v>299</v>
      </c>
      <c r="I192" s="201" t="s">
        <v>300</v>
      </c>
      <c r="J192" s="201" t="s">
        <v>299</v>
      </c>
      <c r="K192" s="202">
        <v>19436526</v>
      </c>
      <c r="L192" s="202">
        <v>6478842</v>
      </c>
      <c r="M192" s="201" t="s">
        <v>301</v>
      </c>
      <c r="N192" s="201" t="s">
        <v>301</v>
      </c>
      <c r="O192" s="203"/>
      <c r="P192" s="201" t="s">
        <v>355</v>
      </c>
      <c r="Q192" s="201" t="s">
        <v>634</v>
      </c>
      <c r="R192" s="201" t="s">
        <v>304</v>
      </c>
      <c r="S192" s="201" t="s">
        <v>305</v>
      </c>
      <c r="T192" s="201" t="s">
        <v>301</v>
      </c>
      <c r="U192" s="205" t="s">
        <v>301</v>
      </c>
    </row>
    <row r="193" spans="1:21" x14ac:dyDescent="0.35">
      <c r="A193" s="204" t="s">
        <v>311</v>
      </c>
      <c r="B193" s="441" t="s">
        <v>644</v>
      </c>
      <c r="C193" s="442"/>
      <c r="D193" s="443"/>
      <c r="E193" s="201" t="s">
        <v>488</v>
      </c>
      <c r="F193" s="201" t="s">
        <v>488</v>
      </c>
      <c r="G193" s="201" t="s">
        <v>310</v>
      </c>
      <c r="H193" s="201" t="s">
        <v>299</v>
      </c>
      <c r="I193" s="201" t="s">
        <v>300</v>
      </c>
      <c r="J193" s="201" t="s">
        <v>299</v>
      </c>
      <c r="K193" s="202">
        <v>35095228</v>
      </c>
      <c r="L193" s="202">
        <v>10518738</v>
      </c>
      <c r="M193" s="201" t="s">
        <v>301</v>
      </c>
      <c r="N193" s="201" t="s">
        <v>301</v>
      </c>
      <c r="O193" s="203"/>
      <c r="P193" s="201" t="s">
        <v>355</v>
      </c>
      <c r="Q193" s="201" t="s">
        <v>634</v>
      </c>
      <c r="R193" s="201" t="s">
        <v>304</v>
      </c>
      <c r="S193" s="201" t="s">
        <v>305</v>
      </c>
      <c r="T193" s="201" t="s">
        <v>301</v>
      </c>
      <c r="U193" s="205" t="s">
        <v>301</v>
      </c>
    </row>
    <row r="194" spans="1:21" x14ac:dyDescent="0.35">
      <c r="A194" s="204" t="s">
        <v>645</v>
      </c>
      <c r="B194" s="441" t="s">
        <v>646</v>
      </c>
      <c r="C194" s="442"/>
      <c r="D194" s="443"/>
      <c r="E194" s="201" t="s">
        <v>297</v>
      </c>
      <c r="F194" s="201" t="s">
        <v>297</v>
      </c>
      <c r="G194" s="201" t="s">
        <v>647</v>
      </c>
      <c r="H194" s="201" t="s">
        <v>299</v>
      </c>
      <c r="I194" s="201" t="s">
        <v>300</v>
      </c>
      <c r="J194" s="201" t="s">
        <v>299</v>
      </c>
      <c r="K194" s="202">
        <v>11620350</v>
      </c>
      <c r="L194" s="202">
        <v>11620350</v>
      </c>
      <c r="M194" s="201" t="s">
        <v>301</v>
      </c>
      <c r="N194" s="201" t="s">
        <v>299</v>
      </c>
      <c r="O194" s="203"/>
      <c r="P194" s="201" t="s">
        <v>355</v>
      </c>
      <c r="Q194" s="201" t="s">
        <v>648</v>
      </c>
      <c r="R194" s="201" t="s">
        <v>304</v>
      </c>
      <c r="S194" s="201" t="s">
        <v>305</v>
      </c>
      <c r="T194" s="201" t="s">
        <v>301</v>
      </c>
      <c r="U194" s="205" t="s">
        <v>301</v>
      </c>
    </row>
    <row r="195" spans="1:21" x14ac:dyDescent="0.35">
      <c r="A195" s="204" t="s">
        <v>649</v>
      </c>
      <c r="B195" s="441" t="s">
        <v>650</v>
      </c>
      <c r="C195" s="442"/>
      <c r="D195" s="443"/>
      <c r="E195" s="201" t="s">
        <v>297</v>
      </c>
      <c r="F195" s="201" t="s">
        <v>297</v>
      </c>
      <c r="G195" s="201" t="s">
        <v>310</v>
      </c>
      <c r="H195" s="201" t="s">
        <v>299</v>
      </c>
      <c r="I195" s="201" t="s">
        <v>300</v>
      </c>
      <c r="J195" s="201" t="s">
        <v>299</v>
      </c>
      <c r="K195" s="202">
        <v>13078704</v>
      </c>
      <c r="L195" s="202">
        <v>13078704</v>
      </c>
      <c r="M195" s="201" t="s">
        <v>301</v>
      </c>
      <c r="N195" s="201" t="s">
        <v>299</v>
      </c>
      <c r="O195" s="203"/>
      <c r="P195" s="201" t="s">
        <v>355</v>
      </c>
      <c r="Q195" s="201" t="s">
        <v>651</v>
      </c>
      <c r="R195" s="201" t="s">
        <v>304</v>
      </c>
      <c r="S195" s="201" t="s">
        <v>305</v>
      </c>
      <c r="T195" s="201" t="s">
        <v>301</v>
      </c>
      <c r="U195" s="205" t="s">
        <v>301</v>
      </c>
    </row>
    <row r="196" spans="1:21" x14ac:dyDescent="0.35">
      <c r="A196" s="204" t="s">
        <v>652</v>
      </c>
      <c r="B196" s="441" t="s">
        <v>653</v>
      </c>
      <c r="C196" s="442"/>
      <c r="D196" s="443"/>
      <c r="E196" s="201" t="s">
        <v>437</v>
      </c>
      <c r="F196" s="201" t="s">
        <v>437</v>
      </c>
      <c r="G196" s="201" t="s">
        <v>310</v>
      </c>
      <c r="H196" s="201" t="s">
        <v>299</v>
      </c>
      <c r="I196" s="201" t="s">
        <v>300</v>
      </c>
      <c r="J196" s="201" t="s">
        <v>299</v>
      </c>
      <c r="K196" s="202">
        <v>29992243</v>
      </c>
      <c r="L196" s="202">
        <v>29992243</v>
      </c>
      <c r="M196" s="201" t="s">
        <v>301</v>
      </c>
      <c r="N196" s="201" t="s">
        <v>299</v>
      </c>
      <c r="O196" s="203"/>
      <c r="P196" s="201" t="s">
        <v>355</v>
      </c>
      <c r="Q196" s="201" t="s">
        <v>651</v>
      </c>
      <c r="R196" s="201" t="s">
        <v>304</v>
      </c>
      <c r="S196" s="201" t="s">
        <v>305</v>
      </c>
      <c r="T196" s="201" t="s">
        <v>301</v>
      </c>
      <c r="U196" s="205" t="s">
        <v>301</v>
      </c>
    </row>
    <row r="197" spans="1:21" x14ac:dyDescent="0.35">
      <c r="A197" s="204" t="s">
        <v>559</v>
      </c>
      <c r="B197" s="441" t="s">
        <v>654</v>
      </c>
      <c r="C197" s="442"/>
      <c r="D197" s="443"/>
      <c r="E197" s="201" t="s">
        <v>437</v>
      </c>
      <c r="F197" s="201" t="s">
        <v>437</v>
      </c>
      <c r="G197" s="201" t="s">
        <v>310</v>
      </c>
      <c r="H197" s="201" t="s">
        <v>299</v>
      </c>
      <c r="I197" s="201" t="s">
        <v>300</v>
      </c>
      <c r="J197" s="201" t="s">
        <v>299</v>
      </c>
      <c r="K197" s="202">
        <v>14474513</v>
      </c>
      <c r="L197" s="202">
        <v>14474513</v>
      </c>
      <c r="M197" s="201" t="s">
        <v>301</v>
      </c>
      <c r="N197" s="201" t="s">
        <v>299</v>
      </c>
      <c r="O197" s="203"/>
      <c r="P197" s="201" t="s">
        <v>355</v>
      </c>
      <c r="Q197" s="201" t="s">
        <v>651</v>
      </c>
      <c r="R197" s="201" t="s">
        <v>304</v>
      </c>
      <c r="S197" s="201" t="s">
        <v>305</v>
      </c>
      <c r="T197" s="201" t="s">
        <v>301</v>
      </c>
      <c r="U197" s="205" t="s">
        <v>301</v>
      </c>
    </row>
    <row r="198" spans="1:21" x14ac:dyDescent="0.35">
      <c r="A198" s="204" t="s">
        <v>655</v>
      </c>
      <c r="B198" s="441" t="s">
        <v>656</v>
      </c>
      <c r="C198" s="442"/>
      <c r="D198" s="443"/>
      <c r="E198" s="201" t="s">
        <v>313</v>
      </c>
      <c r="F198" s="201" t="s">
        <v>313</v>
      </c>
      <c r="G198" s="201" t="s">
        <v>310</v>
      </c>
      <c r="H198" s="201" t="s">
        <v>299</v>
      </c>
      <c r="I198" s="201" t="s">
        <v>300</v>
      </c>
      <c r="J198" s="201" t="s">
        <v>299</v>
      </c>
      <c r="K198" s="202">
        <v>8237698</v>
      </c>
      <c r="L198" s="202">
        <v>8237698</v>
      </c>
      <c r="M198" s="201" t="s">
        <v>301</v>
      </c>
      <c r="N198" s="201" t="s">
        <v>299</v>
      </c>
      <c r="O198" s="203"/>
      <c r="P198" s="201" t="s">
        <v>355</v>
      </c>
      <c r="Q198" s="201" t="s">
        <v>651</v>
      </c>
      <c r="R198" s="201" t="s">
        <v>304</v>
      </c>
      <c r="S198" s="201" t="s">
        <v>305</v>
      </c>
      <c r="T198" s="201" t="s">
        <v>301</v>
      </c>
      <c r="U198" s="205" t="s">
        <v>301</v>
      </c>
    </row>
    <row r="199" spans="1:21" x14ac:dyDescent="0.35">
      <c r="A199" s="204" t="s">
        <v>657</v>
      </c>
      <c r="B199" s="441" t="s">
        <v>658</v>
      </c>
      <c r="C199" s="442"/>
      <c r="D199" s="443"/>
      <c r="E199" s="201" t="s">
        <v>301</v>
      </c>
      <c r="F199" s="201" t="s">
        <v>301</v>
      </c>
      <c r="G199" s="201" t="s">
        <v>310</v>
      </c>
      <c r="H199" s="201" t="s">
        <v>299</v>
      </c>
      <c r="I199" s="201" t="s">
        <v>300</v>
      </c>
      <c r="J199" s="201" t="s">
        <v>299</v>
      </c>
      <c r="K199" s="202">
        <v>45264749</v>
      </c>
      <c r="L199" s="202">
        <v>45264749</v>
      </c>
      <c r="M199" s="201" t="s">
        <v>301</v>
      </c>
      <c r="N199" s="201" t="s">
        <v>299</v>
      </c>
      <c r="O199" s="203"/>
      <c r="P199" s="201" t="s">
        <v>355</v>
      </c>
      <c r="Q199" s="201" t="s">
        <v>651</v>
      </c>
      <c r="R199" s="201" t="s">
        <v>304</v>
      </c>
      <c r="S199" s="201" t="s">
        <v>305</v>
      </c>
      <c r="T199" s="201" t="s">
        <v>301</v>
      </c>
      <c r="U199" s="205" t="s">
        <v>301</v>
      </c>
    </row>
    <row r="200" spans="1:21" x14ac:dyDescent="0.35">
      <c r="A200" s="204" t="s">
        <v>659</v>
      </c>
      <c r="B200" s="441" t="s">
        <v>660</v>
      </c>
      <c r="C200" s="442"/>
      <c r="D200" s="443"/>
      <c r="E200" s="201" t="s">
        <v>488</v>
      </c>
      <c r="F200" s="201" t="s">
        <v>488</v>
      </c>
      <c r="G200" s="201" t="s">
        <v>310</v>
      </c>
      <c r="H200" s="201" t="s">
        <v>299</v>
      </c>
      <c r="I200" s="201" t="s">
        <v>300</v>
      </c>
      <c r="J200" s="201" t="s">
        <v>299</v>
      </c>
      <c r="K200" s="202">
        <v>47875842</v>
      </c>
      <c r="L200" s="202">
        <v>47875842</v>
      </c>
      <c r="M200" s="201" t="s">
        <v>301</v>
      </c>
      <c r="N200" s="201" t="s">
        <v>299</v>
      </c>
      <c r="O200" s="203"/>
      <c r="P200" s="201" t="s">
        <v>355</v>
      </c>
      <c r="Q200" s="201" t="s">
        <v>651</v>
      </c>
      <c r="R200" s="201" t="s">
        <v>304</v>
      </c>
      <c r="S200" s="201" t="s">
        <v>305</v>
      </c>
      <c r="T200" s="201" t="s">
        <v>301</v>
      </c>
      <c r="U200" s="205" t="s">
        <v>301</v>
      </c>
    </row>
    <row r="201" spans="1:21" x14ac:dyDescent="0.35">
      <c r="A201" s="204" t="s">
        <v>661</v>
      </c>
      <c r="B201" s="441" t="s">
        <v>662</v>
      </c>
      <c r="C201" s="442"/>
      <c r="D201" s="443"/>
      <c r="E201" s="201" t="s">
        <v>437</v>
      </c>
      <c r="F201" s="201" t="s">
        <v>437</v>
      </c>
      <c r="G201" s="201" t="s">
        <v>310</v>
      </c>
      <c r="H201" s="201" t="s">
        <v>299</v>
      </c>
      <c r="I201" s="201" t="s">
        <v>300</v>
      </c>
      <c r="J201" s="201" t="s">
        <v>299</v>
      </c>
      <c r="K201" s="202">
        <v>21704539</v>
      </c>
      <c r="L201" s="202">
        <v>21704539</v>
      </c>
      <c r="M201" s="201" t="s">
        <v>301</v>
      </c>
      <c r="N201" s="201" t="s">
        <v>299</v>
      </c>
      <c r="O201" s="203"/>
      <c r="P201" s="201" t="s">
        <v>355</v>
      </c>
      <c r="Q201" s="201" t="s">
        <v>651</v>
      </c>
      <c r="R201" s="201" t="s">
        <v>304</v>
      </c>
      <c r="S201" s="201" t="s">
        <v>305</v>
      </c>
      <c r="T201" s="201" t="s">
        <v>301</v>
      </c>
      <c r="U201" s="205" t="s">
        <v>301</v>
      </c>
    </row>
    <row r="202" spans="1:21" x14ac:dyDescent="0.35">
      <c r="A202" s="204" t="s">
        <v>663</v>
      </c>
      <c r="B202" s="441" t="s">
        <v>664</v>
      </c>
      <c r="C202" s="442"/>
      <c r="D202" s="443"/>
      <c r="E202" s="201" t="s">
        <v>437</v>
      </c>
      <c r="F202" s="201" t="s">
        <v>437</v>
      </c>
      <c r="G202" s="201" t="s">
        <v>310</v>
      </c>
      <c r="H202" s="201" t="s">
        <v>299</v>
      </c>
      <c r="I202" s="201" t="s">
        <v>300</v>
      </c>
      <c r="J202" s="201" t="s">
        <v>299</v>
      </c>
      <c r="K202" s="202">
        <v>6915399</v>
      </c>
      <c r="L202" s="202">
        <v>6915399</v>
      </c>
      <c r="M202" s="201" t="s">
        <v>301</v>
      </c>
      <c r="N202" s="201" t="s">
        <v>299</v>
      </c>
      <c r="O202" s="203"/>
      <c r="P202" s="201" t="s">
        <v>355</v>
      </c>
      <c r="Q202" s="201" t="s">
        <v>651</v>
      </c>
      <c r="R202" s="201" t="s">
        <v>304</v>
      </c>
      <c r="S202" s="201" t="s">
        <v>305</v>
      </c>
      <c r="T202" s="201" t="s">
        <v>301</v>
      </c>
      <c r="U202" s="205" t="s">
        <v>301</v>
      </c>
    </row>
    <row r="203" spans="1:21" x14ac:dyDescent="0.35">
      <c r="A203" s="204" t="s">
        <v>665</v>
      </c>
      <c r="B203" s="441" t="s">
        <v>666</v>
      </c>
      <c r="C203" s="442"/>
      <c r="D203" s="443"/>
      <c r="E203" s="201" t="s">
        <v>437</v>
      </c>
      <c r="F203" s="201" t="s">
        <v>437</v>
      </c>
      <c r="G203" s="201" t="s">
        <v>310</v>
      </c>
      <c r="H203" s="201" t="s">
        <v>299</v>
      </c>
      <c r="I203" s="201" t="s">
        <v>300</v>
      </c>
      <c r="J203" s="201" t="s">
        <v>299</v>
      </c>
      <c r="K203" s="202">
        <v>14846422</v>
      </c>
      <c r="L203" s="202">
        <v>14846422</v>
      </c>
      <c r="M203" s="201" t="s">
        <v>301</v>
      </c>
      <c r="N203" s="201" t="s">
        <v>299</v>
      </c>
      <c r="O203" s="203"/>
      <c r="P203" s="201" t="s">
        <v>355</v>
      </c>
      <c r="Q203" s="201" t="s">
        <v>651</v>
      </c>
      <c r="R203" s="201" t="s">
        <v>304</v>
      </c>
      <c r="S203" s="201" t="s">
        <v>305</v>
      </c>
      <c r="T203" s="201" t="s">
        <v>301</v>
      </c>
      <c r="U203" s="205" t="s">
        <v>301</v>
      </c>
    </row>
    <row r="204" spans="1:21" x14ac:dyDescent="0.35">
      <c r="A204" s="204" t="s">
        <v>308</v>
      </c>
      <c r="B204" s="441" t="s">
        <v>667</v>
      </c>
      <c r="C204" s="442"/>
      <c r="D204" s="443"/>
      <c r="E204" s="201" t="s">
        <v>437</v>
      </c>
      <c r="F204" s="201" t="s">
        <v>437</v>
      </c>
      <c r="G204" s="201" t="s">
        <v>310</v>
      </c>
      <c r="H204" s="201" t="s">
        <v>299</v>
      </c>
      <c r="I204" s="201" t="s">
        <v>300</v>
      </c>
      <c r="J204" s="201" t="s">
        <v>299</v>
      </c>
      <c r="K204" s="202">
        <v>78578537</v>
      </c>
      <c r="L204" s="202">
        <v>19578537</v>
      </c>
      <c r="M204" s="201" t="s">
        <v>301</v>
      </c>
      <c r="N204" s="201" t="s">
        <v>301</v>
      </c>
      <c r="O204" s="203"/>
      <c r="P204" s="201" t="s">
        <v>355</v>
      </c>
      <c r="Q204" s="201" t="s">
        <v>651</v>
      </c>
      <c r="R204" s="201" t="s">
        <v>304</v>
      </c>
      <c r="S204" s="201" t="s">
        <v>305</v>
      </c>
      <c r="T204" s="201" t="s">
        <v>301</v>
      </c>
      <c r="U204" s="205" t="s">
        <v>301</v>
      </c>
    </row>
    <row r="205" spans="1:21" x14ac:dyDescent="0.35">
      <c r="A205" s="204" t="s">
        <v>592</v>
      </c>
      <c r="B205" s="441" t="s">
        <v>668</v>
      </c>
      <c r="C205" s="442"/>
      <c r="D205" s="443"/>
      <c r="E205" s="201" t="s">
        <v>313</v>
      </c>
      <c r="F205" s="201" t="s">
        <v>313</v>
      </c>
      <c r="G205" s="201" t="s">
        <v>310</v>
      </c>
      <c r="H205" s="201" t="s">
        <v>299</v>
      </c>
      <c r="I205" s="201" t="s">
        <v>300</v>
      </c>
      <c r="J205" s="201" t="s">
        <v>299</v>
      </c>
      <c r="K205" s="202">
        <v>0</v>
      </c>
      <c r="L205" s="202">
        <v>0</v>
      </c>
      <c r="M205" s="201" t="s">
        <v>301</v>
      </c>
      <c r="N205" s="201" t="s">
        <v>299</v>
      </c>
      <c r="O205" s="203"/>
      <c r="P205" s="201" t="s">
        <v>355</v>
      </c>
      <c r="Q205" s="201" t="s">
        <v>651</v>
      </c>
      <c r="R205" s="201" t="s">
        <v>304</v>
      </c>
      <c r="S205" s="201" t="s">
        <v>305</v>
      </c>
      <c r="T205" s="201" t="s">
        <v>301</v>
      </c>
      <c r="U205" s="205" t="s">
        <v>301</v>
      </c>
    </row>
    <row r="206" spans="1:21" x14ac:dyDescent="0.35">
      <c r="A206" s="204" t="s">
        <v>669</v>
      </c>
      <c r="B206" s="441" t="s">
        <v>670</v>
      </c>
      <c r="C206" s="442"/>
      <c r="D206" s="443"/>
      <c r="E206" s="201" t="s">
        <v>437</v>
      </c>
      <c r="F206" s="201" t="s">
        <v>437</v>
      </c>
      <c r="G206" s="201" t="s">
        <v>310</v>
      </c>
      <c r="H206" s="201" t="s">
        <v>299</v>
      </c>
      <c r="I206" s="201" t="s">
        <v>300</v>
      </c>
      <c r="J206" s="201" t="s">
        <v>299</v>
      </c>
      <c r="K206" s="202">
        <v>16517200</v>
      </c>
      <c r="L206" s="202">
        <v>16517200</v>
      </c>
      <c r="M206" s="201" t="s">
        <v>301</v>
      </c>
      <c r="N206" s="201" t="s">
        <v>299</v>
      </c>
      <c r="O206" s="203"/>
      <c r="P206" s="201" t="s">
        <v>355</v>
      </c>
      <c r="Q206" s="201" t="s">
        <v>651</v>
      </c>
      <c r="R206" s="201" t="s">
        <v>304</v>
      </c>
      <c r="S206" s="201" t="s">
        <v>305</v>
      </c>
      <c r="T206" s="201" t="s">
        <v>301</v>
      </c>
      <c r="U206" s="205" t="s">
        <v>301</v>
      </c>
    </row>
    <row r="207" spans="1:21" x14ac:dyDescent="0.35">
      <c r="A207" s="204" t="s">
        <v>671</v>
      </c>
      <c r="B207" s="441" t="s">
        <v>672</v>
      </c>
      <c r="C207" s="442"/>
      <c r="D207" s="443"/>
      <c r="E207" s="201" t="s">
        <v>313</v>
      </c>
      <c r="F207" s="201" t="s">
        <v>313</v>
      </c>
      <c r="G207" s="201" t="s">
        <v>310</v>
      </c>
      <c r="H207" s="201" t="s">
        <v>299</v>
      </c>
      <c r="I207" s="201" t="s">
        <v>300</v>
      </c>
      <c r="J207" s="201" t="s">
        <v>299</v>
      </c>
      <c r="K207" s="202">
        <v>39974004</v>
      </c>
      <c r="L207" s="202">
        <v>39974004</v>
      </c>
      <c r="M207" s="201" t="s">
        <v>301</v>
      </c>
      <c r="N207" s="201" t="s">
        <v>299</v>
      </c>
      <c r="O207" s="203"/>
      <c r="P207" s="201" t="s">
        <v>355</v>
      </c>
      <c r="Q207" s="201" t="s">
        <v>651</v>
      </c>
      <c r="R207" s="201" t="s">
        <v>304</v>
      </c>
      <c r="S207" s="201" t="s">
        <v>305</v>
      </c>
      <c r="T207" s="201" t="s">
        <v>301</v>
      </c>
      <c r="U207" s="205" t="s">
        <v>301</v>
      </c>
    </row>
    <row r="208" spans="1:21" x14ac:dyDescent="0.35">
      <c r="A208" s="204" t="s">
        <v>673</v>
      </c>
      <c r="B208" s="441" t="s">
        <v>674</v>
      </c>
      <c r="C208" s="442"/>
      <c r="D208" s="443"/>
      <c r="E208" s="201" t="s">
        <v>301</v>
      </c>
      <c r="F208" s="201" t="s">
        <v>301</v>
      </c>
      <c r="G208" s="201" t="s">
        <v>310</v>
      </c>
      <c r="H208" s="201" t="s">
        <v>299</v>
      </c>
      <c r="I208" s="201" t="s">
        <v>300</v>
      </c>
      <c r="J208" s="201" t="s">
        <v>299</v>
      </c>
      <c r="K208" s="202">
        <v>2434220</v>
      </c>
      <c r="L208" s="202">
        <v>2434220</v>
      </c>
      <c r="M208" s="201" t="s">
        <v>301</v>
      </c>
      <c r="N208" s="201" t="s">
        <v>299</v>
      </c>
      <c r="O208" s="203"/>
      <c r="P208" s="201" t="s">
        <v>355</v>
      </c>
      <c r="Q208" s="201" t="s">
        <v>651</v>
      </c>
      <c r="R208" s="201" t="s">
        <v>304</v>
      </c>
      <c r="S208" s="201" t="s">
        <v>305</v>
      </c>
      <c r="T208" s="201" t="s">
        <v>301</v>
      </c>
      <c r="U208" s="205" t="s">
        <v>301</v>
      </c>
    </row>
    <row r="209" spans="1:21" x14ac:dyDescent="0.35">
      <c r="A209" s="204" t="s">
        <v>675</v>
      </c>
      <c r="B209" s="441" t="s">
        <v>676</v>
      </c>
      <c r="C209" s="442"/>
      <c r="D209" s="443"/>
      <c r="E209" s="201" t="s">
        <v>319</v>
      </c>
      <c r="F209" s="201" t="s">
        <v>319</v>
      </c>
      <c r="G209" s="201" t="s">
        <v>468</v>
      </c>
      <c r="H209" s="201" t="s">
        <v>299</v>
      </c>
      <c r="I209" s="201" t="s">
        <v>300</v>
      </c>
      <c r="J209" s="201" t="s">
        <v>299</v>
      </c>
      <c r="K209" s="202">
        <v>40155360</v>
      </c>
      <c r="L209" s="202">
        <v>15341835</v>
      </c>
      <c r="M209" s="201" t="s">
        <v>301</v>
      </c>
      <c r="N209" s="201" t="s">
        <v>301</v>
      </c>
      <c r="O209" s="203"/>
      <c r="P209" s="201" t="s">
        <v>355</v>
      </c>
      <c r="Q209" s="201" t="s">
        <v>677</v>
      </c>
      <c r="R209" s="201" t="s">
        <v>304</v>
      </c>
      <c r="S209" s="201" t="s">
        <v>305</v>
      </c>
      <c r="T209" s="201" t="s">
        <v>301</v>
      </c>
      <c r="U209" s="205" t="s">
        <v>301</v>
      </c>
    </row>
    <row r="210" spans="1:21" x14ac:dyDescent="0.35">
      <c r="A210" s="204" t="s">
        <v>678</v>
      </c>
      <c r="B210" s="441" t="s">
        <v>679</v>
      </c>
      <c r="C210" s="442"/>
      <c r="D210" s="443"/>
      <c r="E210" s="201" t="s">
        <v>297</v>
      </c>
      <c r="F210" s="201" t="s">
        <v>297</v>
      </c>
      <c r="G210" s="201" t="s">
        <v>354</v>
      </c>
      <c r="H210" s="201" t="s">
        <v>299</v>
      </c>
      <c r="I210" s="201" t="s">
        <v>300</v>
      </c>
      <c r="J210" s="201" t="s">
        <v>299</v>
      </c>
      <c r="K210" s="202">
        <v>56644000</v>
      </c>
      <c r="L210" s="202">
        <v>56644000</v>
      </c>
      <c r="M210" s="201" t="s">
        <v>301</v>
      </c>
      <c r="N210" s="201" t="s">
        <v>299</v>
      </c>
      <c r="O210" s="203"/>
      <c r="P210" s="201" t="s">
        <v>355</v>
      </c>
      <c r="Q210" s="201" t="s">
        <v>677</v>
      </c>
      <c r="R210" s="201" t="s">
        <v>304</v>
      </c>
      <c r="S210" s="201" t="s">
        <v>305</v>
      </c>
      <c r="T210" s="201" t="s">
        <v>301</v>
      </c>
      <c r="U210" s="205" t="s">
        <v>301</v>
      </c>
    </row>
    <row r="211" spans="1:21" x14ac:dyDescent="0.35">
      <c r="A211" s="204" t="s">
        <v>680</v>
      </c>
      <c r="B211" s="441" t="s">
        <v>681</v>
      </c>
      <c r="C211" s="442"/>
      <c r="D211" s="443"/>
      <c r="E211" s="201" t="s">
        <v>617</v>
      </c>
      <c r="F211" s="201" t="s">
        <v>617</v>
      </c>
      <c r="G211" s="201" t="s">
        <v>410</v>
      </c>
      <c r="H211" s="201" t="s">
        <v>299</v>
      </c>
      <c r="I211" s="201" t="s">
        <v>300</v>
      </c>
      <c r="J211" s="201" t="s">
        <v>299</v>
      </c>
      <c r="K211" s="202">
        <v>66000000</v>
      </c>
      <c r="L211" s="202">
        <v>66000000</v>
      </c>
      <c r="M211" s="201" t="s">
        <v>301</v>
      </c>
      <c r="N211" s="201" t="s">
        <v>299</v>
      </c>
      <c r="O211" s="203"/>
      <c r="P211" s="201" t="s">
        <v>355</v>
      </c>
      <c r="Q211" s="201" t="s">
        <v>682</v>
      </c>
      <c r="R211" s="201" t="s">
        <v>304</v>
      </c>
      <c r="S211" s="201" t="s">
        <v>305</v>
      </c>
      <c r="T211" s="201" t="s">
        <v>301</v>
      </c>
      <c r="U211" s="205" t="s">
        <v>301</v>
      </c>
    </row>
    <row r="212" spans="1:21" x14ac:dyDescent="0.35">
      <c r="A212" s="204" t="s">
        <v>683</v>
      </c>
      <c r="B212" s="441" t="s">
        <v>684</v>
      </c>
      <c r="C212" s="442"/>
      <c r="D212" s="443"/>
      <c r="E212" s="201" t="s">
        <v>327</v>
      </c>
      <c r="F212" s="201" t="s">
        <v>327</v>
      </c>
      <c r="G212" s="201" t="s">
        <v>310</v>
      </c>
      <c r="H212" s="201" t="s">
        <v>299</v>
      </c>
      <c r="I212" s="201" t="s">
        <v>300</v>
      </c>
      <c r="J212" s="201" t="s">
        <v>299</v>
      </c>
      <c r="K212" s="202">
        <v>508130000</v>
      </c>
      <c r="L212" s="202">
        <v>508130000</v>
      </c>
      <c r="M212" s="201" t="s">
        <v>301</v>
      </c>
      <c r="N212" s="201" t="s">
        <v>299</v>
      </c>
      <c r="O212" s="203"/>
      <c r="P212" s="201" t="s">
        <v>355</v>
      </c>
      <c r="Q212" s="201" t="s">
        <v>685</v>
      </c>
      <c r="R212" s="201" t="s">
        <v>304</v>
      </c>
      <c r="S212" s="201" t="s">
        <v>305</v>
      </c>
      <c r="T212" s="201" t="s">
        <v>301</v>
      </c>
      <c r="U212" s="205" t="s">
        <v>301</v>
      </c>
    </row>
    <row r="213" spans="1:21" x14ac:dyDescent="0.35">
      <c r="A213" s="204" t="s">
        <v>683</v>
      </c>
      <c r="B213" s="441" t="s">
        <v>686</v>
      </c>
      <c r="C213" s="442"/>
      <c r="D213" s="443"/>
      <c r="E213" s="201" t="s">
        <v>327</v>
      </c>
      <c r="F213" s="201" t="s">
        <v>327</v>
      </c>
      <c r="G213" s="201" t="s">
        <v>310</v>
      </c>
      <c r="H213" s="201" t="s">
        <v>299</v>
      </c>
      <c r="I213" s="201" t="s">
        <v>300</v>
      </c>
      <c r="J213" s="201" t="s">
        <v>299</v>
      </c>
      <c r="K213" s="202">
        <v>487900000</v>
      </c>
      <c r="L213" s="202">
        <v>487900000</v>
      </c>
      <c r="M213" s="201" t="s">
        <v>301</v>
      </c>
      <c r="N213" s="201" t="s">
        <v>299</v>
      </c>
      <c r="O213" s="203"/>
      <c r="P213" s="201" t="s">
        <v>355</v>
      </c>
      <c r="Q213" s="201" t="s">
        <v>685</v>
      </c>
      <c r="R213" s="201" t="s">
        <v>304</v>
      </c>
      <c r="S213" s="201" t="s">
        <v>305</v>
      </c>
      <c r="T213" s="201" t="s">
        <v>301</v>
      </c>
      <c r="U213" s="205" t="s">
        <v>301</v>
      </c>
    </row>
    <row r="214" spans="1:21" x14ac:dyDescent="0.35">
      <c r="A214" s="204" t="s">
        <v>687</v>
      </c>
      <c r="B214" s="441" t="s">
        <v>688</v>
      </c>
      <c r="C214" s="442"/>
      <c r="D214" s="443"/>
      <c r="E214" s="201" t="s">
        <v>301</v>
      </c>
      <c r="F214" s="201" t="s">
        <v>301</v>
      </c>
      <c r="G214" s="201" t="s">
        <v>310</v>
      </c>
      <c r="H214" s="201" t="s">
        <v>299</v>
      </c>
      <c r="I214" s="201" t="s">
        <v>300</v>
      </c>
      <c r="J214" s="201" t="s">
        <v>299</v>
      </c>
      <c r="K214" s="202">
        <v>74000000</v>
      </c>
      <c r="L214" s="202">
        <v>74000000</v>
      </c>
      <c r="M214" s="201" t="s">
        <v>301</v>
      </c>
      <c r="N214" s="201" t="s">
        <v>299</v>
      </c>
      <c r="O214" s="203"/>
      <c r="P214" s="201" t="s">
        <v>355</v>
      </c>
      <c r="Q214" s="201" t="s">
        <v>689</v>
      </c>
      <c r="R214" s="201" t="s">
        <v>304</v>
      </c>
      <c r="S214" s="201" t="s">
        <v>305</v>
      </c>
      <c r="T214" s="201" t="s">
        <v>301</v>
      </c>
      <c r="U214" s="205" t="s">
        <v>301</v>
      </c>
    </row>
    <row r="215" spans="1:21" x14ac:dyDescent="0.35">
      <c r="A215" s="204" t="s">
        <v>381</v>
      </c>
      <c r="B215" s="441" t="s">
        <v>690</v>
      </c>
      <c r="C215" s="442"/>
      <c r="D215" s="443"/>
      <c r="E215" s="201" t="s">
        <v>297</v>
      </c>
      <c r="F215" s="201" t="s">
        <v>297</v>
      </c>
      <c r="G215" s="201" t="s">
        <v>310</v>
      </c>
      <c r="H215" s="201" t="s">
        <v>299</v>
      </c>
      <c r="I215" s="201" t="s">
        <v>300</v>
      </c>
      <c r="J215" s="201" t="s">
        <v>299</v>
      </c>
      <c r="K215" s="202">
        <v>59500000</v>
      </c>
      <c r="L215" s="202">
        <v>59500000</v>
      </c>
      <c r="M215" s="201" t="s">
        <v>301</v>
      </c>
      <c r="N215" s="201" t="s">
        <v>299</v>
      </c>
      <c r="O215" s="203"/>
      <c r="P215" s="201" t="s">
        <v>355</v>
      </c>
      <c r="Q215" s="201" t="s">
        <v>691</v>
      </c>
      <c r="R215" s="201" t="s">
        <v>304</v>
      </c>
      <c r="S215" s="201" t="s">
        <v>305</v>
      </c>
      <c r="T215" s="201" t="s">
        <v>301</v>
      </c>
      <c r="U215" s="205" t="s">
        <v>301</v>
      </c>
    </row>
    <row r="216" spans="1:21" x14ac:dyDescent="0.35">
      <c r="A216" s="204" t="s">
        <v>381</v>
      </c>
      <c r="B216" s="441" t="s">
        <v>692</v>
      </c>
      <c r="C216" s="442"/>
      <c r="D216" s="443"/>
      <c r="E216" s="201" t="s">
        <v>297</v>
      </c>
      <c r="F216" s="201" t="s">
        <v>297</v>
      </c>
      <c r="G216" s="201" t="s">
        <v>310</v>
      </c>
      <c r="H216" s="201" t="s">
        <v>299</v>
      </c>
      <c r="I216" s="201" t="s">
        <v>300</v>
      </c>
      <c r="J216" s="201" t="s">
        <v>299</v>
      </c>
      <c r="K216" s="202">
        <v>38080000</v>
      </c>
      <c r="L216" s="202">
        <v>38080000</v>
      </c>
      <c r="M216" s="201" t="s">
        <v>301</v>
      </c>
      <c r="N216" s="201" t="s">
        <v>299</v>
      </c>
      <c r="O216" s="203"/>
      <c r="P216" s="201" t="s">
        <v>355</v>
      </c>
      <c r="Q216" s="201" t="s">
        <v>691</v>
      </c>
      <c r="R216" s="201" t="s">
        <v>304</v>
      </c>
      <c r="S216" s="201" t="s">
        <v>305</v>
      </c>
      <c r="T216" s="201" t="s">
        <v>301</v>
      </c>
      <c r="U216" s="205" t="s">
        <v>301</v>
      </c>
    </row>
    <row r="217" spans="1:21" x14ac:dyDescent="0.35">
      <c r="A217" s="204" t="s">
        <v>381</v>
      </c>
      <c r="B217" s="441" t="s">
        <v>693</v>
      </c>
      <c r="C217" s="442"/>
      <c r="D217" s="443"/>
      <c r="E217" s="201" t="s">
        <v>297</v>
      </c>
      <c r="F217" s="201" t="s">
        <v>297</v>
      </c>
      <c r="G217" s="201" t="s">
        <v>310</v>
      </c>
      <c r="H217" s="201" t="s">
        <v>299</v>
      </c>
      <c r="I217" s="201" t="s">
        <v>300</v>
      </c>
      <c r="J217" s="201" t="s">
        <v>299</v>
      </c>
      <c r="K217" s="202">
        <v>59500000</v>
      </c>
      <c r="L217" s="202">
        <v>59500000</v>
      </c>
      <c r="M217" s="201" t="s">
        <v>301</v>
      </c>
      <c r="N217" s="201" t="s">
        <v>299</v>
      </c>
      <c r="O217" s="203"/>
      <c r="P217" s="201" t="s">
        <v>355</v>
      </c>
      <c r="Q217" s="201" t="s">
        <v>691</v>
      </c>
      <c r="R217" s="201" t="s">
        <v>304</v>
      </c>
      <c r="S217" s="201" t="s">
        <v>305</v>
      </c>
      <c r="T217" s="201" t="s">
        <v>301</v>
      </c>
      <c r="U217" s="205" t="s">
        <v>301</v>
      </c>
    </row>
    <row r="218" spans="1:21" x14ac:dyDescent="0.35">
      <c r="A218" s="204" t="s">
        <v>381</v>
      </c>
      <c r="B218" s="441" t="s">
        <v>694</v>
      </c>
      <c r="C218" s="442"/>
      <c r="D218" s="443"/>
      <c r="E218" s="201" t="s">
        <v>297</v>
      </c>
      <c r="F218" s="201" t="s">
        <v>297</v>
      </c>
      <c r="G218" s="201" t="s">
        <v>310</v>
      </c>
      <c r="H218" s="201" t="s">
        <v>299</v>
      </c>
      <c r="I218" s="201" t="s">
        <v>300</v>
      </c>
      <c r="J218" s="201" t="s">
        <v>299</v>
      </c>
      <c r="K218" s="202">
        <v>39270000</v>
      </c>
      <c r="L218" s="202">
        <v>39270000</v>
      </c>
      <c r="M218" s="201" t="s">
        <v>301</v>
      </c>
      <c r="N218" s="201" t="s">
        <v>299</v>
      </c>
      <c r="O218" s="203"/>
      <c r="P218" s="201" t="s">
        <v>355</v>
      </c>
      <c r="Q218" s="201" t="s">
        <v>691</v>
      </c>
      <c r="R218" s="201" t="s">
        <v>304</v>
      </c>
      <c r="S218" s="201" t="s">
        <v>305</v>
      </c>
      <c r="T218" s="201" t="s">
        <v>301</v>
      </c>
      <c r="U218" s="205" t="s">
        <v>301</v>
      </c>
    </row>
    <row r="219" spans="1:21" x14ac:dyDescent="0.35">
      <c r="A219" s="204" t="s">
        <v>381</v>
      </c>
      <c r="B219" s="441" t="s">
        <v>695</v>
      </c>
      <c r="C219" s="442"/>
      <c r="D219" s="443"/>
      <c r="E219" s="201" t="s">
        <v>297</v>
      </c>
      <c r="F219" s="201" t="s">
        <v>297</v>
      </c>
      <c r="G219" s="201" t="s">
        <v>310</v>
      </c>
      <c r="H219" s="201" t="s">
        <v>299</v>
      </c>
      <c r="I219" s="201" t="s">
        <v>300</v>
      </c>
      <c r="J219" s="201" t="s">
        <v>299</v>
      </c>
      <c r="K219" s="202">
        <v>261075977</v>
      </c>
      <c r="L219" s="202">
        <v>261075977</v>
      </c>
      <c r="M219" s="201" t="s">
        <v>301</v>
      </c>
      <c r="N219" s="201" t="s">
        <v>299</v>
      </c>
      <c r="O219" s="203"/>
      <c r="P219" s="201" t="s">
        <v>355</v>
      </c>
      <c r="Q219" s="201" t="s">
        <v>691</v>
      </c>
      <c r="R219" s="201" t="s">
        <v>304</v>
      </c>
      <c r="S219" s="201" t="s">
        <v>305</v>
      </c>
      <c r="T219" s="201" t="s">
        <v>301</v>
      </c>
      <c r="U219" s="205" t="s">
        <v>301</v>
      </c>
    </row>
    <row r="220" spans="1:21" x14ac:dyDescent="0.35">
      <c r="A220" s="204" t="s">
        <v>381</v>
      </c>
      <c r="B220" s="441" t="s">
        <v>695</v>
      </c>
      <c r="C220" s="442"/>
      <c r="D220" s="443"/>
      <c r="E220" s="201" t="s">
        <v>297</v>
      </c>
      <c r="F220" s="201" t="s">
        <v>297</v>
      </c>
      <c r="G220" s="201" t="s">
        <v>310</v>
      </c>
      <c r="H220" s="201" t="s">
        <v>299</v>
      </c>
      <c r="I220" s="201" t="s">
        <v>300</v>
      </c>
      <c r="J220" s="201" t="s">
        <v>299</v>
      </c>
      <c r="K220" s="202">
        <v>295456770</v>
      </c>
      <c r="L220" s="202">
        <v>295456770</v>
      </c>
      <c r="M220" s="201" t="s">
        <v>301</v>
      </c>
      <c r="N220" s="201" t="s">
        <v>299</v>
      </c>
      <c r="O220" s="203"/>
      <c r="P220" s="201" t="s">
        <v>355</v>
      </c>
      <c r="Q220" s="201" t="s">
        <v>691</v>
      </c>
      <c r="R220" s="201" t="s">
        <v>304</v>
      </c>
      <c r="S220" s="201" t="s">
        <v>305</v>
      </c>
      <c r="T220" s="201" t="s">
        <v>301</v>
      </c>
      <c r="U220" s="205" t="s">
        <v>301</v>
      </c>
    </row>
    <row r="221" spans="1:21" x14ac:dyDescent="0.35">
      <c r="A221" s="204" t="s">
        <v>381</v>
      </c>
      <c r="B221" s="441" t="s">
        <v>695</v>
      </c>
      <c r="C221" s="442"/>
      <c r="D221" s="443"/>
      <c r="E221" s="201" t="s">
        <v>297</v>
      </c>
      <c r="F221" s="201" t="s">
        <v>297</v>
      </c>
      <c r="G221" s="201" t="s">
        <v>310</v>
      </c>
      <c r="H221" s="201" t="s">
        <v>299</v>
      </c>
      <c r="I221" s="201" t="s">
        <v>300</v>
      </c>
      <c r="J221" s="201" t="s">
        <v>299</v>
      </c>
      <c r="K221" s="202">
        <v>195947780</v>
      </c>
      <c r="L221" s="202">
        <v>195947780</v>
      </c>
      <c r="M221" s="201" t="s">
        <v>301</v>
      </c>
      <c r="N221" s="201" t="s">
        <v>299</v>
      </c>
      <c r="O221" s="203"/>
      <c r="P221" s="201" t="s">
        <v>355</v>
      </c>
      <c r="Q221" s="201" t="s">
        <v>691</v>
      </c>
      <c r="R221" s="201" t="s">
        <v>304</v>
      </c>
      <c r="S221" s="201" t="s">
        <v>305</v>
      </c>
      <c r="T221" s="201" t="s">
        <v>301</v>
      </c>
      <c r="U221" s="205" t="s">
        <v>301</v>
      </c>
    </row>
    <row r="222" spans="1:21" x14ac:dyDescent="0.35">
      <c r="A222" s="204" t="s">
        <v>381</v>
      </c>
      <c r="B222" s="441" t="s">
        <v>695</v>
      </c>
      <c r="C222" s="442"/>
      <c r="D222" s="443"/>
      <c r="E222" s="201" t="s">
        <v>297</v>
      </c>
      <c r="F222" s="201" t="s">
        <v>297</v>
      </c>
      <c r="G222" s="201" t="s">
        <v>310</v>
      </c>
      <c r="H222" s="201" t="s">
        <v>299</v>
      </c>
      <c r="I222" s="201" t="s">
        <v>300</v>
      </c>
      <c r="J222" s="201" t="s">
        <v>299</v>
      </c>
      <c r="K222" s="202">
        <v>280378280</v>
      </c>
      <c r="L222" s="202">
        <v>280378280</v>
      </c>
      <c r="M222" s="201" t="s">
        <v>301</v>
      </c>
      <c r="N222" s="201" t="s">
        <v>299</v>
      </c>
      <c r="O222" s="203"/>
      <c r="P222" s="201" t="s">
        <v>355</v>
      </c>
      <c r="Q222" s="201" t="s">
        <v>691</v>
      </c>
      <c r="R222" s="201" t="s">
        <v>304</v>
      </c>
      <c r="S222" s="201" t="s">
        <v>305</v>
      </c>
      <c r="T222" s="201" t="s">
        <v>301</v>
      </c>
      <c r="U222" s="205" t="s">
        <v>301</v>
      </c>
    </row>
    <row r="223" spans="1:21" x14ac:dyDescent="0.35">
      <c r="A223" s="204" t="s">
        <v>381</v>
      </c>
      <c r="B223" s="441" t="s">
        <v>695</v>
      </c>
      <c r="C223" s="442"/>
      <c r="D223" s="443"/>
      <c r="E223" s="201" t="s">
        <v>297</v>
      </c>
      <c r="F223" s="201" t="s">
        <v>297</v>
      </c>
      <c r="G223" s="201" t="s">
        <v>310</v>
      </c>
      <c r="H223" s="201" t="s">
        <v>299</v>
      </c>
      <c r="I223" s="201" t="s">
        <v>300</v>
      </c>
      <c r="J223" s="201" t="s">
        <v>299</v>
      </c>
      <c r="K223" s="202">
        <v>321636532</v>
      </c>
      <c r="L223" s="202">
        <v>321636532</v>
      </c>
      <c r="M223" s="201" t="s">
        <v>301</v>
      </c>
      <c r="N223" s="201" t="s">
        <v>299</v>
      </c>
      <c r="O223" s="203"/>
      <c r="P223" s="201" t="s">
        <v>355</v>
      </c>
      <c r="Q223" s="201" t="s">
        <v>691</v>
      </c>
      <c r="R223" s="201" t="s">
        <v>304</v>
      </c>
      <c r="S223" s="201" t="s">
        <v>305</v>
      </c>
      <c r="T223" s="201" t="s">
        <v>301</v>
      </c>
      <c r="U223" s="205" t="s">
        <v>301</v>
      </c>
    </row>
    <row r="224" spans="1:21" x14ac:dyDescent="0.35">
      <c r="A224" s="204" t="s">
        <v>381</v>
      </c>
      <c r="B224" s="441" t="s">
        <v>695</v>
      </c>
      <c r="C224" s="442"/>
      <c r="D224" s="443"/>
      <c r="E224" s="201" t="s">
        <v>297</v>
      </c>
      <c r="F224" s="201" t="s">
        <v>297</v>
      </c>
      <c r="G224" s="201" t="s">
        <v>310</v>
      </c>
      <c r="H224" s="201" t="s">
        <v>299</v>
      </c>
      <c r="I224" s="201" t="s">
        <v>300</v>
      </c>
      <c r="J224" s="201" t="s">
        <v>299</v>
      </c>
      <c r="K224" s="202">
        <v>260696632</v>
      </c>
      <c r="L224" s="202">
        <v>260696632</v>
      </c>
      <c r="M224" s="201" t="s">
        <v>301</v>
      </c>
      <c r="N224" s="201" t="s">
        <v>299</v>
      </c>
      <c r="O224" s="203"/>
      <c r="P224" s="201" t="s">
        <v>355</v>
      </c>
      <c r="Q224" s="201" t="s">
        <v>691</v>
      </c>
      <c r="R224" s="201" t="s">
        <v>304</v>
      </c>
      <c r="S224" s="201" t="s">
        <v>305</v>
      </c>
      <c r="T224" s="201" t="s">
        <v>301</v>
      </c>
      <c r="U224" s="205" t="s">
        <v>301</v>
      </c>
    </row>
    <row r="225" spans="1:21" x14ac:dyDescent="0.35">
      <c r="A225" s="204" t="s">
        <v>696</v>
      </c>
      <c r="B225" s="441" t="s">
        <v>697</v>
      </c>
      <c r="C225" s="442"/>
      <c r="D225" s="443"/>
      <c r="E225" s="201" t="s">
        <v>460</v>
      </c>
      <c r="F225" s="201" t="s">
        <v>460</v>
      </c>
      <c r="G225" s="201" t="s">
        <v>310</v>
      </c>
      <c r="H225" s="201" t="s">
        <v>299</v>
      </c>
      <c r="I225" s="201" t="s">
        <v>300</v>
      </c>
      <c r="J225" s="201" t="s">
        <v>299</v>
      </c>
      <c r="K225" s="202">
        <v>485520000</v>
      </c>
      <c r="L225" s="202">
        <v>44472000</v>
      </c>
      <c r="M225" s="201" t="s">
        <v>301</v>
      </c>
      <c r="N225" s="201" t="s">
        <v>301</v>
      </c>
      <c r="O225" s="203"/>
      <c r="P225" s="201" t="s">
        <v>355</v>
      </c>
      <c r="Q225" s="201" t="s">
        <v>698</v>
      </c>
      <c r="R225" s="201" t="s">
        <v>304</v>
      </c>
      <c r="S225" s="201" t="s">
        <v>305</v>
      </c>
      <c r="T225" s="201" t="s">
        <v>301</v>
      </c>
      <c r="U225" s="205" t="s">
        <v>301</v>
      </c>
    </row>
    <row r="226" spans="1:21" x14ac:dyDescent="0.35">
      <c r="A226" s="204" t="s">
        <v>699</v>
      </c>
      <c r="B226" s="441" t="s">
        <v>700</v>
      </c>
      <c r="C226" s="442"/>
      <c r="D226" s="443"/>
      <c r="E226" s="201" t="s">
        <v>617</v>
      </c>
      <c r="F226" s="201" t="s">
        <v>617</v>
      </c>
      <c r="G226" s="201" t="s">
        <v>310</v>
      </c>
      <c r="H226" s="201" t="s">
        <v>299</v>
      </c>
      <c r="I226" s="201" t="s">
        <v>300</v>
      </c>
      <c r="J226" s="201" t="s">
        <v>299</v>
      </c>
      <c r="K226" s="202">
        <v>48287443</v>
      </c>
      <c r="L226" s="202">
        <v>48287443</v>
      </c>
      <c r="M226" s="201" t="s">
        <v>301</v>
      </c>
      <c r="N226" s="201" t="s">
        <v>299</v>
      </c>
      <c r="O226" s="203"/>
      <c r="P226" s="201" t="s">
        <v>355</v>
      </c>
      <c r="Q226" s="201" t="s">
        <v>701</v>
      </c>
      <c r="R226" s="201" t="s">
        <v>304</v>
      </c>
      <c r="S226" s="201" t="s">
        <v>305</v>
      </c>
      <c r="T226" s="201" t="s">
        <v>301</v>
      </c>
      <c r="U226" s="205" t="s">
        <v>301</v>
      </c>
    </row>
    <row r="227" spans="1:21" x14ac:dyDescent="0.35">
      <c r="A227" s="204" t="s">
        <v>702</v>
      </c>
      <c r="B227" s="441" t="s">
        <v>703</v>
      </c>
      <c r="C227" s="442"/>
      <c r="D227" s="443"/>
      <c r="E227" s="201" t="s">
        <v>301</v>
      </c>
      <c r="F227" s="201" t="s">
        <v>301</v>
      </c>
      <c r="G227" s="201" t="s">
        <v>461</v>
      </c>
      <c r="H227" s="201" t="s">
        <v>299</v>
      </c>
      <c r="I227" s="201" t="s">
        <v>300</v>
      </c>
      <c r="J227" s="201" t="s">
        <v>299</v>
      </c>
      <c r="K227" s="202">
        <v>165285115</v>
      </c>
      <c r="L227" s="202">
        <v>145284228</v>
      </c>
      <c r="M227" s="201" t="s">
        <v>301</v>
      </c>
      <c r="N227" s="201" t="s">
        <v>301</v>
      </c>
      <c r="O227" s="203"/>
      <c r="P227" s="201" t="s">
        <v>355</v>
      </c>
      <c r="Q227" s="201" t="s">
        <v>704</v>
      </c>
      <c r="R227" s="201" t="s">
        <v>304</v>
      </c>
      <c r="S227" s="201" t="s">
        <v>305</v>
      </c>
      <c r="T227" s="201" t="s">
        <v>301</v>
      </c>
      <c r="U227" s="205" t="s">
        <v>301</v>
      </c>
    </row>
    <row r="228" spans="1:21" x14ac:dyDescent="0.35">
      <c r="A228" s="204" t="s">
        <v>458</v>
      </c>
      <c r="B228" s="441" t="s">
        <v>705</v>
      </c>
      <c r="C228" s="442"/>
      <c r="D228" s="443"/>
      <c r="E228" s="201" t="s">
        <v>301</v>
      </c>
      <c r="F228" s="201" t="s">
        <v>301</v>
      </c>
      <c r="G228" s="201" t="s">
        <v>468</v>
      </c>
      <c r="H228" s="201" t="s">
        <v>299</v>
      </c>
      <c r="I228" s="201" t="s">
        <v>300</v>
      </c>
      <c r="J228" s="201" t="s">
        <v>299</v>
      </c>
      <c r="K228" s="202">
        <v>23829388</v>
      </c>
      <c r="L228" s="202">
        <v>2374928</v>
      </c>
      <c r="M228" s="201" t="s">
        <v>301</v>
      </c>
      <c r="N228" s="201" t="s">
        <v>301</v>
      </c>
      <c r="O228" s="203"/>
      <c r="P228" s="201" t="s">
        <v>355</v>
      </c>
      <c r="Q228" s="201" t="s">
        <v>704</v>
      </c>
      <c r="R228" s="201" t="s">
        <v>304</v>
      </c>
      <c r="S228" s="201" t="s">
        <v>305</v>
      </c>
      <c r="T228" s="201" t="s">
        <v>301</v>
      </c>
      <c r="U228" s="205" t="s">
        <v>301</v>
      </c>
    </row>
    <row r="229" spans="1:21" x14ac:dyDescent="0.35">
      <c r="A229" s="204" t="s">
        <v>706</v>
      </c>
      <c r="B229" s="441" t="s">
        <v>707</v>
      </c>
      <c r="C229" s="442"/>
      <c r="D229" s="443"/>
      <c r="E229" s="201" t="s">
        <v>460</v>
      </c>
      <c r="F229" s="201" t="s">
        <v>460</v>
      </c>
      <c r="G229" s="201" t="s">
        <v>708</v>
      </c>
      <c r="H229" s="201" t="s">
        <v>299</v>
      </c>
      <c r="I229" s="201" t="s">
        <v>300</v>
      </c>
      <c r="J229" s="201" t="s">
        <v>299</v>
      </c>
      <c r="K229" s="202">
        <v>168656468</v>
      </c>
      <c r="L229" s="202">
        <v>121413760</v>
      </c>
      <c r="M229" s="201" t="s">
        <v>301</v>
      </c>
      <c r="N229" s="201" t="s">
        <v>301</v>
      </c>
      <c r="O229" s="203"/>
      <c r="P229" s="201" t="s">
        <v>355</v>
      </c>
      <c r="Q229" s="201" t="s">
        <v>709</v>
      </c>
      <c r="R229" s="201" t="s">
        <v>304</v>
      </c>
      <c r="S229" s="201" t="s">
        <v>305</v>
      </c>
      <c r="T229" s="201" t="s">
        <v>301</v>
      </c>
      <c r="U229" s="205" t="s">
        <v>301</v>
      </c>
    </row>
    <row r="230" spans="1:21" x14ac:dyDescent="0.35">
      <c r="A230" s="204" t="s">
        <v>706</v>
      </c>
      <c r="B230" s="441" t="s">
        <v>710</v>
      </c>
      <c r="C230" s="442"/>
      <c r="D230" s="443"/>
      <c r="E230" s="201" t="s">
        <v>313</v>
      </c>
      <c r="F230" s="201" t="s">
        <v>313</v>
      </c>
      <c r="G230" s="201" t="s">
        <v>461</v>
      </c>
      <c r="H230" s="201" t="s">
        <v>299</v>
      </c>
      <c r="I230" s="201" t="s">
        <v>300</v>
      </c>
      <c r="J230" s="201" t="s">
        <v>299</v>
      </c>
      <c r="K230" s="202">
        <v>1412766371</v>
      </c>
      <c r="L230" s="202">
        <v>314496477</v>
      </c>
      <c r="M230" s="201" t="s">
        <v>301</v>
      </c>
      <c r="N230" s="201" t="s">
        <v>301</v>
      </c>
      <c r="O230" s="203"/>
      <c r="P230" s="201" t="s">
        <v>355</v>
      </c>
      <c r="Q230" s="201" t="s">
        <v>709</v>
      </c>
      <c r="R230" s="201" t="s">
        <v>304</v>
      </c>
      <c r="S230" s="201" t="s">
        <v>305</v>
      </c>
      <c r="T230" s="201" t="s">
        <v>301</v>
      </c>
      <c r="U230" s="205" t="s">
        <v>301</v>
      </c>
    </row>
    <row r="231" spans="1:21" x14ac:dyDescent="0.35">
      <c r="A231" s="204" t="s">
        <v>706</v>
      </c>
      <c r="B231" s="441" t="s">
        <v>711</v>
      </c>
      <c r="C231" s="442"/>
      <c r="D231" s="443"/>
      <c r="E231" s="201" t="s">
        <v>437</v>
      </c>
      <c r="F231" s="201" t="s">
        <v>437</v>
      </c>
      <c r="G231" s="201" t="s">
        <v>461</v>
      </c>
      <c r="H231" s="201" t="s">
        <v>299</v>
      </c>
      <c r="I231" s="201" t="s">
        <v>300</v>
      </c>
      <c r="J231" s="201" t="s">
        <v>299</v>
      </c>
      <c r="K231" s="202">
        <v>41888362041</v>
      </c>
      <c r="L231" s="202">
        <v>6688057804</v>
      </c>
      <c r="M231" s="201" t="s">
        <v>301</v>
      </c>
      <c r="N231" s="201" t="s">
        <v>301</v>
      </c>
      <c r="O231" s="203"/>
      <c r="P231" s="201" t="s">
        <v>355</v>
      </c>
      <c r="Q231" s="201" t="s">
        <v>709</v>
      </c>
      <c r="R231" s="201" t="s">
        <v>304</v>
      </c>
      <c r="S231" s="201" t="s">
        <v>305</v>
      </c>
      <c r="T231" s="201" t="s">
        <v>301</v>
      </c>
      <c r="U231" s="205" t="s">
        <v>301</v>
      </c>
    </row>
    <row r="232" spans="1:21" x14ac:dyDescent="0.35">
      <c r="A232" s="204" t="s">
        <v>712</v>
      </c>
      <c r="B232" s="441" t="s">
        <v>713</v>
      </c>
      <c r="C232" s="442"/>
      <c r="D232" s="443"/>
      <c r="E232" s="201" t="s">
        <v>617</v>
      </c>
      <c r="F232" s="201" t="s">
        <v>617</v>
      </c>
      <c r="G232" s="201" t="s">
        <v>310</v>
      </c>
      <c r="H232" s="201" t="s">
        <v>299</v>
      </c>
      <c r="I232" s="201" t="s">
        <v>300</v>
      </c>
      <c r="J232" s="201" t="s">
        <v>299</v>
      </c>
      <c r="K232" s="202">
        <v>29750000</v>
      </c>
      <c r="L232" s="202">
        <v>29750000</v>
      </c>
      <c r="M232" s="201" t="s">
        <v>301</v>
      </c>
      <c r="N232" s="201" t="s">
        <v>299</v>
      </c>
      <c r="O232" s="203"/>
      <c r="P232" s="201" t="s">
        <v>355</v>
      </c>
      <c r="Q232" s="201" t="s">
        <v>714</v>
      </c>
      <c r="R232" s="201" t="s">
        <v>304</v>
      </c>
      <c r="S232" s="201" t="s">
        <v>305</v>
      </c>
      <c r="T232" s="201" t="s">
        <v>301</v>
      </c>
      <c r="U232" s="205" t="s">
        <v>301</v>
      </c>
    </row>
    <row r="233" spans="1:21" x14ac:dyDescent="0.35">
      <c r="A233" s="204" t="s">
        <v>715</v>
      </c>
      <c r="B233" s="441" t="s">
        <v>716</v>
      </c>
      <c r="C233" s="442"/>
      <c r="D233" s="443"/>
      <c r="E233" s="201" t="s">
        <v>617</v>
      </c>
      <c r="F233" s="201" t="s">
        <v>617</v>
      </c>
      <c r="G233" s="201" t="s">
        <v>310</v>
      </c>
      <c r="H233" s="201" t="s">
        <v>299</v>
      </c>
      <c r="I233" s="201" t="s">
        <v>300</v>
      </c>
      <c r="J233" s="201" t="s">
        <v>299</v>
      </c>
      <c r="K233" s="202">
        <v>29750000</v>
      </c>
      <c r="L233" s="202">
        <v>29750000</v>
      </c>
      <c r="M233" s="201" t="s">
        <v>301</v>
      </c>
      <c r="N233" s="201" t="s">
        <v>299</v>
      </c>
      <c r="O233" s="203"/>
      <c r="P233" s="201" t="s">
        <v>355</v>
      </c>
      <c r="Q233" s="201" t="s">
        <v>714</v>
      </c>
      <c r="R233" s="201" t="s">
        <v>304</v>
      </c>
      <c r="S233" s="201" t="s">
        <v>305</v>
      </c>
      <c r="T233" s="201" t="s">
        <v>301</v>
      </c>
      <c r="U233" s="205" t="s">
        <v>301</v>
      </c>
    </row>
    <row r="234" spans="1:21" x14ac:dyDescent="0.35">
      <c r="A234" s="204" t="s">
        <v>717</v>
      </c>
      <c r="B234" s="441" t="s">
        <v>718</v>
      </c>
      <c r="C234" s="442"/>
      <c r="D234" s="443"/>
      <c r="E234" s="201" t="s">
        <v>437</v>
      </c>
      <c r="F234" s="201" t="s">
        <v>437</v>
      </c>
      <c r="G234" s="201" t="s">
        <v>328</v>
      </c>
      <c r="H234" s="201" t="s">
        <v>299</v>
      </c>
      <c r="I234" s="201" t="s">
        <v>300</v>
      </c>
      <c r="J234" s="201" t="s">
        <v>299</v>
      </c>
      <c r="K234" s="202">
        <v>37281956</v>
      </c>
      <c r="L234" s="202">
        <v>37281956</v>
      </c>
      <c r="M234" s="201" t="s">
        <v>301</v>
      </c>
      <c r="N234" s="201" t="s">
        <v>299</v>
      </c>
      <c r="O234" s="203"/>
      <c r="P234" s="201" t="s">
        <v>355</v>
      </c>
      <c r="Q234" s="201" t="s">
        <v>719</v>
      </c>
      <c r="R234" s="201" t="s">
        <v>304</v>
      </c>
      <c r="S234" s="201" t="s">
        <v>305</v>
      </c>
      <c r="T234" s="201" t="s">
        <v>301</v>
      </c>
      <c r="U234" s="205" t="s">
        <v>301</v>
      </c>
    </row>
    <row r="235" spans="1:21" x14ac:dyDescent="0.35">
      <c r="A235" s="204" t="s">
        <v>720</v>
      </c>
      <c r="B235" s="441" t="s">
        <v>721</v>
      </c>
      <c r="C235" s="442"/>
      <c r="D235" s="443"/>
      <c r="E235" s="201" t="s">
        <v>437</v>
      </c>
      <c r="F235" s="201" t="s">
        <v>437</v>
      </c>
      <c r="G235" s="201" t="s">
        <v>310</v>
      </c>
      <c r="H235" s="201" t="s">
        <v>299</v>
      </c>
      <c r="I235" s="201" t="s">
        <v>300</v>
      </c>
      <c r="J235" s="201" t="s">
        <v>299</v>
      </c>
      <c r="K235" s="202">
        <v>129559237</v>
      </c>
      <c r="L235" s="202">
        <v>129559237</v>
      </c>
      <c r="M235" s="201" t="s">
        <v>301</v>
      </c>
      <c r="N235" s="201" t="s">
        <v>299</v>
      </c>
      <c r="O235" s="203"/>
      <c r="P235" s="201" t="s">
        <v>355</v>
      </c>
      <c r="Q235" s="201" t="s">
        <v>719</v>
      </c>
      <c r="R235" s="201" t="s">
        <v>304</v>
      </c>
      <c r="S235" s="201" t="s">
        <v>305</v>
      </c>
      <c r="T235" s="201" t="s">
        <v>301</v>
      </c>
      <c r="U235" s="205" t="s">
        <v>301</v>
      </c>
    </row>
    <row r="236" spans="1:21" x14ac:dyDescent="0.35">
      <c r="A236" s="204" t="s">
        <v>702</v>
      </c>
      <c r="B236" s="441" t="s">
        <v>722</v>
      </c>
      <c r="C236" s="442"/>
      <c r="D236" s="443"/>
      <c r="E236" s="201" t="s">
        <v>338</v>
      </c>
      <c r="F236" s="201" t="s">
        <v>338</v>
      </c>
      <c r="G236" s="201" t="s">
        <v>310</v>
      </c>
      <c r="H236" s="201" t="s">
        <v>299</v>
      </c>
      <c r="I236" s="201" t="s">
        <v>300</v>
      </c>
      <c r="J236" s="201" t="s">
        <v>299</v>
      </c>
      <c r="K236" s="202">
        <v>9007329275</v>
      </c>
      <c r="L236" s="202">
        <v>7714417203</v>
      </c>
      <c r="M236" s="201" t="s">
        <v>301</v>
      </c>
      <c r="N236" s="201" t="s">
        <v>301</v>
      </c>
      <c r="O236" s="203"/>
      <c r="P236" s="201" t="s">
        <v>355</v>
      </c>
      <c r="Q236" s="201" t="s">
        <v>698</v>
      </c>
      <c r="R236" s="201" t="s">
        <v>304</v>
      </c>
      <c r="S236" s="201" t="s">
        <v>305</v>
      </c>
      <c r="T236" s="201" t="s">
        <v>301</v>
      </c>
      <c r="U236" s="205" t="s">
        <v>301</v>
      </c>
    </row>
    <row r="237" spans="1:21" x14ac:dyDescent="0.35">
      <c r="A237" s="204" t="s">
        <v>702</v>
      </c>
      <c r="B237" s="441" t="s">
        <v>723</v>
      </c>
      <c r="C237" s="442"/>
      <c r="D237" s="443"/>
      <c r="E237" s="201" t="s">
        <v>488</v>
      </c>
      <c r="F237" s="201" t="s">
        <v>488</v>
      </c>
      <c r="G237" s="201" t="s">
        <v>310</v>
      </c>
      <c r="H237" s="201" t="s">
        <v>299</v>
      </c>
      <c r="I237" s="201" t="s">
        <v>300</v>
      </c>
      <c r="J237" s="201" t="s">
        <v>299</v>
      </c>
      <c r="K237" s="202">
        <v>248074567</v>
      </c>
      <c r="L237" s="202">
        <v>155068842</v>
      </c>
      <c r="M237" s="201" t="s">
        <v>301</v>
      </c>
      <c r="N237" s="201" t="s">
        <v>301</v>
      </c>
      <c r="O237" s="203"/>
      <c r="P237" s="201" t="s">
        <v>355</v>
      </c>
      <c r="Q237" s="201" t="s">
        <v>698</v>
      </c>
      <c r="R237" s="201" t="s">
        <v>304</v>
      </c>
      <c r="S237" s="201" t="s">
        <v>305</v>
      </c>
      <c r="T237" s="201" t="s">
        <v>301</v>
      </c>
      <c r="U237" s="205" t="s">
        <v>301</v>
      </c>
    </row>
    <row r="238" spans="1:21" x14ac:dyDescent="0.35">
      <c r="A238" s="204" t="s">
        <v>724</v>
      </c>
      <c r="B238" s="441" t="s">
        <v>725</v>
      </c>
      <c r="C238" s="442"/>
      <c r="D238" s="443"/>
      <c r="E238" s="201" t="s">
        <v>297</v>
      </c>
      <c r="F238" s="201" t="s">
        <v>297</v>
      </c>
      <c r="G238" s="201" t="s">
        <v>310</v>
      </c>
      <c r="H238" s="201" t="s">
        <v>299</v>
      </c>
      <c r="I238" s="201" t="s">
        <v>300</v>
      </c>
      <c r="J238" s="201" t="s">
        <v>299</v>
      </c>
      <c r="K238" s="202">
        <v>4170950</v>
      </c>
      <c r="L238" s="202">
        <v>4170950</v>
      </c>
      <c r="M238" s="201" t="s">
        <v>301</v>
      </c>
      <c r="N238" s="201" t="s">
        <v>299</v>
      </c>
      <c r="O238" s="203"/>
      <c r="P238" s="201" t="s">
        <v>355</v>
      </c>
      <c r="Q238" s="201" t="s">
        <v>726</v>
      </c>
      <c r="R238" s="201" t="s">
        <v>304</v>
      </c>
      <c r="S238" s="201" t="s">
        <v>305</v>
      </c>
      <c r="T238" s="201" t="s">
        <v>301</v>
      </c>
      <c r="U238" s="205" t="s">
        <v>301</v>
      </c>
    </row>
    <row r="239" spans="1:21" x14ac:dyDescent="0.35">
      <c r="A239" s="204" t="s">
        <v>727</v>
      </c>
      <c r="B239" s="441" t="s">
        <v>728</v>
      </c>
      <c r="C239" s="442"/>
      <c r="D239" s="443"/>
      <c r="E239" s="201" t="s">
        <v>297</v>
      </c>
      <c r="F239" s="201" t="s">
        <v>297</v>
      </c>
      <c r="G239" s="201" t="s">
        <v>549</v>
      </c>
      <c r="H239" s="201" t="s">
        <v>299</v>
      </c>
      <c r="I239" s="201" t="s">
        <v>300</v>
      </c>
      <c r="J239" s="201" t="s">
        <v>299</v>
      </c>
      <c r="K239" s="202">
        <v>47874890</v>
      </c>
      <c r="L239" s="202">
        <v>47874890</v>
      </c>
      <c r="M239" s="201" t="s">
        <v>301</v>
      </c>
      <c r="N239" s="201" t="s">
        <v>299</v>
      </c>
      <c r="O239" s="203"/>
      <c r="P239" s="201" t="s">
        <v>355</v>
      </c>
      <c r="Q239" s="201" t="s">
        <v>729</v>
      </c>
      <c r="R239" s="201" t="s">
        <v>304</v>
      </c>
      <c r="S239" s="201" t="s">
        <v>305</v>
      </c>
      <c r="T239" s="201" t="s">
        <v>301</v>
      </c>
      <c r="U239" s="205" t="s">
        <v>301</v>
      </c>
    </row>
    <row r="240" spans="1:21" x14ac:dyDescent="0.35">
      <c r="A240" s="204" t="s">
        <v>730</v>
      </c>
      <c r="B240" s="441" t="s">
        <v>731</v>
      </c>
      <c r="C240" s="442"/>
      <c r="D240" s="443"/>
      <c r="E240" s="201" t="s">
        <v>297</v>
      </c>
      <c r="F240" s="201" t="s">
        <v>297</v>
      </c>
      <c r="G240" s="201" t="s">
        <v>549</v>
      </c>
      <c r="H240" s="201" t="s">
        <v>299</v>
      </c>
      <c r="I240" s="201" t="s">
        <v>300</v>
      </c>
      <c r="J240" s="201" t="s">
        <v>299</v>
      </c>
      <c r="K240" s="202">
        <v>85680000</v>
      </c>
      <c r="L240" s="202">
        <v>85680000</v>
      </c>
      <c r="M240" s="201" t="s">
        <v>301</v>
      </c>
      <c r="N240" s="201" t="s">
        <v>301</v>
      </c>
      <c r="O240" s="203"/>
      <c r="P240" s="201" t="s">
        <v>355</v>
      </c>
      <c r="Q240" s="201" t="s">
        <v>732</v>
      </c>
      <c r="R240" s="201" t="s">
        <v>304</v>
      </c>
      <c r="S240" s="201" t="s">
        <v>305</v>
      </c>
      <c r="T240" s="201" t="s">
        <v>301</v>
      </c>
      <c r="U240" s="205" t="s">
        <v>301</v>
      </c>
    </row>
    <row r="241" spans="1:21" x14ac:dyDescent="0.35">
      <c r="A241" s="204" t="s">
        <v>733</v>
      </c>
      <c r="B241" s="441" t="s">
        <v>734</v>
      </c>
      <c r="C241" s="442"/>
      <c r="D241" s="443"/>
      <c r="E241" s="201" t="s">
        <v>297</v>
      </c>
      <c r="F241" s="201" t="s">
        <v>297</v>
      </c>
      <c r="G241" s="201" t="s">
        <v>310</v>
      </c>
      <c r="H241" s="201" t="s">
        <v>299</v>
      </c>
      <c r="I241" s="201" t="s">
        <v>300</v>
      </c>
      <c r="J241" s="201" t="s">
        <v>299</v>
      </c>
      <c r="K241" s="202">
        <v>266463433</v>
      </c>
      <c r="L241" s="202">
        <v>248335391</v>
      </c>
      <c r="M241" s="201" t="s">
        <v>301</v>
      </c>
      <c r="N241" s="201" t="s">
        <v>301</v>
      </c>
      <c r="O241" s="203"/>
      <c r="P241" s="201" t="s">
        <v>355</v>
      </c>
      <c r="Q241" s="201" t="s">
        <v>735</v>
      </c>
      <c r="R241" s="201" t="s">
        <v>304</v>
      </c>
      <c r="S241" s="201" t="s">
        <v>305</v>
      </c>
      <c r="T241" s="201" t="s">
        <v>301</v>
      </c>
      <c r="U241" s="205" t="s">
        <v>301</v>
      </c>
    </row>
    <row r="242" spans="1:21" x14ac:dyDescent="0.35">
      <c r="A242" s="204" t="s">
        <v>736</v>
      </c>
      <c r="B242" s="441" t="s">
        <v>737</v>
      </c>
      <c r="C242" s="442"/>
      <c r="D242" s="443"/>
      <c r="E242" s="201" t="s">
        <v>301</v>
      </c>
      <c r="F242" s="201" t="s">
        <v>301</v>
      </c>
      <c r="G242" s="201" t="s">
        <v>310</v>
      </c>
      <c r="H242" s="201" t="s">
        <v>299</v>
      </c>
      <c r="I242" s="201" t="s">
        <v>300</v>
      </c>
      <c r="J242" s="201" t="s">
        <v>299</v>
      </c>
      <c r="K242" s="202">
        <v>39984000</v>
      </c>
      <c r="L242" s="202">
        <v>39984000</v>
      </c>
      <c r="M242" s="201" t="s">
        <v>301</v>
      </c>
      <c r="N242" s="201" t="s">
        <v>299</v>
      </c>
      <c r="O242" s="203"/>
      <c r="P242" s="201" t="s">
        <v>355</v>
      </c>
      <c r="Q242" s="201" t="s">
        <v>735</v>
      </c>
      <c r="R242" s="201" t="s">
        <v>304</v>
      </c>
      <c r="S242" s="201" t="s">
        <v>305</v>
      </c>
      <c r="T242" s="201" t="s">
        <v>301</v>
      </c>
      <c r="U242" s="205" t="s">
        <v>301</v>
      </c>
    </row>
    <row r="243" spans="1:21" x14ac:dyDescent="0.35">
      <c r="A243" s="204" t="s">
        <v>738</v>
      </c>
      <c r="B243" s="441" t="s">
        <v>739</v>
      </c>
      <c r="C243" s="442"/>
      <c r="D243" s="443"/>
      <c r="E243" s="201" t="s">
        <v>432</v>
      </c>
      <c r="F243" s="201" t="s">
        <v>432</v>
      </c>
      <c r="G243" s="201" t="s">
        <v>606</v>
      </c>
      <c r="H243" s="201" t="s">
        <v>299</v>
      </c>
      <c r="I243" s="201" t="s">
        <v>300</v>
      </c>
      <c r="J243" s="201" t="s">
        <v>299</v>
      </c>
      <c r="K243" s="202">
        <v>74196233</v>
      </c>
      <c r="L243" s="202">
        <v>74196233</v>
      </c>
      <c r="M243" s="201" t="s">
        <v>301</v>
      </c>
      <c r="N243" s="201" t="s">
        <v>299</v>
      </c>
      <c r="O243" s="203"/>
      <c r="P243" s="201" t="s">
        <v>355</v>
      </c>
      <c r="Q243" s="201" t="s">
        <v>735</v>
      </c>
      <c r="R243" s="201" t="s">
        <v>304</v>
      </c>
      <c r="S243" s="201" t="s">
        <v>305</v>
      </c>
      <c r="T243" s="201" t="s">
        <v>301</v>
      </c>
      <c r="U243" s="205" t="s">
        <v>301</v>
      </c>
    </row>
    <row r="244" spans="1:21" x14ac:dyDescent="0.35">
      <c r="A244" s="204" t="s">
        <v>740</v>
      </c>
      <c r="B244" s="441" t="s">
        <v>741</v>
      </c>
      <c r="C244" s="442"/>
      <c r="D244" s="443"/>
      <c r="E244" s="201" t="s">
        <v>432</v>
      </c>
      <c r="F244" s="201" t="s">
        <v>432</v>
      </c>
      <c r="G244" s="201" t="s">
        <v>606</v>
      </c>
      <c r="H244" s="201" t="s">
        <v>299</v>
      </c>
      <c r="I244" s="201" t="s">
        <v>300</v>
      </c>
      <c r="J244" s="201" t="s">
        <v>299</v>
      </c>
      <c r="K244" s="202">
        <v>23800000</v>
      </c>
      <c r="L244" s="202">
        <v>23800000</v>
      </c>
      <c r="M244" s="201" t="s">
        <v>301</v>
      </c>
      <c r="N244" s="201" t="s">
        <v>299</v>
      </c>
      <c r="O244" s="203"/>
      <c r="P244" s="201" t="s">
        <v>355</v>
      </c>
      <c r="Q244" s="201" t="s">
        <v>735</v>
      </c>
      <c r="R244" s="201" t="s">
        <v>304</v>
      </c>
      <c r="S244" s="201" t="s">
        <v>305</v>
      </c>
      <c r="T244" s="201" t="s">
        <v>301</v>
      </c>
      <c r="U244" s="205" t="s">
        <v>301</v>
      </c>
    </row>
    <row r="245" spans="1:21" x14ac:dyDescent="0.35">
      <c r="A245" s="204" t="s">
        <v>738</v>
      </c>
      <c r="B245" s="441" t="s">
        <v>742</v>
      </c>
      <c r="C245" s="442"/>
      <c r="D245" s="443"/>
      <c r="E245" s="201" t="s">
        <v>297</v>
      </c>
      <c r="F245" s="201" t="s">
        <v>297</v>
      </c>
      <c r="G245" s="201" t="s">
        <v>310</v>
      </c>
      <c r="H245" s="201" t="s">
        <v>299</v>
      </c>
      <c r="I245" s="201" t="s">
        <v>300</v>
      </c>
      <c r="J245" s="201" t="s">
        <v>299</v>
      </c>
      <c r="K245" s="202">
        <v>59500000</v>
      </c>
      <c r="L245" s="202">
        <v>59500000</v>
      </c>
      <c r="M245" s="201" t="s">
        <v>301</v>
      </c>
      <c r="N245" s="201" t="s">
        <v>299</v>
      </c>
      <c r="O245" s="203"/>
      <c r="P245" s="201" t="s">
        <v>355</v>
      </c>
      <c r="Q245" s="201" t="s">
        <v>726</v>
      </c>
      <c r="R245" s="201" t="s">
        <v>304</v>
      </c>
      <c r="S245" s="201" t="s">
        <v>305</v>
      </c>
      <c r="T245" s="201" t="s">
        <v>301</v>
      </c>
      <c r="U245" s="205" t="s">
        <v>301</v>
      </c>
    </row>
    <row r="246" spans="1:21" x14ac:dyDescent="0.35">
      <c r="A246" s="204" t="s">
        <v>738</v>
      </c>
      <c r="B246" s="441" t="s">
        <v>743</v>
      </c>
      <c r="C246" s="442"/>
      <c r="D246" s="443"/>
      <c r="E246" s="201" t="s">
        <v>297</v>
      </c>
      <c r="F246" s="201" t="s">
        <v>297</v>
      </c>
      <c r="G246" s="201" t="s">
        <v>310</v>
      </c>
      <c r="H246" s="201" t="s">
        <v>299</v>
      </c>
      <c r="I246" s="201" t="s">
        <v>300</v>
      </c>
      <c r="J246" s="201" t="s">
        <v>299</v>
      </c>
      <c r="K246" s="202">
        <v>59500000</v>
      </c>
      <c r="L246" s="202">
        <v>59500000</v>
      </c>
      <c r="M246" s="201" t="s">
        <v>301</v>
      </c>
      <c r="N246" s="201" t="s">
        <v>299</v>
      </c>
      <c r="O246" s="203"/>
      <c r="P246" s="201" t="s">
        <v>355</v>
      </c>
      <c r="Q246" s="201" t="s">
        <v>726</v>
      </c>
      <c r="R246" s="201" t="s">
        <v>304</v>
      </c>
      <c r="S246" s="201" t="s">
        <v>305</v>
      </c>
      <c r="T246" s="201" t="s">
        <v>301</v>
      </c>
      <c r="U246" s="205" t="s">
        <v>301</v>
      </c>
    </row>
    <row r="247" spans="1:21" x14ac:dyDescent="0.35">
      <c r="A247" s="204" t="s">
        <v>738</v>
      </c>
      <c r="B247" s="441" t="s">
        <v>744</v>
      </c>
      <c r="C247" s="442"/>
      <c r="D247" s="443"/>
      <c r="E247" s="201" t="s">
        <v>297</v>
      </c>
      <c r="F247" s="201" t="s">
        <v>297</v>
      </c>
      <c r="G247" s="201" t="s">
        <v>549</v>
      </c>
      <c r="H247" s="201" t="s">
        <v>299</v>
      </c>
      <c r="I247" s="201" t="s">
        <v>300</v>
      </c>
      <c r="J247" s="201" t="s">
        <v>299</v>
      </c>
      <c r="K247" s="202">
        <v>595000000</v>
      </c>
      <c r="L247" s="202">
        <v>595000000</v>
      </c>
      <c r="M247" s="201" t="s">
        <v>301</v>
      </c>
      <c r="N247" s="201" t="s">
        <v>299</v>
      </c>
      <c r="O247" s="203"/>
      <c r="P247" s="201" t="s">
        <v>355</v>
      </c>
      <c r="Q247" s="201" t="s">
        <v>726</v>
      </c>
      <c r="R247" s="201" t="s">
        <v>304</v>
      </c>
      <c r="S247" s="201" t="s">
        <v>305</v>
      </c>
      <c r="T247" s="201" t="s">
        <v>301</v>
      </c>
      <c r="U247" s="205" t="s">
        <v>301</v>
      </c>
    </row>
    <row r="248" spans="1:21" x14ac:dyDescent="0.35">
      <c r="A248" s="204" t="s">
        <v>738</v>
      </c>
      <c r="B248" s="441" t="s">
        <v>744</v>
      </c>
      <c r="C248" s="442"/>
      <c r="D248" s="443"/>
      <c r="E248" s="201" t="s">
        <v>319</v>
      </c>
      <c r="F248" s="201" t="s">
        <v>319</v>
      </c>
      <c r="G248" s="201" t="s">
        <v>310</v>
      </c>
      <c r="H248" s="201" t="s">
        <v>299</v>
      </c>
      <c r="I248" s="201" t="s">
        <v>300</v>
      </c>
      <c r="J248" s="201" t="s">
        <v>299</v>
      </c>
      <c r="K248" s="202">
        <v>119000000</v>
      </c>
      <c r="L248" s="202">
        <v>119000000</v>
      </c>
      <c r="M248" s="201" t="s">
        <v>301</v>
      </c>
      <c r="N248" s="201" t="s">
        <v>299</v>
      </c>
      <c r="O248" s="203"/>
      <c r="P248" s="201" t="s">
        <v>355</v>
      </c>
      <c r="Q248" s="201" t="s">
        <v>726</v>
      </c>
      <c r="R248" s="201" t="s">
        <v>304</v>
      </c>
      <c r="S248" s="201" t="s">
        <v>305</v>
      </c>
      <c r="T248" s="201" t="s">
        <v>301</v>
      </c>
      <c r="U248" s="205" t="s">
        <v>301</v>
      </c>
    </row>
    <row r="249" spans="1:21" x14ac:dyDescent="0.35">
      <c r="A249" s="204" t="s">
        <v>738</v>
      </c>
      <c r="B249" s="441" t="s">
        <v>744</v>
      </c>
      <c r="C249" s="442"/>
      <c r="D249" s="443"/>
      <c r="E249" s="201" t="s">
        <v>488</v>
      </c>
      <c r="F249" s="201" t="s">
        <v>488</v>
      </c>
      <c r="G249" s="201" t="s">
        <v>310</v>
      </c>
      <c r="H249" s="201" t="s">
        <v>299</v>
      </c>
      <c r="I249" s="201" t="s">
        <v>300</v>
      </c>
      <c r="J249" s="201" t="s">
        <v>299</v>
      </c>
      <c r="K249" s="202">
        <v>178500000</v>
      </c>
      <c r="L249" s="202">
        <v>178500000</v>
      </c>
      <c r="M249" s="201" t="s">
        <v>301</v>
      </c>
      <c r="N249" s="201" t="s">
        <v>299</v>
      </c>
      <c r="O249" s="203"/>
      <c r="P249" s="201" t="s">
        <v>355</v>
      </c>
      <c r="Q249" s="201" t="s">
        <v>726</v>
      </c>
      <c r="R249" s="201" t="s">
        <v>304</v>
      </c>
      <c r="S249" s="201" t="s">
        <v>305</v>
      </c>
      <c r="T249" s="201" t="s">
        <v>301</v>
      </c>
      <c r="U249" s="205" t="s">
        <v>301</v>
      </c>
    </row>
    <row r="250" spans="1:21" x14ac:dyDescent="0.35">
      <c r="A250" s="204" t="s">
        <v>738</v>
      </c>
      <c r="B250" s="441" t="s">
        <v>745</v>
      </c>
      <c r="C250" s="442"/>
      <c r="D250" s="443"/>
      <c r="E250" s="201" t="s">
        <v>301</v>
      </c>
      <c r="F250" s="201" t="s">
        <v>301</v>
      </c>
      <c r="G250" s="201" t="s">
        <v>310</v>
      </c>
      <c r="H250" s="201" t="s">
        <v>299</v>
      </c>
      <c r="I250" s="201" t="s">
        <v>300</v>
      </c>
      <c r="J250" s="201" t="s">
        <v>299</v>
      </c>
      <c r="K250" s="202">
        <v>50000000</v>
      </c>
      <c r="L250" s="202">
        <v>50000000</v>
      </c>
      <c r="M250" s="201" t="s">
        <v>301</v>
      </c>
      <c r="N250" s="201" t="s">
        <v>299</v>
      </c>
      <c r="O250" s="203"/>
      <c r="P250" s="201" t="s">
        <v>355</v>
      </c>
      <c r="Q250" s="201" t="s">
        <v>746</v>
      </c>
      <c r="R250" s="201" t="s">
        <v>304</v>
      </c>
      <c r="S250" s="201" t="s">
        <v>305</v>
      </c>
      <c r="T250" s="201" t="s">
        <v>301</v>
      </c>
      <c r="U250" s="205" t="s">
        <v>301</v>
      </c>
    </row>
    <row r="251" spans="1:21" x14ac:dyDescent="0.35">
      <c r="A251" s="204" t="s">
        <v>747</v>
      </c>
      <c r="B251" s="441" t="s">
        <v>748</v>
      </c>
      <c r="C251" s="442"/>
      <c r="D251" s="443"/>
      <c r="E251" s="201" t="s">
        <v>297</v>
      </c>
      <c r="F251" s="201" t="s">
        <v>297</v>
      </c>
      <c r="G251" s="201" t="s">
        <v>708</v>
      </c>
      <c r="H251" s="201" t="s">
        <v>299</v>
      </c>
      <c r="I251" s="201" t="s">
        <v>300</v>
      </c>
      <c r="J251" s="201" t="s">
        <v>299</v>
      </c>
      <c r="K251" s="202">
        <v>53550000</v>
      </c>
      <c r="L251" s="202">
        <v>12000000</v>
      </c>
      <c r="M251" s="201" t="s">
        <v>301</v>
      </c>
      <c r="N251" s="201" t="s">
        <v>301</v>
      </c>
      <c r="O251" s="203"/>
      <c r="P251" s="201" t="s">
        <v>355</v>
      </c>
      <c r="Q251" s="201" t="s">
        <v>749</v>
      </c>
      <c r="R251" s="201" t="s">
        <v>304</v>
      </c>
      <c r="S251" s="201" t="s">
        <v>305</v>
      </c>
      <c r="T251" s="201" t="s">
        <v>301</v>
      </c>
      <c r="U251" s="205" t="s">
        <v>301</v>
      </c>
    </row>
    <row r="252" spans="1:21" x14ac:dyDescent="0.35">
      <c r="A252" s="204" t="s">
        <v>750</v>
      </c>
      <c r="B252" s="441" t="s">
        <v>751</v>
      </c>
      <c r="C252" s="442"/>
      <c r="D252" s="443"/>
      <c r="E252" s="201" t="s">
        <v>297</v>
      </c>
      <c r="F252" s="201" t="s">
        <v>297</v>
      </c>
      <c r="G252" s="201" t="s">
        <v>708</v>
      </c>
      <c r="H252" s="201" t="s">
        <v>299</v>
      </c>
      <c r="I252" s="201" t="s">
        <v>300</v>
      </c>
      <c r="J252" s="201" t="s">
        <v>299</v>
      </c>
      <c r="K252" s="202">
        <v>7896334089</v>
      </c>
      <c r="L252" s="202">
        <v>1908653053</v>
      </c>
      <c r="M252" s="201" t="s">
        <v>301</v>
      </c>
      <c r="N252" s="201" t="s">
        <v>301</v>
      </c>
      <c r="O252" s="203"/>
      <c r="P252" s="201" t="s">
        <v>355</v>
      </c>
      <c r="Q252" s="201" t="s">
        <v>752</v>
      </c>
      <c r="R252" s="201" t="s">
        <v>304</v>
      </c>
      <c r="S252" s="201" t="s">
        <v>305</v>
      </c>
      <c r="T252" s="201" t="s">
        <v>301</v>
      </c>
      <c r="U252" s="205" t="s">
        <v>301</v>
      </c>
    </row>
    <row r="253" spans="1:21" x14ac:dyDescent="0.35">
      <c r="A253" s="204" t="s">
        <v>753</v>
      </c>
      <c r="B253" s="441" t="s">
        <v>754</v>
      </c>
      <c r="C253" s="442"/>
      <c r="D253" s="443"/>
      <c r="E253" s="201" t="s">
        <v>297</v>
      </c>
      <c r="F253" s="201" t="s">
        <v>297</v>
      </c>
      <c r="G253" s="201" t="s">
        <v>708</v>
      </c>
      <c r="H253" s="201" t="s">
        <v>299</v>
      </c>
      <c r="I253" s="201" t="s">
        <v>300</v>
      </c>
      <c r="J253" s="201" t="s">
        <v>299</v>
      </c>
      <c r="K253" s="202">
        <v>1773389866</v>
      </c>
      <c r="L253" s="202">
        <v>486756786</v>
      </c>
      <c r="M253" s="201" t="s">
        <v>301</v>
      </c>
      <c r="N253" s="201" t="s">
        <v>301</v>
      </c>
      <c r="O253" s="203"/>
      <c r="P253" s="201" t="s">
        <v>355</v>
      </c>
      <c r="Q253" s="201" t="s">
        <v>752</v>
      </c>
      <c r="R253" s="201" t="s">
        <v>304</v>
      </c>
      <c r="S253" s="201" t="s">
        <v>305</v>
      </c>
      <c r="T253" s="201" t="s">
        <v>301</v>
      </c>
      <c r="U253" s="205" t="s">
        <v>301</v>
      </c>
    </row>
    <row r="254" spans="1:21" x14ac:dyDescent="0.35">
      <c r="A254" s="204" t="s">
        <v>755</v>
      </c>
      <c r="B254" s="441" t="s">
        <v>756</v>
      </c>
      <c r="C254" s="442"/>
      <c r="D254" s="443"/>
      <c r="E254" s="201" t="s">
        <v>297</v>
      </c>
      <c r="F254" s="201" t="s">
        <v>297</v>
      </c>
      <c r="G254" s="201" t="s">
        <v>708</v>
      </c>
      <c r="H254" s="201" t="s">
        <v>299</v>
      </c>
      <c r="I254" s="201" t="s">
        <v>300</v>
      </c>
      <c r="J254" s="201" t="s">
        <v>299</v>
      </c>
      <c r="K254" s="202">
        <v>3178575103</v>
      </c>
      <c r="L254" s="202">
        <v>819292888</v>
      </c>
      <c r="M254" s="201" t="s">
        <v>301</v>
      </c>
      <c r="N254" s="201" t="s">
        <v>301</v>
      </c>
      <c r="O254" s="203"/>
      <c r="P254" s="201" t="s">
        <v>355</v>
      </c>
      <c r="Q254" s="201" t="s">
        <v>752</v>
      </c>
      <c r="R254" s="201" t="s">
        <v>304</v>
      </c>
      <c r="S254" s="201" t="s">
        <v>305</v>
      </c>
      <c r="T254" s="201" t="s">
        <v>301</v>
      </c>
      <c r="U254" s="205" t="s">
        <v>301</v>
      </c>
    </row>
    <row r="255" spans="1:21" x14ac:dyDescent="0.35">
      <c r="A255" s="204" t="s">
        <v>757</v>
      </c>
      <c r="B255" s="441" t="s">
        <v>758</v>
      </c>
      <c r="C255" s="442"/>
      <c r="D255" s="443"/>
      <c r="E255" s="201" t="s">
        <v>313</v>
      </c>
      <c r="F255" s="201" t="s">
        <v>313</v>
      </c>
      <c r="G255" s="201" t="s">
        <v>310</v>
      </c>
      <c r="H255" s="201" t="s">
        <v>299</v>
      </c>
      <c r="I255" s="201" t="s">
        <v>300</v>
      </c>
      <c r="J255" s="201" t="s">
        <v>299</v>
      </c>
      <c r="K255" s="202">
        <v>601855790</v>
      </c>
      <c r="L255" s="202">
        <v>601855790</v>
      </c>
      <c r="M255" s="201" t="s">
        <v>301</v>
      </c>
      <c r="N255" s="201" t="s">
        <v>299</v>
      </c>
      <c r="O255" s="203"/>
      <c r="P255" s="201" t="s">
        <v>355</v>
      </c>
      <c r="Q255" s="201" t="s">
        <v>759</v>
      </c>
      <c r="R255" s="201" t="s">
        <v>304</v>
      </c>
      <c r="S255" s="201" t="s">
        <v>305</v>
      </c>
      <c r="T255" s="201" t="s">
        <v>301</v>
      </c>
      <c r="U255" s="205" t="s">
        <v>301</v>
      </c>
    </row>
    <row r="256" spans="1:21" x14ac:dyDescent="0.35">
      <c r="A256" s="204" t="s">
        <v>760</v>
      </c>
      <c r="B256" s="441" t="s">
        <v>761</v>
      </c>
      <c r="C256" s="442"/>
      <c r="D256" s="443"/>
      <c r="E256" s="201" t="s">
        <v>437</v>
      </c>
      <c r="F256" s="201" t="s">
        <v>437</v>
      </c>
      <c r="G256" s="201" t="s">
        <v>461</v>
      </c>
      <c r="H256" s="201" t="s">
        <v>299</v>
      </c>
      <c r="I256" s="201" t="s">
        <v>300</v>
      </c>
      <c r="J256" s="201" t="s">
        <v>299</v>
      </c>
      <c r="K256" s="202">
        <v>1190000000</v>
      </c>
      <c r="L256" s="202">
        <v>190000000</v>
      </c>
      <c r="M256" s="201" t="s">
        <v>301</v>
      </c>
      <c r="N256" s="201" t="s">
        <v>301</v>
      </c>
      <c r="O256" s="203"/>
      <c r="P256" s="201" t="s">
        <v>355</v>
      </c>
      <c r="Q256" s="201" t="s">
        <v>762</v>
      </c>
      <c r="R256" s="201" t="s">
        <v>304</v>
      </c>
      <c r="S256" s="201" t="s">
        <v>305</v>
      </c>
      <c r="T256" s="201" t="s">
        <v>301</v>
      </c>
      <c r="U256" s="205" t="s">
        <v>301</v>
      </c>
    </row>
    <row r="257" spans="1:21" x14ac:dyDescent="0.35">
      <c r="A257" s="204" t="s">
        <v>763</v>
      </c>
      <c r="B257" s="441" t="s">
        <v>764</v>
      </c>
      <c r="C257" s="442"/>
      <c r="D257" s="443"/>
      <c r="E257" s="201" t="s">
        <v>460</v>
      </c>
      <c r="F257" s="201" t="s">
        <v>460</v>
      </c>
      <c r="G257" s="201" t="s">
        <v>310</v>
      </c>
      <c r="H257" s="201" t="s">
        <v>299</v>
      </c>
      <c r="I257" s="201" t="s">
        <v>300</v>
      </c>
      <c r="J257" s="201" t="s">
        <v>299</v>
      </c>
      <c r="K257" s="202">
        <v>33320000</v>
      </c>
      <c r="L257" s="202">
        <v>33320000</v>
      </c>
      <c r="M257" s="201" t="s">
        <v>301</v>
      </c>
      <c r="N257" s="201" t="s">
        <v>301</v>
      </c>
      <c r="O257" s="203"/>
      <c r="P257" s="201" t="s">
        <v>355</v>
      </c>
      <c r="Q257" s="201" t="s">
        <v>765</v>
      </c>
      <c r="R257" s="201" t="s">
        <v>304</v>
      </c>
      <c r="S257" s="201" t="s">
        <v>305</v>
      </c>
      <c r="T257" s="201" t="s">
        <v>301</v>
      </c>
      <c r="U257" s="205" t="s">
        <v>301</v>
      </c>
    </row>
    <row r="258" spans="1:21" x14ac:dyDescent="0.35">
      <c r="A258" s="204" t="s">
        <v>760</v>
      </c>
      <c r="B258" s="441" t="s">
        <v>766</v>
      </c>
      <c r="C258" s="442"/>
      <c r="D258" s="443"/>
      <c r="E258" s="201" t="s">
        <v>437</v>
      </c>
      <c r="F258" s="201" t="s">
        <v>437</v>
      </c>
      <c r="G258" s="201" t="s">
        <v>310</v>
      </c>
      <c r="H258" s="201" t="s">
        <v>299</v>
      </c>
      <c r="I258" s="201" t="s">
        <v>300</v>
      </c>
      <c r="J258" s="201" t="s">
        <v>299</v>
      </c>
      <c r="K258" s="202">
        <v>36890000</v>
      </c>
      <c r="L258" s="202">
        <v>5890000</v>
      </c>
      <c r="M258" s="201" t="s">
        <v>301</v>
      </c>
      <c r="N258" s="201" t="s">
        <v>301</v>
      </c>
      <c r="O258" s="203"/>
      <c r="P258" s="201" t="s">
        <v>355</v>
      </c>
      <c r="Q258" s="201" t="s">
        <v>767</v>
      </c>
      <c r="R258" s="201" t="s">
        <v>304</v>
      </c>
      <c r="S258" s="201" t="s">
        <v>305</v>
      </c>
      <c r="T258" s="201" t="s">
        <v>301</v>
      </c>
      <c r="U258" s="205" t="s">
        <v>301</v>
      </c>
    </row>
    <row r="259" spans="1:21" x14ac:dyDescent="0.35">
      <c r="A259" s="204" t="s">
        <v>768</v>
      </c>
      <c r="B259" s="441" t="s">
        <v>769</v>
      </c>
      <c r="C259" s="442"/>
      <c r="D259" s="443"/>
      <c r="E259" s="201" t="s">
        <v>319</v>
      </c>
      <c r="F259" s="201" t="s">
        <v>319</v>
      </c>
      <c r="G259" s="201" t="s">
        <v>310</v>
      </c>
      <c r="H259" s="201" t="s">
        <v>299</v>
      </c>
      <c r="I259" s="201" t="s">
        <v>300</v>
      </c>
      <c r="J259" s="201" t="s">
        <v>299</v>
      </c>
      <c r="K259" s="202">
        <v>16422000</v>
      </c>
      <c r="L259" s="202">
        <v>2622000</v>
      </c>
      <c r="M259" s="201" t="s">
        <v>301</v>
      </c>
      <c r="N259" s="201" t="s">
        <v>301</v>
      </c>
      <c r="O259" s="203"/>
      <c r="P259" s="201" t="s">
        <v>355</v>
      </c>
      <c r="Q259" s="201" t="s">
        <v>770</v>
      </c>
      <c r="R259" s="201" t="s">
        <v>304</v>
      </c>
      <c r="S259" s="201" t="s">
        <v>305</v>
      </c>
      <c r="T259" s="201" t="s">
        <v>301</v>
      </c>
      <c r="U259" s="205" t="s">
        <v>301</v>
      </c>
    </row>
    <row r="260" spans="1:21" x14ac:dyDescent="0.35">
      <c r="A260" s="204" t="s">
        <v>768</v>
      </c>
      <c r="B260" s="441" t="s">
        <v>771</v>
      </c>
      <c r="C260" s="442"/>
      <c r="D260" s="443"/>
      <c r="E260" s="201" t="s">
        <v>432</v>
      </c>
      <c r="F260" s="201" t="s">
        <v>432</v>
      </c>
      <c r="G260" s="201" t="s">
        <v>310</v>
      </c>
      <c r="H260" s="201" t="s">
        <v>299</v>
      </c>
      <c r="I260" s="201" t="s">
        <v>300</v>
      </c>
      <c r="J260" s="201" t="s">
        <v>299</v>
      </c>
      <c r="K260" s="202">
        <v>1904000</v>
      </c>
      <c r="L260" s="202">
        <v>1904000</v>
      </c>
      <c r="M260" s="201" t="s">
        <v>301</v>
      </c>
      <c r="N260" s="201" t="s">
        <v>299</v>
      </c>
      <c r="O260" s="203"/>
      <c r="P260" s="201" t="s">
        <v>355</v>
      </c>
      <c r="Q260" s="201" t="s">
        <v>770</v>
      </c>
      <c r="R260" s="201" t="s">
        <v>304</v>
      </c>
      <c r="S260" s="201" t="s">
        <v>305</v>
      </c>
      <c r="T260" s="201" t="s">
        <v>301</v>
      </c>
      <c r="U260" s="205" t="s">
        <v>301</v>
      </c>
    </row>
    <row r="261" spans="1:21" x14ac:dyDescent="0.35">
      <c r="A261" s="204" t="s">
        <v>772</v>
      </c>
      <c r="B261" s="441" t="s">
        <v>773</v>
      </c>
      <c r="C261" s="442"/>
      <c r="D261" s="443"/>
      <c r="E261" s="201" t="s">
        <v>297</v>
      </c>
      <c r="F261" s="201" t="s">
        <v>297</v>
      </c>
      <c r="G261" s="201" t="s">
        <v>310</v>
      </c>
      <c r="H261" s="201" t="s">
        <v>299</v>
      </c>
      <c r="I261" s="201" t="s">
        <v>300</v>
      </c>
      <c r="J261" s="201" t="s">
        <v>299</v>
      </c>
      <c r="K261" s="202">
        <v>5000000</v>
      </c>
      <c r="L261" s="202">
        <v>5000000</v>
      </c>
      <c r="M261" s="201" t="s">
        <v>301</v>
      </c>
      <c r="N261" s="201" t="s">
        <v>299</v>
      </c>
      <c r="O261" s="203"/>
      <c r="P261" s="201" t="s">
        <v>355</v>
      </c>
      <c r="Q261" s="201" t="s">
        <v>770</v>
      </c>
      <c r="R261" s="201" t="s">
        <v>304</v>
      </c>
      <c r="S261" s="201" t="s">
        <v>305</v>
      </c>
      <c r="T261" s="201" t="s">
        <v>301</v>
      </c>
      <c r="U261" s="205" t="s">
        <v>301</v>
      </c>
    </row>
    <row r="262" spans="1:21" x14ac:dyDescent="0.35">
      <c r="A262" s="204" t="s">
        <v>774</v>
      </c>
      <c r="B262" s="441" t="s">
        <v>775</v>
      </c>
      <c r="C262" s="442"/>
      <c r="D262" s="443"/>
      <c r="E262" s="201" t="s">
        <v>327</v>
      </c>
      <c r="F262" s="201" t="s">
        <v>327</v>
      </c>
      <c r="G262" s="201" t="s">
        <v>461</v>
      </c>
      <c r="H262" s="201" t="s">
        <v>299</v>
      </c>
      <c r="I262" s="201" t="s">
        <v>300</v>
      </c>
      <c r="J262" s="201" t="s">
        <v>299</v>
      </c>
      <c r="K262" s="202">
        <v>536840738</v>
      </c>
      <c r="L262" s="202">
        <v>156578547</v>
      </c>
      <c r="M262" s="201" t="s">
        <v>301</v>
      </c>
      <c r="N262" s="201" t="s">
        <v>301</v>
      </c>
      <c r="O262" s="203"/>
      <c r="P262" s="201" t="s">
        <v>355</v>
      </c>
      <c r="Q262" s="201" t="s">
        <v>770</v>
      </c>
      <c r="R262" s="201" t="s">
        <v>304</v>
      </c>
      <c r="S262" s="201" t="s">
        <v>305</v>
      </c>
      <c r="T262" s="201" t="s">
        <v>301</v>
      </c>
      <c r="U262" s="205" t="s">
        <v>301</v>
      </c>
    </row>
    <row r="263" spans="1:21" x14ac:dyDescent="0.35">
      <c r="A263" s="204" t="s">
        <v>776</v>
      </c>
      <c r="B263" s="441" t="s">
        <v>777</v>
      </c>
      <c r="C263" s="442"/>
      <c r="D263" s="443"/>
      <c r="E263" s="201" t="s">
        <v>460</v>
      </c>
      <c r="F263" s="201" t="s">
        <v>460</v>
      </c>
      <c r="G263" s="201" t="s">
        <v>461</v>
      </c>
      <c r="H263" s="201" t="s">
        <v>299</v>
      </c>
      <c r="I263" s="201" t="s">
        <v>300</v>
      </c>
      <c r="J263" s="201" t="s">
        <v>299</v>
      </c>
      <c r="K263" s="202">
        <v>386429149</v>
      </c>
      <c r="L263" s="202">
        <v>211068064</v>
      </c>
      <c r="M263" s="201" t="s">
        <v>301</v>
      </c>
      <c r="N263" s="201" t="s">
        <v>301</v>
      </c>
      <c r="O263" s="203"/>
      <c r="P263" s="201" t="s">
        <v>355</v>
      </c>
      <c r="Q263" s="201" t="s">
        <v>778</v>
      </c>
      <c r="R263" s="201" t="s">
        <v>304</v>
      </c>
      <c r="S263" s="201" t="s">
        <v>305</v>
      </c>
      <c r="T263" s="201" t="s">
        <v>301</v>
      </c>
      <c r="U263" s="205" t="s">
        <v>301</v>
      </c>
    </row>
    <row r="264" spans="1:21" x14ac:dyDescent="0.35">
      <c r="A264" s="204" t="s">
        <v>779</v>
      </c>
      <c r="B264" s="441" t="s">
        <v>780</v>
      </c>
      <c r="C264" s="442"/>
      <c r="D264" s="443"/>
      <c r="E264" s="201" t="s">
        <v>405</v>
      </c>
      <c r="F264" s="201" t="s">
        <v>405</v>
      </c>
      <c r="G264" s="201" t="s">
        <v>781</v>
      </c>
      <c r="H264" s="201" t="s">
        <v>299</v>
      </c>
      <c r="I264" s="201" t="s">
        <v>300</v>
      </c>
      <c r="J264" s="201" t="s">
        <v>299</v>
      </c>
      <c r="K264" s="202">
        <v>350779521</v>
      </c>
      <c r="L264" s="202">
        <v>113323729</v>
      </c>
      <c r="M264" s="201" t="s">
        <v>301</v>
      </c>
      <c r="N264" s="201" t="s">
        <v>301</v>
      </c>
      <c r="O264" s="203"/>
      <c r="P264" s="201" t="s">
        <v>355</v>
      </c>
      <c r="Q264" s="201" t="s">
        <v>782</v>
      </c>
      <c r="R264" s="201" t="s">
        <v>304</v>
      </c>
      <c r="S264" s="201" t="s">
        <v>305</v>
      </c>
      <c r="T264" s="201" t="s">
        <v>301</v>
      </c>
      <c r="U264" s="205" t="s">
        <v>301</v>
      </c>
    </row>
    <row r="265" spans="1:21" x14ac:dyDescent="0.35">
      <c r="A265" s="204" t="s">
        <v>783</v>
      </c>
      <c r="B265" s="441" t="s">
        <v>784</v>
      </c>
      <c r="C265" s="442"/>
      <c r="D265" s="443"/>
      <c r="E265" s="201" t="s">
        <v>405</v>
      </c>
      <c r="F265" s="201" t="s">
        <v>405</v>
      </c>
      <c r="G265" s="201" t="s">
        <v>785</v>
      </c>
      <c r="H265" s="201" t="s">
        <v>299</v>
      </c>
      <c r="I265" s="201" t="s">
        <v>300</v>
      </c>
      <c r="J265" s="201" t="s">
        <v>299</v>
      </c>
      <c r="K265" s="202">
        <v>2090361</v>
      </c>
      <c r="L265" s="202">
        <v>2090361</v>
      </c>
      <c r="M265" s="201" t="s">
        <v>301</v>
      </c>
      <c r="N265" s="201" t="s">
        <v>299</v>
      </c>
      <c r="O265" s="203"/>
      <c r="P265" s="201" t="s">
        <v>355</v>
      </c>
      <c r="Q265" s="201" t="s">
        <v>782</v>
      </c>
      <c r="R265" s="201" t="s">
        <v>304</v>
      </c>
      <c r="S265" s="201" t="s">
        <v>305</v>
      </c>
      <c r="T265" s="201" t="s">
        <v>301</v>
      </c>
      <c r="U265" s="205" t="s">
        <v>301</v>
      </c>
    </row>
    <row r="266" spans="1:21" x14ac:dyDescent="0.35">
      <c r="A266" s="204" t="s">
        <v>783</v>
      </c>
      <c r="B266" s="441" t="s">
        <v>786</v>
      </c>
      <c r="C266" s="442"/>
      <c r="D266" s="443"/>
      <c r="E266" s="201" t="s">
        <v>405</v>
      </c>
      <c r="F266" s="201" t="s">
        <v>405</v>
      </c>
      <c r="G266" s="201" t="s">
        <v>785</v>
      </c>
      <c r="H266" s="201" t="s">
        <v>299</v>
      </c>
      <c r="I266" s="201" t="s">
        <v>300</v>
      </c>
      <c r="J266" s="201" t="s">
        <v>299</v>
      </c>
      <c r="K266" s="202">
        <v>868000</v>
      </c>
      <c r="L266" s="202">
        <v>868000</v>
      </c>
      <c r="M266" s="201" t="s">
        <v>301</v>
      </c>
      <c r="N266" s="201" t="s">
        <v>299</v>
      </c>
      <c r="O266" s="203"/>
      <c r="P266" s="201" t="s">
        <v>355</v>
      </c>
      <c r="Q266" s="201" t="s">
        <v>782</v>
      </c>
      <c r="R266" s="201" t="s">
        <v>304</v>
      </c>
      <c r="S266" s="201" t="s">
        <v>305</v>
      </c>
      <c r="T266" s="201" t="s">
        <v>301</v>
      </c>
      <c r="U266" s="205" t="s">
        <v>301</v>
      </c>
    </row>
    <row r="267" spans="1:21" x14ac:dyDescent="0.35">
      <c r="A267" s="204" t="s">
        <v>787</v>
      </c>
      <c r="B267" s="441" t="s">
        <v>788</v>
      </c>
      <c r="C267" s="442"/>
      <c r="D267" s="443"/>
      <c r="E267" s="201" t="s">
        <v>338</v>
      </c>
      <c r="F267" s="201" t="s">
        <v>338</v>
      </c>
      <c r="G267" s="201" t="s">
        <v>468</v>
      </c>
      <c r="H267" s="201" t="s">
        <v>299</v>
      </c>
      <c r="I267" s="201" t="s">
        <v>300</v>
      </c>
      <c r="J267" s="201" t="s">
        <v>299</v>
      </c>
      <c r="K267" s="202">
        <v>353166391</v>
      </c>
      <c r="L267" s="202">
        <v>145187911</v>
      </c>
      <c r="M267" s="201" t="s">
        <v>301</v>
      </c>
      <c r="N267" s="201" t="s">
        <v>301</v>
      </c>
      <c r="O267" s="203"/>
      <c r="P267" s="201" t="s">
        <v>355</v>
      </c>
      <c r="Q267" s="201" t="s">
        <v>789</v>
      </c>
      <c r="R267" s="201" t="s">
        <v>304</v>
      </c>
      <c r="S267" s="201" t="s">
        <v>305</v>
      </c>
      <c r="T267" s="201" t="s">
        <v>301</v>
      </c>
      <c r="U267" s="205" t="s">
        <v>301</v>
      </c>
    </row>
    <row r="268" spans="1:21" x14ac:dyDescent="0.35">
      <c r="A268" s="204" t="s">
        <v>790</v>
      </c>
      <c r="B268" s="441" t="s">
        <v>791</v>
      </c>
      <c r="C268" s="442"/>
      <c r="D268" s="443"/>
      <c r="E268" s="201" t="s">
        <v>405</v>
      </c>
      <c r="F268" s="201" t="s">
        <v>405</v>
      </c>
      <c r="G268" s="201" t="s">
        <v>414</v>
      </c>
      <c r="H268" s="201" t="s">
        <v>299</v>
      </c>
      <c r="I268" s="201" t="s">
        <v>300</v>
      </c>
      <c r="J268" s="201" t="s">
        <v>299</v>
      </c>
      <c r="K268" s="202">
        <v>9520000</v>
      </c>
      <c r="L268" s="202">
        <v>9520000</v>
      </c>
      <c r="M268" s="201" t="s">
        <v>301</v>
      </c>
      <c r="N268" s="201" t="s">
        <v>299</v>
      </c>
      <c r="O268" s="203"/>
      <c r="P268" s="201" t="s">
        <v>355</v>
      </c>
      <c r="Q268" s="201" t="s">
        <v>792</v>
      </c>
      <c r="R268" s="201" t="s">
        <v>304</v>
      </c>
      <c r="S268" s="201" t="s">
        <v>305</v>
      </c>
      <c r="T268" s="201" t="s">
        <v>301</v>
      </c>
      <c r="U268" s="205" t="s">
        <v>301</v>
      </c>
    </row>
    <row r="269" spans="1:21" x14ac:dyDescent="0.35">
      <c r="A269" s="204" t="s">
        <v>470</v>
      </c>
      <c r="B269" s="441" t="s">
        <v>793</v>
      </c>
      <c r="C269" s="442"/>
      <c r="D269" s="443"/>
      <c r="E269" s="201" t="s">
        <v>488</v>
      </c>
      <c r="F269" s="201" t="s">
        <v>488</v>
      </c>
      <c r="G269" s="201" t="s">
        <v>310</v>
      </c>
      <c r="H269" s="201" t="s">
        <v>299</v>
      </c>
      <c r="I269" s="201" t="s">
        <v>300</v>
      </c>
      <c r="J269" s="201" t="s">
        <v>299</v>
      </c>
      <c r="K269" s="202">
        <v>34763232</v>
      </c>
      <c r="L269" s="202">
        <v>31507232</v>
      </c>
      <c r="M269" s="201" t="s">
        <v>301</v>
      </c>
      <c r="N269" s="201" t="s">
        <v>301</v>
      </c>
      <c r="O269" s="203"/>
      <c r="P269" s="201" t="s">
        <v>355</v>
      </c>
      <c r="Q269" s="201" t="s">
        <v>794</v>
      </c>
      <c r="R269" s="201" t="s">
        <v>304</v>
      </c>
      <c r="S269" s="201" t="s">
        <v>305</v>
      </c>
      <c r="T269" s="201" t="s">
        <v>301</v>
      </c>
      <c r="U269" s="205" t="s">
        <v>301</v>
      </c>
    </row>
    <row r="270" spans="1:21" x14ac:dyDescent="0.35">
      <c r="A270" s="204" t="s">
        <v>727</v>
      </c>
      <c r="B270" s="441" t="s">
        <v>795</v>
      </c>
      <c r="C270" s="442"/>
      <c r="D270" s="443"/>
      <c r="E270" s="201" t="s">
        <v>327</v>
      </c>
      <c r="F270" s="201" t="s">
        <v>327</v>
      </c>
      <c r="G270" s="201" t="s">
        <v>310</v>
      </c>
      <c r="H270" s="201" t="s">
        <v>299</v>
      </c>
      <c r="I270" s="201" t="s">
        <v>300</v>
      </c>
      <c r="J270" s="201" t="s">
        <v>299</v>
      </c>
      <c r="K270" s="202">
        <v>134255205</v>
      </c>
      <c r="L270" s="202">
        <v>77845455</v>
      </c>
      <c r="M270" s="201" t="s">
        <v>301</v>
      </c>
      <c r="N270" s="201" t="s">
        <v>301</v>
      </c>
      <c r="O270" s="203"/>
      <c r="P270" s="201" t="s">
        <v>355</v>
      </c>
      <c r="Q270" s="201" t="s">
        <v>796</v>
      </c>
      <c r="R270" s="201" t="s">
        <v>304</v>
      </c>
      <c r="S270" s="201" t="s">
        <v>305</v>
      </c>
      <c r="T270" s="201" t="s">
        <v>301</v>
      </c>
      <c r="U270" s="205" t="s">
        <v>301</v>
      </c>
    </row>
    <row r="271" spans="1:21" x14ac:dyDescent="0.35">
      <c r="A271" s="204" t="s">
        <v>797</v>
      </c>
      <c r="B271" s="441" t="s">
        <v>798</v>
      </c>
      <c r="C271" s="442"/>
      <c r="D271" s="443"/>
      <c r="E271" s="201" t="s">
        <v>297</v>
      </c>
      <c r="F271" s="201" t="s">
        <v>297</v>
      </c>
      <c r="G271" s="201" t="s">
        <v>310</v>
      </c>
      <c r="H271" s="201" t="s">
        <v>299</v>
      </c>
      <c r="I271" s="201" t="s">
        <v>300</v>
      </c>
      <c r="J271" s="201" t="s">
        <v>299</v>
      </c>
      <c r="K271" s="202">
        <v>175272720</v>
      </c>
      <c r="L271" s="202">
        <v>167272720</v>
      </c>
      <c r="M271" s="201" t="s">
        <v>301</v>
      </c>
      <c r="N271" s="201" t="s">
        <v>301</v>
      </c>
      <c r="O271" s="203"/>
      <c r="P271" s="201" t="s">
        <v>355</v>
      </c>
      <c r="Q271" s="201" t="s">
        <v>794</v>
      </c>
      <c r="R271" s="201" t="s">
        <v>304</v>
      </c>
      <c r="S271" s="201" t="s">
        <v>305</v>
      </c>
      <c r="T271" s="201" t="s">
        <v>301</v>
      </c>
      <c r="U271" s="205" t="s">
        <v>301</v>
      </c>
    </row>
    <row r="272" spans="1:21" x14ac:dyDescent="0.35">
      <c r="A272" s="204" t="s">
        <v>799</v>
      </c>
      <c r="B272" s="441" t="s">
        <v>800</v>
      </c>
      <c r="C272" s="442"/>
      <c r="D272" s="443"/>
      <c r="E272" s="201" t="s">
        <v>297</v>
      </c>
      <c r="F272" s="201" t="s">
        <v>297</v>
      </c>
      <c r="G272" s="201" t="s">
        <v>461</v>
      </c>
      <c r="H272" s="201" t="s">
        <v>299</v>
      </c>
      <c r="I272" s="201" t="s">
        <v>300</v>
      </c>
      <c r="J272" s="201" t="s">
        <v>299</v>
      </c>
      <c r="K272" s="202">
        <v>57483054</v>
      </c>
      <c r="L272" s="202">
        <v>7037664</v>
      </c>
      <c r="M272" s="201" t="s">
        <v>301</v>
      </c>
      <c r="N272" s="201" t="s">
        <v>301</v>
      </c>
      <c r="O272" s="203"/>
      <c r="P272" s="201" t="s">
        <v>355</v>
      </c>
      <c r="Q272" s="201" t="s">
        <v>801</v>
      </c>
      <c r="R272" s="201" t="s">
        <v>304</v>
      </c>
      <c r="S272" s="201" t="s">
        <v>305</v>
      </c>
      <c r="T272" s="201" t="s">
        <v>301</v>
      </c>
      <c r="U272" s="205" t="s">
        <v>301</v>
      </c>
    </row>
    <row r="273" spans="1:21" x14ac:dyDescent="0.35">
      <c r="A273" s="204" t="s">
        <v>727</v>
      </c>
      <c r="B273" s="441" t="s">
        <v>802</v>
      </c>
      <c r="C273" s="442"/>
      <c r="D273" s="443"/>
      <c r="E273" s="201" t="s">
        <v>297</v>
      </c>
      <c r="F273" s="201" t="s">
        <v>297</v>
      </c>
      <c r="G273" s="201" t="s">
        <v>354</v>
      </c>
      <c r="H273" s="201" t="s">
        <v>299</v>
      </c>
      <c r="I273" s="201" t="s">
        <v>300</v>
      </c>
      <c r="J273" s="201" t="s">
        <v>299</v>
      </c>
      <c r="K273" s="202">
        <v>77350000</v>
      </c>
      <c r="L273" s="202">
        <v>77350000</v>
      </c>
      <c r="M273" s="201" t="s">
        <v>301</v>
      </c>
      <c r="N273" s="201" t="s">
        <v>299</v>
      </c>
      <c r="O273" s="203"/>
      <c r="P273" s="201" t="s">
        <v>355</v>
      </c>
      <c r="Q273" s="201" t="s">
        <v>796</v>
      </c>
      <c r="R273" s="201" t="s">
        <v>304</v>
      </c>
      <c r="S273" s="201" t="s">
        <v>305</v>
      </c>
      <c r="T273" s="201" t="s">
        <v>301</v>
      </c>
      <c r="U273" s="205" t="s">
        <v>301</v>
      </c>
    </row>
    <row r="274" spans="1:21" x14ac:dyDescent="0.35">
      <c r="A274" s="204" t="s">
        <v>727</v>
      </c>
      <c r="B274" s="441" t="s">
        <v>803</v>
      </c>
      <c r="C274" s="442"/>
      <c r="D274" s="443"/>
      <c r="E274" s="201" t="s">
        <v>301</v>
      </c>
      <c r="F274" s="201" t="s">
        <v>301</v>
      </c>
      <c r="G274" s="201" t="s">
        <v>456</v>
      </c>
      <c r="H274" s="201" t="s">
        <v>299</v>
      </c>
      <c r="I274" s="201" t="s">
        <v>300</v>
      </c>
      <c r="J274" s="201" t="s">
        <v>299</v>
      </c>
      <c r="K274" s="202">
        <v>142800000</v>
      </c>
      <c r="L274" s="202">
        <v>142800000</v>
      </c>
      <c r="M274" s="201" t="s">
        <v>301</v>
      </c>
      <c r="N274" s="201" t="s">
        <v>299</v>
      </c>
      <c r="O274" s="203"/>
      <c r="P274" s="201" t="s">
        <v>355</v>
      </c>
      <c r="Q274" s="201" t="s">
        <v>804</v>
      </c>
      <c r="R274" s="201" t="s">
        <v>304</v>
      </c>
      <c r="S274" s="201" t="s">
        <v>305</v>
      </c>
      <c r="T274" s="201" t="s">
        <v>301</v>
      </c>
      <c r="U274" s="205" t="s">
        <v>301</v>
      </c>
    </row>
    <row r="275" spans="1:21" x14ac:dyDescent="0.35">
      <c r="A275" s="204" t="s">
        <v>805</v>
      </c>
      <c r="B275" s="441" t="s">
        <v>806</v>
      </c>
      <c r="C275" s="442"/>
      <c r="D275" s="443"/>
      <c r="E275" s="201" t="s">
        <v>437</v>
      </c>
      <c r="F275" s="201" t="s">
        <v>437</v>
      </c>
      <c r="G275" s="201" t="s">
        <v>310</v>
      </c>
      <c r="H275" s="201" t="s">
        <v>299</v>
      </c>
      <c r="I275" s="201" t="s">
        <v>300</v>
      </c>
      <c r="J275" s="201" t="s">
        <v>299</v>
      </c>
      <c r="K275" s="202">
        <v>27648113</v>
      </c>
      <c r="L275" s="202">
        <v>10162781</v>
      </c>
      <c r="M275" s="201" t="s">
        <v>301</v>
      </c>
      <c r="N275" s="201" t="s">
        <v>301</v>
      </c>
      <c r="O275" s="203"/>
      <c r="P275" s="201" t="s">
        <v>355</v>
      </c>
      <c r="Q275" s="201" t="s">
        <v>801</v>
      </c>
      <c r="R275" s="201" t="s">
        <v>304</v>
      </c>
      <c r="S275" s="201" t="s">
        <v>305</v>
      </c>
      <c r="T275" s="201" t="s">
        <v>301</v>
      </c>
      <c r="U275" s="205" t="s">
        <v>301</v>
      </c>
    </row>
    <row r="276" spans="1:21" x14ac:dyDescent="0.35">
      <c r="A276" s="204" t="s">
        <v>727</v>
      </c>
      <c r="B276" s="441" t="s">
        <v>807</v>
      </c>
      <c r="C276" s="442"/>
      <c r="D276" s="443"/>
      <c r="E276" s="201" t="s">
        <v>301</v>
      </c>
      <c r="F276" s="201" t="s">
        <v>301</v>
      </c>
      <c r="G276" s="201" t="s">
        <v>310</v>
      </c>
      <c r="H276" s="201" t="s">
        <v>299</v>
      </c>
      <c r="I276" s="201" t="s">
        <v>300</v>
      </c>
      <c r="J276" s="201" t="s">
        <v>299</v>
      </c>
      <c r="K276" s="202">
        <v>39429598</v>
      </c>
      <c r="L276" s="202">
        <v>39429598</v>
      </c>
      <c r="M276" s="201" t="s">
        <v>301</v>
      </c>
      <c r="N276" s="201" t="s">
        <v>299</v>
      </c>
      <c r="O276" s="203"/>
      <c r="P276" s="201" t="s">
        <v>355</v>
      </c>
      <c r="Q276" s="201" t="s">
        <v>808</v>
      </c>
      <c r="R276" s="201" t="s">
        <v>304</v>
      </c>
      <c r="S276" s="201" t="s">
        <v>305</v>
      </c>
      <c r="T276" s="201" t="s">
        <v>301</v>
      </c>
      <c r="U276" s="205" t="s">
        <v>301</v>
      </c>
    </row>
    <row r="277" spans="1:21" x14ac:dyDescent="0.35">
      <c r="A277" s="204" t="s">
        <v>727</v>
      </c>
      <c r="B277" s="441" t="s">
        <v>809</v>
      </c>
      <c r="C277" s="442"/>
      <c r="D277" s="443"/>
      <c r="E277" s="201" t="s">
        <v>297</v>
      </c>
      <c r="F277" s="201" t="s">
        <v>297</v>
      </c>
      <c r="G277" s="201" t="s">
        <v>310</v>
      </c>
      <c r="H277" s="201" t="s">
        <v>299</v>
      </c>
      <c r="I277" s="201" t="s">
        <v>300</v>
      </c>
      <c r="J277" s="201" t="s">
        <v>299</v>
      </c>
      <c r="K277" s="202">
        <v>219345727</v>
      </c>
      <c r="L277" s="202">
        <v>219345727</v>
      </c>
      <c r="M277" s="201" t="s">
        <v>301</v>
      </c>
      <c r="N277" s="201" t="s">
        <v>299</v>
      </c>
      <c r="O277" s="203"/>
      <c r="P277" s="201" t="s">
        <v>355</v>
      </c>
      <c r="Q277" s="201" t="s">
        <v>808</v>
      </c>
      <c r="R277" s="201" t="s">
        <v>304</v>
      </c>
      <c r="S277" s="201" t="s">
        <v>305</v>
      </c>
      <c r="T277" s="201" t="s">
        <v>301</v>
      </c>
      <c r="U277" s="205" t="s">
        <v>301</v>
      </c>
    </row>
    <row r="278" spans="1:21" x14ac:dyDescent="0.35">
      <c r="A278" s="204" t="s">
        <v>787</v>
      </c>
      <c r="B278" s="441" t="s">
        <v>810</v>
      </c>
      <c r="C278" s="442"/>
      <c r="D278" s="443"/>
      <c r="E278" s="201" t="s">
        <v>319</v>
      </c>
      <c r="F278" s="201" t="s">
        <v>319</v>
      </c>
      <c r="G278" s="201" t="s">
        <v>354</v>
      </c>
      <c r="H278" s="201" t="s">
        <v>299</v>
      </c>
      <c r="I278" s="201" t="s">
        <v>300</v>
      </c>
      <c r="J278" s="201" t="s">
        <v>299</v>
      </c>
      <c r="K278" s="202">
        <v>53550000</v>
      </c>
      <c r="L278" s="202">
        <v>53550000</v>
      </c>
      <c r="M278" s="201" t="s">
        <v>301</v>
      </c>
      <c r="N278" s="201" t="s">
        <v>299</v>
      </c>
      <c r="O278" s="203"/>
      <c r="P278" s="201" t="s">
        <v>355</v>
      </c>
      <c r="Q278" s="201" t="s">
        <v>811</v>
      </c>
      <c r="R278" s="201" t="s">
        <v>304</v>
      </c>
      <c r="S278" s="201" t="s">
        <v>305</v>
      </c>
      <c r="T278" s="201" t="s">
        <v>301</v>
      </c>
      <c r="U278" s="205" t="s">
        <v>301</v>
      </c>
    </row>
    <row r="279" spans="1:21" x14ac:dyDescent="0.35">
      <c r="A279" s="204" t="s">
        <v>608</v>
      </c>
      <c r="B279" s="441" t="s">
        <v>812</v>
      </c>
      <c r="C279" s="442"/>
      <c r="D279" s="443"/>
      <c r="E279" s="201" t="s">
        <v>313</v>
      </c>
      <c r="F279" s="201" t="s">
        <v>313</v>
      </c>
      <c r="G279" s="201" t="s">
        <v>414</v>
      </c>
      <c r="H279" s="201" t="s">
        <v>299</v>
      </c>
      <c r="I279" s="201" t="s">
        <v>300</v>
      </c>
      <c r="J279" s="201" t="s">
        <v>299</v>
      </c>
      <c r="K279" s="202">
        <v>20865114</v>
      </c>
      <c r="L279" s="202">
        <v>20865114</v>
      </c>
      <c r="M279" s="201" t="s">
        <v>301</v>
      </c>
      <c r="N279" s="201" t="s">
        <v>299</v>
      </c>
      <c r="O279" s="203"/>
      <c r="P279" s="201" t="s">
        <v>355</v>
      </c>
      <c r="Q279" s="201" t="s">
        <v>813</v>
      </c>
      <c r="R279" s="201" t="s">
        <v>304</v>
      </c>
      <c r="S279" s="201" t="s">
        <v>305</v>
      </c>
      <c r="T279" s="201" t="s">
        <v>301</v>
      </c>
      <c r="U279" s="205" t="s">
        <v>301</v>
      </c>
    </row>
    <row r="280" spans="1:21" x14ac:dyDescent="0.35">
      <c r="A280" s="204" t="s">
        <v>814</v>
      </c>
      <c r="B280" s="441" t="s">
        <v>815</v>
      </c>
      <c r="C280" s="442"/>
      <c r="D280" s="443"/>
      <c r="E280" s="201" t="s">
        <v>313</v>
      </c>
      <c r="F280" s="201" t="s">
        <v>313</v>
      </c>
      <c r="G280" s="201" t="s">
        <v>310</v>
      </c>
      <c r="H280" s="201" t="s">
        <v>299</v>
      </c>
      <c r="I280" s="201" t="s">
        <v>300</v>
      </c>
      <c r="J280" s="201" t="s">
        <v>299</v>
      </c>
      <c r="K280" s="202">
        <v>39735677</v>
      </c>
      <c r="L280" s="202">
        <v>18644677</v>
      </c>
      <c r="M280" s="201" t="s">
        <v>301</v>
      </c>
      <c r="N280" s="201" t="s">
        <v>301</v>
      </c>
      <c r="O280" s="203"/>
      <c r="P280" s="201" t="s">
        <v>355</v>
      </c>
      <c r="Q280" s="201" t="s">
        <v>816</v>
      </c>
      <c r="R280" s="201" t="s">
        <v>304</v>
      </c>
      <c r="S280" s="201" t="s">
        <v>305</v>
      </c>
      <c r="T280" s="201" t="s">
        <v>301</v>
      </c>
      <c r="U280" s="205" t="s">
        <v>301</v>
      </c>
    </row>
    <row r="281" spans="1:21" x14ac:dyDescent="0.35">
      <c r="A281" s="204" t="s">
        <v>805</v>
      </c>
      <c r="B281" s="441" t="s">
        <v>817</v>
      </c>
      <c r="C281" s="442"/>
      <c r="D281" s="443"/>
      <c r="E281" s="201" t="s">
        <v>313</v>
      </c>
      <c r="F281" s="201" t="s">
        <v>313</v>
      </c>
      <c r="G281" s="201" t="s">
        <v>310</v>
      </c>
      <c r="H281" s="201" t="s">
        <v>299</v>
      </c>
      <c r="I281" s="201" t="s">
        <v>300</v>
      </c>
      <c r="J281" s="201" t="s">
        <v>299</v>
      </c>
      <c r="K281" s="202">
        <v>37150973</v>
      </c>
      <c r="L281" s="202">
        <v>31748510</v>
      </c>
      <c r="M281" s="201" t="s">
        <v>301</v>
      </c>
      <c r="N281" s="201" t="s">
        <v>301</v>
      </c>
      <c r="O281" s="203"/>
      <c r="P281" s="201" t="s">
        <v>355</v>
      </c>
      <c r="Q281" s="201" t="s">
        <v>818</v>
      </c>
      <c r="R281" s="201" t="s">
        <v>304</v>
      </c>
      <c r="S281" s="201" t="s">
        <v>305</v>
      </c>
      <c r="T281" s="201" t="s">
        <v>301</v>
      </c>
      <c r="U281" s="205" t="s">
        <v>301</v>
      </c>
    </row>
    <row r="282" spans="1:21" x14ac:dyDescent="0.35">
      <c r="A282" s="204" t="s">
        <v>814</v>
      </c>
      <c r="B282" s="441" t="s">
        <v>819</v>
      </c>
      <c r="C282" s="442"/>
      <c r="D282" s="443"/>
      <c r="E282" s="201" t="s">
        <v>432</v>
      </c>
      <c r="F282" s="201" t="s">
        <v>432</v>
      </c>
      <c r="G282" s="201" t="s">
        <v>354</v>
      </c>
      <c r="H282" s="201" t="s">
        <v>299</v>
      </c>
      <c r="I282" s="201" t="s">
        <v>300</v>
      </c>
      <c r="J282" s="201" t="s">
        <v>299</v>
      </c>
      <c r="K282" s="202">
        <v>41650000</v>
      </c>
      <c r="L282" s="202">
        <v>41650000</v>
      </c>
      <c r="M282" s="201" t="s">
        <v>301</v>
      </c>
      <c r="N282" s="201" t="s">
        <v>299</v>
      </c>
      <c r="O282" s="203"/>
      <c r="P282" s="201" t="s">
        <v>355</v>
      </c>
      <c r="Q282" s="201" t="s">
        <v>820</v>
      </c>
      <c r="R282" s="201" t="s">
        <v>304</v>
      </c>
      <c r="S282" s="201" t="s">
        <v>305</v>
      </c>
      <c r="T282" s="201" t="s">
        <v>301</v>
      </c>
      <c r="U282" s="205" t="s">
        <v>301</v>
      </c>
    </row>
    <row r="283" spans="1:21" x14ac:dyDescent="0.35">
      <c r="A283" s="204" t="s">
        <v>821</v>
      </c>
      <c r="B283" s="441" t="s">
        <v>822</v>
      </c>
      <c r="C283" s="442"/>
      <c r="D283" s="443"/>
      <c r="E283" s="201" t="s">
        <v>297</v>
      </c>
      <c r="F283" s="201" t="s">
        <v>297</v>
      </c>
      <c r="G283" s="201" t="s">
        <v>468</v>
      </c>
      <c r="H283" s="201" t="s">
        <v>299</v>
      </c>
      <c r="I283" s="201" t="s">
        <v>300</v>
      </c>
      <c r="J283" s="201" t="s">
        <v>299</v>
      </c>
      <c r="K283" s="202">
        <v>8698287484</v>
      </c>
      <c r="L283" s="202">
        <v>3676231453</v>
      </c>
      <c r="M283" s="201" t="s">
        <v>301</v>
      </c>
      <c r="N283" s="201" t="s">
        <v>301</v>
      </c>
      <c r="O283" s="203"/>
      <c r="P283" s="201" t="s">
        <v>355</v>
      </c>
      <c r="Q283" s="201" t="s">
        <v>823</v>
      </c>
      <c r="R283" s="201" t="s">
        <v>304</v>
      </c>
      <c r="S283" s="201" t="s">
        <v>305</v>
      </c>
      <c r="T283" s="201" t="s">
        <v>301</v>
      </c>
      <c r="U283" s="205" t="s">
        <v>301</v>
      </c>
    </row>
    <row r="284" spans="1:21" x14ac:dyDescent="0.35">
      <c r="A284" s="204" t="s">
        <v>727</v>
      </c>
      <c r="B284" s="441" t="s">
        <v>824</v>
      </c>
      <c r="C284" s="442"/>
      <c r="D284" s="443"/>
      <c r="E284" s="201" t="s">
        <v>432</v>
      </c>
      <c r="F284" s="201" t="s">
        <v>432</v>
      </c>
      <c r="G284" s="201" t="s">
        <v>456</v>
      </c>
      <c r="H284" s="201" t="s">
        <v>299</v>
      </c>
      <c r="I284" s="201" t="s">
        <v>300</v>
      </c>
      <c r="J284" s="201" t="s">
        <v>299</v>
      </c>
      <c r="K284" s="202">
        <v>129115000</v>
      </c>
      <c r="L284" s="202">
        <v>129115000</v>
      </c>
      <c r="M284" s="201" t="s">
        <v>301</v>
      </c>
      <c r="N284" s="201" t="s">
        <v>299</v>
      </c>
      <c r="O284" s="203"/>
      <c r="P284" s="201" t="s">
        <v>355</v>
      </c>
      <c r="Q284" s="201" t="s">
        <v>820</v>
      </c>
      <c r="R284" s="201" t="s">
        <v>304</v>
      </c>
      <c r="S284" s="201" t="s">
        <v>305</v>
      </c>
      <c r="T284" s="201" t="s">
        <v>301</v>
      </c>
      <c r="U284" s="205" t="s">
        <v>301</v>
      </c>
    </row>
    <row r="285" spans="1:21" x14ac:dyDescent="0.35">
      <c r="A285" s="204" t="s">
        <v>825</v>
      </c>
      <c r="B285" s="441" t="s">
        <v>826</v>
      </c>
      <c r="C285" s="442"/>
      <c r="D285" s="443"/>
      <c r="E285" s="201" t="s">
        <v>313</v>
      </c>
      <c r="F285" s="201" t="s">
        <v>313</v>
      </c>
      <c r="G285" s="201" t="s">
        <v>354</v>
      </c>
      <c r="H285" s="201" t="s">
        <v>299</v>
      </c>
      <c r="I285" s="201" t="s">
        <v>300</v>
      </c>
      <c r="J285" s="201" t="s">
        <v>299</v>
      </c>
      <c r="K285" s="202">
        <v>297500000</v>
      </c>
      <c r="L285" s="202">
        <v>297500000</v>
      </c>
      <c r="M285" s="201" t="s">
        <v>301</v>
      </c>
      <c r="N285" s="201" t="s">
        <v>299</v>
      </c>
      <c r="O285" s="203"/>
      <c r="P285" s="201" t="s">
        <v>355</v>
      </c>
      <c r="Q285" s="201" t="s">
        <v>820</v>
      </c>
      <c r="R285" s="201" t="s">
        <v>304</v>
      </c>
      <c r="S285" s="201" t="s">
        <v>305</v>
      </c>
      <c r="T285" s="201" t="s">
        <v>301</v>
      </c>
      <c r="U285" s="205" t="s">
        <v>301</v>
      </c>
    </row>
    <row r="286" spans="1:21" x14ac:dyDescent="0.35">
      <c r="A286" s="204" t="s">
        <v>702</v>
      </c>
      <c r="B286" s="441" t="s">
        <v>827</v>
      </c>
      <c r="C286" s="442"/>
      <c r="D286" s="443"/>
      <c r="E286" s="201" t="s">
        <v>319</v>
      </c>
      <c r="F286" s="201" t="s">
        <v>319</v>
      </c>
      <c r="G286" s="201" t="s">
        <v>394</v>
      </c>
      <c r="H286" s="201" t="s">
        <v>299</v>
      </c>
      <c r="I286" s="201" t="s">
        <v>300</v>
      </c>
      <c r="J286" s="201" t="s">
        <v>299</v>
      </c>
      <c r="K286" s="202">
        <v>1428000000</v>
      </c>
      <c r="L286" s="202">
        <v>1428000000</v>
      </c>
      <c r="M286" s="201" t="s">
        <v>301</v>
      </c>
      <c r="N286" s="201" t="s">
        <v>299</v>
      </c>
      <c r="O286" s="203"/>
      <c r="P286" s="201" t="s">
        <v>355</v>
      </c>
      <c r="Q286" s="201" t="s">
        <v>820</v>
      </c>
      <c r="R286" s="201" t="s">
        <v>304</v>
      </c>
      <c r="S286" s="201" t="s">
        <v>305</v>
      </c>
      <c r="T286" s="201" t="s">
        <v>301</v>
      </c>
      <c r="U286" s="205" t="s">
        <v>301</v>
      </c>
    </row>
    <row r="287" spans="1:21" x14ac:dyDescent="0.35">
      <c r="A287" s="204" t="s">
        <v>702</v>
      </c>
      <c r="B287" s="441" t="s">
        <v>828</v>
      </c>
      <c r="C287" s="442"/>
      <c r="D287" s="443"/>
      <c r="E287" s="201" t="s">
        <v>437</v>
      </c>
      <c r="F287" s="201" t="s">
        <v>437</v>
      </c>
      <c r="G287" s="201" t="s">
        <v>456</v>
      </c>
      <c r="H287" s="201" t="s">
        <v>299</v>
      </c>
      <c r="I287" s="201" t="s">
        <v>300</v>
      </c>
      <c r="J287" s="201" t="s">
        <v>299</v>
      </c>
      <c r="K287" s="202">
        <v>357000000</v>
      </c>
      <c r="L287" s="202">
        <v>357000000</v>
      </c>
      <c r="M287" s="201" t="s">
        <v>301</v>
      </c>
      <c r="N287" s="201" t="s">
        <v>299</v>
      </c>
      <c r="O287" s="203"/>
      <c r="P287" s="201" t="s">
        <v>355</v>
      </c>
      <c r="Q287" s="201" t="s">
        <v>820</v>
      </c>
      <c r="R287" s="201" t="s">
        <v>304</v>
      </c>
      <c r="S287" s="201" t="s">
        <v>305</v>
      </c>
      <c r="T287" s="201" t="s">
        <v>301</v>
      </c>
      <c r="U287" s="205" t="s">
        <v>301</v>
      </c>
    </row>
    <row r="288" spans="1:21" x14ac:dyDescent="0.35">
      <c r="A288" s="204" t="s">
        <v>829</v>
      </c>
      <c r="B288" s="441" t="s">
        <v>830</v>
      </c>
      <c r="C288" s="442"/>
      <c r="D288" s="443"/>
      <c r="E288" s="201" t="s">
        <v>319</v>
      </c>
      <c r="F288" s="201" t="s">
        <v>319</v>
      </c>
      <c r="G288" s="201" t="s">
        <v>354</v>
      </c>
      <c r="H288" s="201" t="s">
        <v>299</v>
      </c>
      <c r="I288" s="201" t="s">
        <v>300</v>
      </c>
      <c r="J288" s="201" t="s">
        <v>299</v>
      </c>
      <c r="K288" s="202">
        <v>52937150</v>
      </c>
      <c r="L288" s="202">
        <v>52937150</v>
      </c>
      <c r="M288" s="201" t="s">
        <v>301</v>
      </c>
      <c r="N288" s="201" t="s">
        <v>299</v>
      </c>
      <c r="O288" s="203"/>
      <c r="P288" s="201" t="s">
        <v>355</v>
      </c>
      <c r="Q288" s="201" t="s">
        <v>820</v>
      </c>
      <c r="R288" s="201" t="s">
        <v>304</v>
      </c>
      <c r="S288" s="201" t="s">
        <v>305</v>
      </c>
      <c r="T288" s="201" t="s">
        <v>301</v>
      </c>
      <c r="U288" s="205" t="s">
        <v>301</v>
      </c>
    </row>
    <row r="289" spans="1:21" x14ac:dyDescent="0.35">
      <c r="A289" s="204" t="s">
        <v>831</v>
      </c>
      <c r="B289" s="441" t="s">
        <v>832</v>
      </c>
      <c r="C289" s="442"/>
      <c r="D289" s="443"/>
      <c r="E289" s="201" t="s">
        <v>437</v>
      </c>
      <c r="F289" s="201" t="s">
        <v>437</v>
      </c>
      <c r="G289" s="201" t="s">
        <v>310</v>
      </c>
      <c r="H289" s="201" t="s">
        <v>299</v>
      </c>
      <c r="I289" s="201" t="s">
        <v>300</v>
      </c>
      <c r="J289" s="201" t="s">
        <v>299</v>
      </c>
      <c r="K289" s="202">
        <v>18082859</v>
      </c>
      <c r="L289" s="202">
        <v>18082859</v>
      </c>
      <c r="M289" s="201" t="s">
        <v>301</v>
      </c>
      <c r="N289" s="201" t="s">
        <v>299</v>
      </c>
      <c r="O289" s="203"/>
      <c r="P289" s="201" t="s">
        <v>355</v>
      </c>
      <c r="Q289" s="201" t="s">
        <v>833</v>
      </c>
      <c r="R289" s="201" t="s">
        <v>304</v>
      </c>
      <c r="S289" s="201" t="s">
        <v>305</v>
      </c>
      <c r="T289" s="201" t="s">
        <v>301</v>
      </c>
      <c r="U289" s="205" t="s">
        <v>301</v>
      </c>
    </row>
    <row r="290" spans="1:21" x14ac:dyDescent="0.35">
      <c r="A290" s="204" t="s">
        <v>834</v>
      </c>
      <c r="B290" s="441" t="s">
        <v>835</v>
      </c>
      <c r="C290" s="442"/>
      <c r="D290" s="443"/>
      <c r="E290" s="201" t="s">
        <v>488</v>
      </c>
      <c r="F290" s="201" t="s">
        <v>488</v>
      </c>
      <c r="G290" s="201" t="s">
        <v>310</v>
      </c>
      <c r="H290" s="201" t="s">
        <v>299</v>
      </c>
      <c r="I290" s="201" t="s">
        <v>300</v>
      </c>
      <c r="J290" s="201" t="s">
        <v>299</v>
      </c>
      <c r="K290" s="202">
        <v>9996000</v>
      </c>
      <c r="L290" s="202">
        <v>9996000</v>
      </c>
      <c r="M290" s="201" t="s">
        <v>301</v>
      </c>
      <c r="N290" s="201" t="s">
        <v>299</v>
      </c>
      <c r="O290" s="203"/>
      <c r="P290" s="201" t="s">
        <v>355</v>
      </c>
      <c r="Q290" s="201" t="s">
        <v>823</v>
      </c>
      <c r="R290" s="201" t="s">
        <v>304</v>
      </c>
      <c r="S290" s="201" t="s">
        <v>305</v>
      </c>
      <c r="T290" s="201" t="s">
        <v>301</v>
      </c>
      <c r="U290" s="205" t="s">
        <v>301</v>
      </c>
    </row>
    <row r="291" spans="1:21" x14ac:dyDescent="0.35">
      <c r="A291" s="204" t="s">
        <v>727</v>
      </c>
      <c r="B291" s="441" t="s">
        <v>836</v>
      </c>
      <c r="C291" s="442"/>
      <c r="D291" s="443"/>
      <c r="E291" s="201" t="s">
        <v>432</v>
      </c>
      <c r="F291" s="201" t="s">
        <v>432</v>
      </c>
      <c r="G291" s="201" t="s">
        <v>414</v>
      </c>
      <c r="H291" s="201" t="s">
        <v>299</v>
      </c>
      <c r="I291" s="201" t="s">
        <v>300</v>
      </c>
      <c r="J291" s="201" t="s">
        <v>299</v>
      </c>
      <c r="K291" s="202">
        <v>95200000</v>
      </c>
      <c r="L291" s="202">
        <v>95200000</v>
      </c>
      <c r="M291" s="201" t="s">
        <v>301</v>
      </c>
      <c r="N291" s="201" t="s">
        <v>299</v>
      </c>
      <c r="O291" s="203"/>
      <c r="P291" s="201" t="s">
        <v>355</v>
      </c>
      <c r="Q291" s="201" t="s">
        <v>820</v>
      </c>
      <c r="R291" s="201" t="s">
        <v>304</v>
      </c>
      <c r="S291" s="201" t="s">
        <v>305</v>
      </c>
      <c r="T291" s="201" t="s">
        <v>301</v>
      </c>
      <c r="U291" s="205" t="s">
        <v>301</v>
      </c>
    </row>
    <row r="292" spans="1:21" x14ac:dyDescent="0.35">
      <c r="A292" s="204" t="s">
        <v>727</v>
      </c>
      <c r="B292" s="441" t="s">
        <v>837</v>
      </c>
      <c r="C292" s="442"/>
      <c r="D292" s="443"/>
      <c r="E292" s="201" t="s">
        <v>488</v>
      </c>
      <c r="F292" s="201" t="s">
        <v>488</v>
      </c>
      <c r="G292" s="201" t="s">
        <v>414</v>
      </c>
      <c r="H292" s="201" t="s">
        <v>299</v>
      </c>
      <c r="I292" s="201" t="s">
        <v>300</v>
      </c>
      <c r="J292" s="201" t="s">
        <v>299</v>
      </c>
      <c r="K292" s="202">
        <v>38734500</v>
      </c>
      <c r="L292" s="202">
        <v>38734500</v>
      </c>
      <c r="M292" s="201" t="s">
        <v>301</v>
      </c>
      <c r="N292" s="201" t="s">
        <v>299</v>
      </c>
      <c r="O292" s="203"/>
      <c r="P292" s="201" t="s">
        <v>355</v>
      </c>
      <c r="Q292" s="201" t="s">
        <v>820</v>
      </c>
      <c r="R292" s="201" t="s">
        <v>304</v>
      </c>
      <c r="S292" s="201" t="s">
        <v>305</v>
      </c>
      <c r="T292" s="201" t="s">
        <v>301</v>
      </c>
      <c r="U292" s="205" t="s">
        <v>301</v>
      </c>
    </row>
    <row r="293" spans="1:21" x14ac:dyDescent="0.35">
      <c r="A293" s="204" t="s">
        <v>838</v>
      </c>
      <c r="B293" s="441" t="s">
        <v>839</v>
      </c>
      <c r="C293" s="442"/>
      <c r="D293" s="443"/>
      <c r="E293" s="201" t="s">
        <v>432</v>
      </c>
      <c r="F293" s="201" t="s">
        <v>432</v>
      </c>
      <c r="G293" s="201" t="s">
        <v>354</v>
      </c>
      <c r="H293" s="201" t="s">
        <v>299</v>
      </c>
      <c r="I293" s="201" t="s">
        <v>300</v>
      </c>
      <c r="J293" s="201" t="s">
        <v>299</v>
      </c>
      <c r="K293" s="202">
        <v>178500000</v>
      </c>
      <c r="L293" s="202">
        <v>178500000</v>
      </c>
      <c r="M293" s="201" t="s">
        <v>301</v>
      </c>
      <c r="N293" s="201" t="s">
        <v>299</v>
      </c>
      <c r="O293" s="203"/>
      <c r="P293" s="201" t="s">
        <v>355</v>
      </c>
      <c r="Q293" s="201" t="s">
        <v>820</v>
      </c>
      <c r="R293" s="201" t="s">
        <v>304</v>
      </c>
      <c r="S293" s="201" t="s">
        <v>305</v>
      </c>
      <c r="T293" s="201" t="s">
        <v>301</v>
      </c>
      <c r="U293" s="205" t="s">
        <v>301</v>
      </c>
    </row>
    <row r="294" spans="1:21" x14ac:dyDescent="0.35">
      <c r="A294" s="204" t="s">
        <v>727</v>
      </c>
      <c r="B294" s="441" t="s">
        <v>840</v>
      </c>
      <c r="C294" s="442"/>
      <c r="D294" s="443"/>
      <c r="E294" s="201" t="s">
        <v>432</v>
      </c>
      <c r="F294" s="201" t="s">
        <v>432</v>
      </c>
      <c r="G294" s="201" t="s">
        <v>606</v>
      </c>
      <c r="H294" s="201" t="s">
        <v>299</v>
      </c>
      <c r="I294" s="201" t="s">
        <v>300</v>
      </c>
      <c r="J294" s="201" t="s">
        <v>299</v>
      </c>
      <c r="K294" s="202">
        <v>595000000</v>
      </c>
      <c r="L294" s="202">
        <v>595000000</v>
      </c>
      <c r="M294" s="201" t="s">
        <v>301</v>
      </c>
      <c r="N294" s="201" t="s">
        <v>299</v>
      </c>
      <c r="O294" s="203"/>
      <c r="P294" s="201" t="s">
        <v>355</v>
      </c>
      <c r="Q294" s="201" t="s">
        <v>820</v>
      </c>
      <c r="R294" s="201" t="s">
        <v>304</v>
      </c>
      <c r="S294" s="201" t="s">
        <v>305</v>
      </c>
      <c r="T294" s="201" t="s">
        <v>301</v>
      </c>
      <c r="U294" s="205" t="s">
        <v>301</v>
      </c>
    </row>
    <row r="295" spans="1:21" x14ac:dyDescent="0.35">
      <c r="A295" s="204" t="s">
        <v>841</v>
      </c>
      <c r="B295" s="441" t="s">
        <v>842</v>
      </c>
      <c r="C295" s="442"/>
      <c r="D295" s="443"/>
      <c r="E295" s="201" t="s">
        <v>432</v>
      </c>
      <c r="F295" s="201" t="s">
        <v>432</v>
      </c>
      <c r="G295" s="201" t="s">
        <v>310</v>
      </c>
      <c r="H295" s="201" t="s">
        <v>299</v>
      </c>
      <c r="I295" s="201" t="s">
        <v>300</v>
      </c>
      <c r="J295" s="201" t="s">
        <v>299</v>
      </c>
      <c r="K295" s="202">
        <v>943127223</v>
      </c>
      <c r="L295" s="202">
        <v>699900</v>
      </c>
      <c r="M295" s="201" t="s">
        <v>301</v>
      </c>
      <c r="N295" s="201" t="s">
        <v>301</v>
      </c>
      <c r="O295" s="203"/>
      <c r="P295" s="201" t="s">
        <v>355</v>
      </c>
      <c r="Q295" s="201" t="s">
        <v>843</v>
      </c>
      <c r="R295" s="201" t="s">
        <v>304</v>
      </c>
      <c r="S295" s="201" t="s">
        <v>305</v>
      </c>
      <c r="T295" s="201" t="s">
        <v>301</v>
      </c>
      <c r="U295" s="205" t="s">
        <v>301</v>
      </c>
    </row>
    <row r="296" spans="1:21" x14ac:dyDescent="0.35">
      <c r="A296" s="204" t="s">
        <v>844</v>
      </c>
      <c r="B296" s="441" t="s">
        <v>845</v>
      </c>
      <c r="C296" s="442"/>
      <c r="D296" s="443"/>
      <c r="E296" s="201" t="s">
        <v>432</v>
      </c>
      <c r="F296" s="201" t="s">
        <v>432</v>
      </c>
      <c r="G296" s="201" t="s">
        <v>310</v>
      </c>
      <c r="H296" s="201" t="s">
        <v>299</v>
      </c>
      <c r="I296" s="201" t="s">
        <v>300</v>
      </c>
      <c r="J296" s="201" t="s">
        <v>299</v>
      </c>
      <c r="K296" s="202">
        <v>14418232</v>
      </c>
      <c r="L296" s="202">
        <v>14418232</v>
      </c>
      <c r="M296" s="201" t="s">
        <v>301</v>
      </c>
      <c r="N296" s="201" t="s">
        <v>299</v>
      </c>
      <c r="O296" s="203"/>
      <c r="P296" s="201" t="s">
        <v>355</v>
      </c>
      <c r="Q296" s="201" t="s">
        <v>846</v>
      </c>
      <c r="R296" s="201" t="s">
        <v>304</v>
      </c>
      <c r="S296" s="201" t="s">
        <v>305</v>
      </c>
      <c r="T296" s="201" t="s">
        <v>301</v>
      </c>
      <c r="U296" s="205" t="s">
        <v>301</v>
      </c>
    </row>
    <row r="297" spans="1:21" x14ac:dyDescent="0.35">
      <c r="A297" s="204" t="s">
        <v>844</v>
      </c>
      <c r="B297" s="441" t="s">
        <v>847</v>
      </c>
      <c r="C297" s="442"/>
      <c r="D297" s="443"/>
      <c r="E297" s="201" t="s">
        <v>405</v>
      </c>
      <c r="F297" s="201" t="s">
        <v>405</v>
      </c>
      <c r="G297" s="201" t="s">
        <v>310</v>
      </c>
      <c r="H297" s="201" t="s">
        <v>299</v>
      </c>
      <c r="I297" s="201" t="s">
        <v>300</v>
      </c>
      <c r="J297" s="201" t="s">
        <v>299</v>
      </c>
      <c r="K297" s="202">
        <v>38080000</v>
      </c>
      <c r="L297" s="202">
        <v>38080000</v>
      </c>
      <c r="M297" s="201" t="s">
        <v>301</v>
      </c>
      <c r="N297" s="201" t="s">
        <v>299</v>
      </c>
      <c r="O297" s="203"/>
      <c r="P297" s="201" t="s">
        <v>355</v>
      </c>
      <c r="Q297" s="201" t="s">
        <v>848</v>
      </c>
      <c r="R297" s="201" t="s">
        <v>304</v>
      </c>
      <c r="S297" s="201" t="s">
        <v>305</v>
      </c>
      <c r="T297" s="201" t="s">
        <v>301</v>
      </c>
      <c r="U297" s="205" t="s">
        <v>301</v>
      </c>
    </row>
    <row r="298" spans="1:21" x14ac:dyDescent="0.35">
      <c r="A298" s="204" t="s">
        <v>841</v>
      </c>
      <c r="B298" s="441" t="s">
        <v>849</v>
      </c>
      <c r="C298" s="442"/>
      <c r="D298" s="443"/>
      <c r="E298" s="201" t="s">
        <v>405</v>
      </c>
      <c r="F298" s="201" t="s">
        <v>405</v>
      </c>
      <c r="G298" s="201" t="s">
        <v>310</v>
      </c>
      <c r="H298" s="201" t="s">
        <v>299</v>
      </c>
      <c r="I298" s="201" t="s">
        <v>300</v>
      </c>
      <c r="J298" s="201" t="s">
        <v>299</v>
      </c>
      <c r="K298" s="202">
        <v>15528697</v>
      </c>
      <c r="L298" s="202">
        <v>15528697</v>
      </c>
      <c r="M298" s="201" t="s">
        <v>301</v>
      </c>
      <c r="N298" s="201" t="s">
        <v>299</v>
      </c>
      <c r="O298" s="203"/>
      <c r="P298" s="201" t="s">
        <v>355</v>
      </c>
      <c r="Q298" s="201" t="s">
        <v>850</v>
      </c>
      <c r="R298" s="201" t="s">
        <v>304</v>
      </c>
      <c r="S298" s="201" t="s">
        <v>305</v>
      </c>
      <c r="T298" s="201" t="s">
        <v>301</v>
      </c>
      <c r="U298" s="205" t="s">
        <v>301</v>
      </c>
    </row>
    <row r="299" spans="1:21" x14ac:dyDescent="0.35">
      <c r="A299" s="204" t="s">
        <v>851</v>
      </c>
      <c r="B299" s="441" t="s">
        <v>852</v>
      </c>
      <c r="C299" s="442"/>
      <c r="D299" s="443"/>
      <c r="E299" s="201" t="s">
        <v>488</v>
      </c>
      <c r="F299" s="201" t="s">
        <v>488</v>
      </c>
      <c r="G299" s="201" t="s">
        <v>310</v>
      </c>
      <c r="H299" s="201" t="s">
        <v>299</v>
      </c>
      <c r="I299" s="201" t="s">
        <v>300</v>
      </c>
      <c r="J299" s="201" t="s">
        <v>299</v>
      </c>
      <c r="K299" s="202">
        <v>3568572</v>
      </c>
      <c r="L299" s="202">
        <v>3568572</v>
      </c>
      <c r="M299" s="201" t="s">
        <v>301</v>
      </c>
      <c r="N299" s="201" t="s">
        <v>299</v>
      </c>
      <c r="O299" s="203"/>
      <c r="P299" s="201" t="s">
        <v>355</v>
      </c>
      <c r="Q299" s="201" t="s">
        <v>850</v>
      </c>
      <c r="R299" s="201" t="s">
        <v>304</v>
      </c>
      <c r="S299" s="201" t="s">
        <v>305</v>
      </c>
      <c r="T299" s="201" t="s">
        <v>301</v>
      </c>
      <c r="U299" s="205" t="s">
        <v>301</v>
      </c>
    </row>
    <row r="300" spans="1:21" x14ac:dyDescent="0.35">
      <c r="A300" s="204" t="s">
        <v>805</v>
      </c>
      <c r="B300" s="441" t="s">
        <v>853</v>
      </c>
      <c r="C300" s="442"/>
      <c r="D300" s="443"/>
      <c r="E300" s="201" t="s">
        <v>297</v>
      </c>
      <c r="F300" s="201" t="s">
        <v>297</v>
      </c>
      <c r="G300" s="201" t="s">
        <v>854</v>
      </c>
      <c r="H300" s="201" t="s">
        <v>299</v>
      </c>
      <c r="I300" s="201" t="s">
        <v>300</v>
      </c>
      <c r="J300" s="201" t="s">
        <v>299</v>
      </c>
      <c r="K300" s="202">
        <v>22151009847</v>
      </c>
      <c r="L300" s="202">
        <v>8649128379</v>
      </c>
      <c r="M300" s="201" t="s">
        <v>301</v>
      </c>
      <c r="N300" s="201" t="s">
        <v>301</v>
      </c>
      <c r="O300" s="203"/>
      <c r="P300" s="201" t="s">
        <v>355</v>
      </c>
      <c r="Q300" s="201" t="s">
        <v>855</v>
      </c>
      <c r="R300" s="201" t="s">
        <v>304</v>
      </c>
      <c r="S300" s="201" t="s">
        <v>305</v>
      </c>
      <c r="T300" s="201" t="s">
        <v>301</v>
      </c>
      <c r="U300" s="205" t="s">
        <v>301</v>
      </c>
    </row>
    <row r="301" spans="1:21" x14ac:dyDescent="0.35">
      <c r="A301" s="204" t="s">
        <v>841</v>
      </c>
      <c r="B301" s="441" t="s">
        <v>856</v>
      </c>
      <c r="C301" s="442"/>
      <c r="D301" s="443"/>
      <c r="E301" s="201" t="s">
        <v>327</v>
      </c>
      <c r="F301" s="201" t="s">
        <v>327</v>
      </c>
      <c r="G301" s="201" t="s">
        <v>468</v>
      </c>
      <c r="H301" s="201" t="s">
        <v>299</v>
      </c>
      <c r="I301" s="201" t="s">
        <v>300</v>
      </c>
      <c r="J301" s="201" t="s">
        <v>299</v>
      </c>
      <c r="K301" s="202">
        <v>11250493240</v>
      </c>
      <c r="L301" s="202">
        <v>2026297240</v>
      </c>
      <c r="M301" s="201" t="s">
        <v>301</v>
      </c>
      <c r="N301" s="201" t="s">
        <v>301</v>
      </c>
      <c r="O301" s="203"/>
      <c r="P301" s="201" t="s">
        <v>355</v>
      </c>
      <c r="Q301" s="201" t="s">
        <v>846</v>
      </c>
      <c r="R301" s="201" t="s">
        <v>304</v>
      </c>
      <c r="S301" s="201" t="s">
        <v>305</v>
      </c>
      <c r="T301" s="201" t="s">
        <v>301</v>
      </c>
      <c r="U301" s="205" t="s">
        <v>301</v>
      </c>
    </row>
    <row r="302" spans="1:21" x14ac:dyDescent="0.35">
      <c r="A302" s="204" t="s">
        <v>805</v>
      </c>
      <c r="B302" s="441" t="s">
        <v>857</v>
      </c>
      <c r="C302" s="442"/>
      <c r="D302" s="443"/>
      <c r="E302" s="201" t="s">
        <v>437</v>
      </c>
      <c r="F302" s="201" t="s">
        <v>437</v>
      </c>
      <c r="G302" s="201" t="s">
        <v>310</v>
      </c>
      <c r="H302" s="201" t="s">
        <v>299</v>
      </c>
      <c r="I302" s="201" t="s">
        <v>300</v>
      </c>
      <c r="J302" s="201" t="s">
        <v>299</v>
      </c>
      <c r="K302" s="202">
        <v>1262780400</v>
      </c>
      <c r="L302" s="202">
        <v>1262780400</v>
      </c>
      <c r="M302" s="201" t="s">
        <v>301</v>
      </c>
      <c r="N302" s="201" t="s">
        <v>299</v>
      </c>
      <c r="O302" s="203"/>
      <c r="P302" s="201" t="s">
        <v>355</v>
      </c>
      <c r="Q302" s="201" t="s">
        <v>858</v>
      </c>
      <c r="R302" s="201" t="s">
        <v>304</v>
      </c>
      <c r="S302" s="201" t="s">
        <v>305</v>
      </c>
      <c r="T302" s="201" t="s">
        <v>301</v>
      </c>
      <c r="U302" s="205" t="s">
        <v>301</v>
      </c>
    </row>
    <row r="303" spans="1:21" x14ac:dyDescent="0.35">
      <c r="A303" s="204" t="s">
        <v>859</v>
      </c>
      <c r="B303" s="441" t="s">
        <v>860</v>
      </c>
      <c r="C303" s="442"/>
      <c r="D303" s="443"/>
      <c r="E303" s="201" t="s">
        <v>327</v>
      </c>
      <c r="F303" s="201" t="s">
        <v>327</v>
      </c>
      <c r="G303" s="201" t="s">
        <v>854</v>
      </c>
      <c r="H303" s="201" t="s">
        <v>299</v>
      </c>
      <c r="I303" s="201" t="s">
        <v>300</v>
      </c>
      <c r="J303" s="201" t="s">
        <v>299</v>
      </c>
      <c r="K303" s="202">
        <v>7181326320</v>
      </c>
      <c r="L303" s="202">
        <v>1566598320</v>
      </c>
      <c r="M303" s="201" t="s">
        <v>301</v>
      </c>
      <c r="N303" s="201" t="s">
        <v>301</v>
      </c>
      <c r="O303" s="203"/>
      <c r="P303" s="201" t="s">
        <v>355</v>
      </c>
      <c r="Q303" s="201" t="s">
        <v>861</v>
      </c>
      <c r="R303" s="201" t="s">
        <v>304</v>
      </c>
      <c r="S303" s="201" t="s">
        <v>305</v>
      </c>
      <c r="T303" s="201" t="s">
        <v>301</v>
      </c>
      <c r="U303" s="205" t="s">
        <v>301</v>
      </c>
    </row>
    <row r="304" spans="1:21" x14ac:dyDescent="0.35">
      <c r="A304" s="204" t="s">
        <v>392</v>
      </c>
      <c r="B304" s="441" t="s">
        <v>862</v>
      </c>
      <c r="C304" s="442"/>
      <c r="D304" s="443"/>
      <c r="E304" s="201" t="s">
        <v>488</v>
      </c>
      <c r="F304" s="201" t="s">
        <v>488</v>
      </c>
      <c r="G304" s="201" t="s">
        <v>310</v>
      </c>
      <c r="H304" s="201" t="s">
        <v>299</v>
      </c>
      <c r="I304" s="201" t="s">
        <v>300</v>
      </c>
      <c r="J304" s="201" t="s">
        <v>299</v>
      </c>
      <c r="K304" s="202">
        <v>800000000</v>
      </c>
      <c r="L304" s="202">
        <v>800000000</v>
      </c>
      <c r="M304" s="201" t="s">
        <v>301</v>
      </c>
      <c r="N304" s="201" t="s">
        <v>299</v>
      </c>
      <c r="O304" s="203"/>
      <c r="P304" s="201" t="s">
        <v>355</v>
      </c>
      <c r="Q304" s="201" t="s">
        <v>863</v>
      </c>
      <c r="R304" s="201" t="s">
        <v>304</v>
      </c>
      <c r="S304" s="201" t="s">
        <v>305</v>
      </c>
      <c r="T304" s="201" t="s">
        <v>301</v>
      </c>
      <c r="U304" s="205" t="s">
        <v>301</v>
      </c>
    </row>
    <row r="305" spans="1:21" x14ac:dyDescent="0.35">
      <c r="A305" s="204" t="s">
        <v>727</v>
      </c>
      <c r="B305" s="441" t="s">
        <v>864</v>
      </c>
      <c r="C305" s="442"/>
      <c r="D305" s="443"/>
      <c r="E305" s="201" t="s">
        <v>488</v>
      </c>
      <c r="F305" s="201" t="s">
        <v>488</v>
      </c>
      <c r="G305" s="201" t="s">
        <v>310</v>
      </c>
      <c r="H305" s="201" t="s">
        <v>299</v>
      </c>
      <c r="I305" s="201" t="s">
        <v>300</v>
      </c>
      <c r="J305" s="201" t="s">
        <v>299</v>
      </c>
      <c r="K305" s="202">
        <v>761600000</v>
      </c>
      <c r="L305" s="202">
        <v>761600000</v>
      </c>
      <c r="M305" s="201" t="s">
        <v>301</v>
      </c>
      <c r="N305" s="201" t="s">
        <v>299</v>
      </c>
      <c r="O305" s="203"/>
      <c r="P305" s="201" t="s">
        <v>355</v>
      </c>
      <c r="Q305" s="201" t="s">
        <v>863</v>
      </c>
      <c r="R305" s="201" t="s">
        <v>304</v>
      </c>
      <c r="S305" s="201" t="s">
        <v>305</v>
      </c>
      <c r="T305" s="201" t="s">
        <v>301</v>
      </c>
      <c r="U305" s="205" t="s">
        <v>301</v>
      </c>
    </row>
    <row r="306" spans="1:21" x14ac:dyDescent="0.35">
      <c r="A306" s="204" t="s">
        <v>392</v>
      </c>
      <c r="B306" s="441" t="s">
        <v>865</v>
      </c>
      <c r="C306" s="442"/>
      <c r="D306" s="443"/>
      <c r="E306" s="201" t="s">
        <v>338</v>
      </c>
      <c r="F306" s="201" t="s">
        <v>338</v>
      </c>
      <c r="G306" s="201" t="s">
        <v>310</v>
      </c>
      <c r="H306" s="201" t="s">
        <v>299</v>
      </c>
      <c r="I306" s="201" t="s">
        <v>300</v>
      </c>
      <c r="J306" s="201" t="s">
        <v>299</v>
      </c>
      <c r="K306" s="202">
        <v>154700000</v>
      </c>
      <c r="L306" s="202">
        <v>154700000</v>
      </c>
      <c r="M306" s="201" t="s">
        <v>301</v>
      </c>
      <c r="N306" s="201" t="s">
        <v>299</v>
      </c>
      <c r="O306" s="203"/>
      <c r="P306" s="201" t="s">
        <v>355</v>
      </c>
      <c r="Q306" s="201" t="s">
        <v>863</v>
      </c>
      <c r="R306" s="201" t="s">
        <v>304</v>
      </c>
      <c r="S306" s="201" t="s">
        <v>305</v>
      </c>
      <c r="T306" s="201" t="s">
        <v>301</v>
      </c>
      <c r="U306" s="205" t="s">
        <v>301</v>
      </c>
    </row>
    <row r="307" spans="1:21" x14ac:dyDescent="0.35">
      <c r="A307" s="204" t="s">
        <v>392</v>
      </c>
      <c r="B307" s="441" t="s">
        <v>866</v>
      </c>
      <c r="C307" s="442"/>
      <c r="D307" s="443"/>
      <c r="E307" s="201" t="s">
        <v>327</v>
      </c>
      <c r="F307" s="201" t="s">
        <v>327</v>
      </c>
      <c r="G307" s="201" t="s">
        <v>461</v>
      </c>
      <c r="H307" s="201" t="s">
        <v>299</v>
      </c>
      <c r="I307" s="201" t="s">
        <v>300</v>
      </c>
      <c r="J307" s="201" t="s">
        <v>299</v>
      </c>
      <c r="K307" s="202">
        <v>3125215791</v>
      </c>
      <c r="L307" s="202">
        <v>734986168</v>
      </c>
      <c r="M307" s="201" t="s">
        <v>301</v>
      </c>
      <c r="N307" s="201" t="s">
        <v>301</v>
      </c>
      <c r="O307" s="203"/>
      <c r="P307" s="201" t="s">
        <v>355</v>
      </c>
      <c r="Q307" s="201" t="s">
        <v>867</v>
      </c>
      <c r="R307" s="201" t="s">
        <v>304</v>
      </c>
      <c r="S307" s="201" t="s">
        <v>305</v>
      </c>
      <c r="T307" s="201" t="s">
        <v>301</v>
      </c>
      <c r="U307" s="205" t="s">
        <v>301</v>
      </c>
    </row>
    <row r="308" spans="1:21" x14ac:dyDescent="0.35">
      <c r="A308" s="204" t="s">
        <v>868</v>
      </c>
      <c r="B308" s="441" t="s">
        <v>869</v>
      </c>
      <c r="C308" s="442"/>
      <c r="D308" s="443"/>
      <c r="E308" s="201" t="s">
        <v>327</v>
      </c>
      <c r="F308" s="201" t="s">
        <v>327</v>
      </c>
      <c r="G308" s="201" t="s">
        <v>854</v>
      </c>
      <c r="H308" s="201" t="s">
        <v>299</v>
      </c>
      <c r="I308" s="201" t="s">
        <v>300</v>
      </c>
      <c r="J308" s="201" t="s">
        <v>299</v>
      </c>
      <c r="K308" s="202">
        <v>3946896116</v>
      </c>
      <c r="L308" s="202">
        <v>787721100</v>
      </c>
      <c r="M308" s="201" t="s">
        <v>301</v>
      </c>
      <c r="N308" s="201" t="s">
        <v>301</v>
      </c>
      <c r="O308" s="203"/>
      <c r="P308" s="201" t="s">
        <v>355</v>
      </c>
      <c r="Q308" s="201" t="s">
        <v>870</v>
      </c>
      <c r="R308" s="201" t="s">
        <v>304</v>
      </c>
      <c r="S308" s="201" t="s">
        <v>305</v>
      </c>
      <c r="T308" s="201" t="s">
        <v>301</v>
      </c>
      <c r="U308" s="205" t="s">
        <v>301</v>
      </c>
    </row>
    <row r="309" spans="1:21" x14ac:dyDescent="0.35">
      <c r="A309" s="204" t="s">
        <v>844</v>
      </c>
      <c r="B309" s="441" t="s">
        <v>871</v>
      </c>
      <c r="C309" s="442"/>
      <c r="D309" s="443"/>
      <c r="E309" s="201" t="s">
        <v>313</v>
      </c>
      <c r="F309" s="201" t="s">
        <v>313</v>
      </c>
      <c r="G309" s="201" t="s">
        <v>854</v>
      </c>
      <c r="H309" s="201" t="s">
        <v>299</v>
      </c>
      <c r="I309" s="201" t="s">
        <v>300</v>
      </c>
      <c r="J309" s="201" t="s">
        <v>299</v>
      </c>
      <c r="K309" s="202">
        <v>172930000</v>
      </c>
      <c r="L309" s="202">
        <v>172930000</v>
      </c>
      <c r="M309" s="201" t="s">
        <v>301</v>
      </c>
      <c r="N309" s="201" t="s">
        <v>299</v>
      </c>
      <c r="O309" s="203"/>
      <c r="P309" s="201" t="s">
        <v>355</v>
      </c>
      <c r="Q309" s="201" t="s">
        <v>872</v>
      </c>
      <c r="R309" s="201" t="s">
        <v>304</v>
      </c>
      <c r="S309" s="201" t="s">
        <v>305</v>
      </c>
      <c r="T309" s="201" t="s">
        <v>301</v>
      </c>
      <c r="U309" s="205" t="s">
        <v>301</v>
      </c>
    </row>
    <row r="310" spans="1:21" x14ac:dyDescent="0.35">
      <c r="A310" s="204" t="s">
        <v>392</v>
      </c>
      <c r="B310" s="441" t="s">
        <v>873</v>
      </c>
      <c r="C310" s="442"/>
      <c r="D310" s="443"/>
      <c r="E310" s="201" t="s">
        <v>327</v>
      </c>
      <c r="F310" s="201" t="s">
        <v>327</v>
      </c>
      <c r="G310" s="201" t="s">
        <v>854</v>
      </c>
      <c r="H310" s="201" t="s">
        <v>299</v>
      </c>
      <c r="I310" s="201" t="s">
        <v>300</v>
      </c>
      <c r="J310" s="201" t="s">
        <v>299</v>
      </c>
      <c r="K310" s="202">
        <v>748174935</v>
      </c>
      <c r="L310" s="202">
        <v>252949993</v>
      </c>
      <c r="M310" s="201" t="s">
        <v>301</v>
      </c>
      <c r="N310" s="201" t="s">
        <v>301</v>
      </c>
      <c r="O310" s="203"/>
      <c r="P310" s="201" t="s">
        <v>355</v>
      </c>
      <c r="Q310" s="201" t="s">
        <v>874</v>
      </c>
      <c r="R310" s="201" t="s">
        <v>304</v>
      </c>
      <c r="S310" s="201" t="s">
        <v>305</v>
      </c>
      <c r="T310" s="201" t="s">
        <v>301</v>
      </c>
      <c r="U310" s="205" t="s">
        <v>301</v>
      </c>
    </row>
    <row r="311" spans="1:21" x14ac:dyDescent="0.35">
      <c r="A311" s="204" t="s">
        <v>844</v>
      </c>
      <c r="B311" s="441" t="s">
        <v>875</v>
      </c>
      <c r="C311" s="442"/>
      <c r="D311" s="443"/>
      <c r="E311" s="201" t="s">
        <v>488</v>
      </c>
      <c r="F311" s="201" t="s">
        <v>488</v>
      </c>
      <c r="G311" s="201" t="s">
        <v>310</v>
      </c>
      <c r="H311" s="201" t="s">
        <v>299</v>
      </c>
      <c r="I311" s="201" t="s">
        <v>300</v>
      </c>
      <c r="J311" s="201" t="s">
        <v>299</v>
      </c>
      <c r="K311" s="202">
        <v>354482681</v>
      </c>
      <c r="L311" s="202">
        <v>56598075</v>
      </c>
      <c r="M311" s="201" t="s">
        <v>301</v>
      </c>
      <c r="N311" s="201" t="s">
        <v>301</v>
      </c>
      <c r="O311" s="203"/>
      <c r="P311" s="201" t="s">
        <v>355</v>
      </c>
      <c r="Q311" s="201" t="s">
        <v>876</v>
      </c>
      <c r="R311" s="201" t="s">
        <v>304</v>
      </c>
      <c r="S311" s="201" t="s">
        <v>305</v>
      </c>
      <c r="T311" s="201" t="s">
        <v>301</v>
      </c>
      <c r="U311" s="205" t="s">
        <v>301</v>
      </c>
    </row>
    <row r="312" spans="1:21" x14ac:dyDescent="0.35">
      <c r="A312" s="204" t="s">
        <v>841</v>
      </c>
      <c r="B312" s="441" t="s">
        <v>877</v>
      </c>
      <c r="C312" s="442"/>
      <c r="D312" s="443"/>
      <c r="E312" s="201" t="s">
        <v>327</v>
      </c>
      <c r="F312" s="201" t="s">
        <v>327</v>
      </c>
      <c r="G312" s="201" t="s">
        <v>461</v>
      </c>
      <c r="H312" s="201" t="s">
        <v>299</v>
      </c>
      <c r="I312" s="201" t="s">
        <v>300</v>
      </c>
      <c r="J312" s="201" t="s">
        <v>299</v>
      </c>
      <c r="K312" s="202">
        <v>375650727</v>
      </c>
      <c r="L312" s="202">
        <v>209585847</v>
      </c>
      <c r="M312" s="201" t="s">
        <v>301</v>
      </c>
      <c r="N312" s="201" t="s">
        <v>301</v>
      </c>
      <c r="O312" s="203"/>
      <c r="P312" s="201" t="s">
        <v>355</v>
      </c>
      <c r="Q312" s="201" t="s">
        <v>878</v>
      </c>
      <c r="R312" s="201" t="s">
        <v>304</v>
      </c>
      <c r="S312" s="201" t="s">
        <v>305</v>
      </c>
      <c r="T312" s="201" t="s">
        <v>301</v>
      </c>
      <c r="U312" s="205" t="s">
        <v>301</v>
      </c>
    </row>
    <row r="313" spans="1:21" x14ac:dyDescent="0.35">
      <c r="A313" s="204" t="s">
        <v>841</v>
      </c>
      <c r="B313" s="441" t="s">
        <v>879</v>
      </c>
      <c r="C313" s="442"/>
      <c r="D313" s="443"/>
      <c r="E313" s="201" t="s">
        <v>313</v>
      </c>
      <c r="F313" s="201" t="s">
        <v>313</v>
      </c>
      <c r="G313" s="201" t="s">
        <v>310</v>
      </c>
      <c r="H313" s="201" t="s">
        <v>299</v>
      </c>
      <c r="I313" s="201" t="s">
        <v>300</v>
      </c>
      <c r="J313" s="201" t="s">
        <v>299</v>
      </c>
      <c r="K313" s="202">
        <v>116620000</v>
      </c>
      <c r="L313" s="202">
        <v>116620000</v>
      </c>
      <c r="M313" s="201" t="s">
        <v>301</v>
      </c>
      <c r="N313" s="201" t="s">
        <v>301</v>
      </c>
      <c r="O313" s="203"/>
      <c r="P313" s="201" t="s">
        <v>355</v>
      </c>
      <c r="Q313" s="201" t="s">
        <v>863</v>
      </c>
      <c r="R313" s="201" t="s">
        <v>304</v>
      </c>
      <c r="S313" s="201" t="s">
        <v>305</v>
      </c>
      <c r="T313" s="201" t="s">
        <v>301</v>
      </c>
      <c r="U313" s="205" t="s">
        <v>301</v>
      </c>
    </row>
    <row r="314" spans="1:21" x14ac:dyDescent="0.35">
      <c r="A314" s="204" t="s">
        <v>844</v>
      </c>
      <c r="B314" s="441" t="s">
        <v>880</v>
      </c>
      <c r="C314" s="442"/>
      <c r="D314" s="443"/>
      <c r="E314" s="201" t="s">
        <v>313</v>
      </c>
      <c r="F314" s="201" t="s">
        <v>313</v>
      </c>
      <c r="G314" s="201" t="s">
        <v>310</v>
      </c>
      <c r="H314" s="201" t="s">
        <v>299</v>
      </c>
      <c r="I314" s="201" t="s">
        <v>300</v>
      </c>
      <c r="J314" s="201" t="s">
        <v>299</v>
      </c>
      <c r="K314" s="202">
        <v>63000000</v>
      </c>
      <c r="L314" s="202">
        <v>63000000</v>
      </c>
      <c r="M314" s="201" t="s">
        <v>301</v>
      </c>
      <c r="N314" s="201" t="s">
        <v>301</v>
      </c>
      <c r="O314" s="203"/>
      <c r="P314" s="201" t="s">
        <v>355</v>
      </c>
      <c r="Q314" s="201" t="s">
        <v>876</v>
      </c>
      <c r="R314" s="201" t="s">
        <v>304</v>
      </c>
      <c r="S314" s="201" t="s">
        <v>305</v>
      </c>
      <c r="T314" s="201" t="s">
        <v>301</v>
      </c>
      <c r="U314" s="205" t="s">
        <v>301</v>
      </c>
    </row>
    <row r="315" spans="1:21" x14ac:dyDescent="0.35">
      <c r="A315" s="204" t="s">
        <v>841</v>
      </c>
      <c r="B315" s="441" t="s">
        <v>881</v>
      </c>
      <c r="C315" s="442"/>
      <c r="D315" s="443"/>
      <c r="E315" s="201" t="s">
        <v>297</v>
      </c>
      <c r="F315" s="201" t="s">
        <v>297</v>
      </c>
      <c r="G315" s="201" t="s">
        <v>310</v>
      </c>
      <c r="H315" s="201" t="s">
        <v>299</v>
      </c>
      <c r="I315" s="201" t="s">
        <v>300</v>
      </c>
      <c r="J315" s="201" t="s">
        <v>299</v>
      </c>
      <c r="K315" s="202">
        <v>59500000</v>
      </c>
      <c r="L315" s="202">
        <v>59500000</v>
      </c>
      <c r="M315" s="201" t="s">
        <v>301</v>
      </c>
      <c r="N315" s="201" t="s">
        <v>301</v>
      </c>
      <c r="O315" s="203"/>
      <c r="P315" s="201" t="s">
        <v>355</v>
      </c>
      <c r="Q315" s="201" t="s">
        <v>876</v>
      </c>
      <c r="R315" s="201" t="s">
        <v>304</v>
      </c>
      <c r="S315" s="201" t="s">
        <v>305</v>
      </c>
      <c r="T315" s="201" t="s">
        <v>301</v>
      </c>
      <c r="U315" s="205" t="s">
        <v>301</v>
      </c>
    </row>
    <row r="316" spans="1:21" x14ac:dyDescent="0.35">
      <c r="A316" s="204" t="s">
        <v>841</v>
      </c>
      <c r="B316" s="441" t="s">
        <v>882</v>
      </c>
      <c r="C316" s="442"/>
      <c r="D316" s="443"/>
      <c r="E316" s="201" t="s">
        <v>488</v>
      </c>
      <c r="F316" s="201" t="s">
        <v>488</v>
      </c>
      <c r="G316" s="201" t="s">
        <v>310</v>
      </c>
      <c r="H316" s="201" t="s">
        <v>299</v>
      </c>
      <c r="I316" s="201" t="s">
        <v>300</v>
      </c>
      <c r="J316" s="201" t="s">
        <v>299</v>
      </c>
      <c r="K316" s="202">
        <v>23193896</v>
      </c>
      <c r="L316" s="202">
        <v>23193896</v>
      </c>
      <c r="M316" s="201" t="s">
        <v>301</v>
      </c>
      <c r="N316" s="201" t="s">
        <v>301</v>
      </c>
      <c r="O316" s="203"/>
      <c r="P316" s="201" t="s">
        <v>355</v>
      </c>
      <c r="Q316" s="201" t="s">
        <v>883</v>
      </c>
      <c r="R316" s="201" t="s">
        <v>304</v>
      </c>
      <c r="S316" s="201" t="s">
        <v>305</v>
      </c>
      <c r="T316" s="201" t="s">
        <v>301</v>
      </c>
      <c r="U316" s="205" t="s">
        <v>301</v>
      </c>
    </row>
    <row r="317" spans="1:21" x14ac:dyDescent="0.35">
      <c r="A317" s="204" t="s">
        <v>841</v>
      </c>
      <c r="B317" s="441" t="s">
        <v>884</v>
      </c>
      <c r="C317" s="442"/>
      <c r="D317" s="443"/>
      <c r="E317" s="201" t="s">
        <v>488</v>
      </c>
      <c r="F317" s="201" t="s">
        <v>488</v>
      </c>
      <c r="G317" s="201" t="s">
        <v>310</v>
      </c>
      <c r="H317" s="201" t="s">
        <v>299</v>
      </c>
      <c r="I317" s="201" t="s">
        <v>300</v>
      </c>
      <c r="J317" s="201" t="s">
        <v>299</v>
      </c>
      <c r="K317" s="202">
        <v>11061726</v>
      </c>
      <c r="L317" s="202">
        <v>8273056</v>
      </c>
      <c r="M317" s="201" t="s">
        <v>301</v>
      </c>
      <c r="N317" s="201" t="s">
        <v>301</v>
      </c>
      <c r="O317" s="203"/>
      <c r="P317" s="201" t="s">
        <v>355</v>
      </c>
      <c r="Q317" s="201" t="s">
        <v>885</v>
      </c>
      <c r="R317" s="201" t="s">
        <v>304</v>
      </c>
      <c r="S317" s="201" t="s">
        <v>305</v>
      </c>
      <c r="T317" s="201" t="s">
        <v>301</v>
      </c>
      <c r="U317" s="205" t="s">
        <v>301</v>
      </c>
    </row>
    <row r="318" spans="1:21" x14ac:dyDescent="0.35">
      <c r="A318" s="204" t="s">
        <v>683</v>
      </c>
      <c r="B318" s="441" t="s">
        <v>886</v>
      </c>
      <c r="C318" s="442"/>
      <c r="D318" s="443"/>
      <c r="E318" s="201" t="s">
        <v>488</v>
      </c>
      <c r="F318" s="201" t="s">
        <v>488</v>
      </c>
      <c r="G318" s="201" t="s">
        <v>310</v>
      </c>
      <c r="H318" s="201" t="s">
        <v>299</v>
      </c>
      <c r="I318" s="201" t="s">
        <v>300</v>
      </c>
      <c r="J318" s="201" t="s">
        <v>299</v>
      </c>
      <c r="K318" s="202">
        <v>71400000</v>
      </c>
      <c r="L318" s="202">
        <v>21400000</v>
      </c>
      <c r="M318" s="201" t="s">
        <v>301</v>
      </c>
      <c r="N318" s="201" t="s">
        <v>301</v>
      </c>
      <c r="O318" s="203"/>
      <c r="P318" s="201" t="s">
        <v>355</v>
      </c>
      <c r="Q318" s="201" t="s">
        <v>685</v>
      </c>
      <c r="R318" s="201" t="s">
        <v>304</v>
      </c>
      <c r="S318" s="201" t="s">
        <v>305</v>
      </c>
      <c r="T318" s="201" t="s">
        <v>301</v>
      </c>
      <c r="U318" s="205" t="s">
        <v>301</v>
      </c>
    </row>
    <row r="319" spans="1:21" x14ac:dyDescent="0.35">
      <c r="A319" s="204" t="s">
        <v>887</v>
      </c>
      <c r="B319" s="441" t="s">
        <v>888</v>
      </c>
      <c r="C319" s="442"/>
      <c r="D319" s="443"/>
      <c r="E319" s="201" t="s">
        <v>297</v>
      </c>
      <c r="F319" s="201" t="s">
        <v>297</v>
      </c>
      <c r="G319" s="201" t="s">
        <v>647</v>
      </c>
      <c r="H319" s="201" t="s">
        <v>299</v>
      </c>
      <c r="I319" s="201" t="s">
        <v>300</v>
      </c>
      <c r="J319" s="201" t="s">
        <v>299</v>
      </c>
      <c r="K319" s="202">
        <v>89370596</v>
      </c>
      <c r="L319" s="202">
        <v>89370596</v>
      </c>
      <c r="M319" s="201" t="s">
        <v>301</v>
      </c>
      <c r="N319" s="201" t="s">
        <v>299</v>
      </c>
      <c r="O319" s="203"/>
      <c r="P319" s="201" t="s">
        <v>355</v>
      </c>
      <c r="Q319" s="201" t="s">
        <v>889</v>
      </c>
      <c r="R319" s="201" t="s">
        <v>304</v>
      </c>
      <c r="S319" s="201" t="s">
        <v>305</v>
      </c>
      <c r="T319" s="201" t="s">
        <v>301</v>
      </c>
      <c r="U319" s="205" t="s">
        <v>301</v>
      </c>
    </row>
    <row r="320" spans="1:21" ht="15" thickBot="1" x14ac:dyDescent="0.4">
      <c r="A320" s="206" t="s">
        <v>890</v>
      </c>
      <c r="B320" s="441" t="s">
        <v>891</v>
      </c>
      <c r="C320" s="442"/>
      <c r="D320" s="443"/>
      <c r="E320" s="207" t="s">
        <v>297</v>
      </c>
      <c r="F320" s="207" t="s">
        <v>297</v>
      </c>
      <c r="G320" s="207" t="s">
        <v>461</v>
      </c>
      <c r="H320" s="207" t="s">
        <v>299</v>
      </c>
      <c r="I320" s="207" t="s">
        <v>300</v>
      </c>
      <c r="J320" s="207" t="s">
        <v>299</v>
      </c>
      <c r="K320" s="208">
        <v>1029161523</v>
      </c>
      <c r="L320" s="208">
        <v>121077827</v>
      </c>
      <c r="M320" s="207" t="s">
        <v>301</v>
      </c>
      <c r="N320" s="207" t="s">
        <v>301</v>
      </c>
      <c r="O320" s="209"/>
      <c r="P320" s="207" t="s">
        <v>355</v>
      </c>
      <c r="Q320" s="207" t="s">
        <v>889</v>
      </c>
      <c r="R320" s="207" t="s">
        <v>304</v>
      </c>
      <c r="S320" s="207" t="s">
        <v>305</v>
      </c>
      <c r="T320" s="207" t="s">
        <v>301</v>
      </c>
      <c r="U320" s="210" t="s">
        <v>301</v>
      </c>
    </row>
  </sheetData>
  <mergeCells count="330">
    <mergeCell ref="B319:D319"/>
    <mergeCell ref="B320:D32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314:D314"/>
    <mergeCell ref="B315:D315"/>
    <mergeCell ref="B316:D316"/>
    <mergeCell ref="B317:D317"/>
    <mergeCell ref="B318:D318"/>
    <mergeCell ref="B309:D309"/>
    <mergeCell ref="B310:D310"/>
    <mergeCell ref="B311:D311"/>
    <mergeCell ref="B312:D312"/>
    <mergeCell ref="B313:D313"/>
    <mergeCell ref="B304:D304"/>
    <mergeCell ref="B305:D305"/>
    <mergeCell ref="B306:D306"/>
    <mergeCell ref="B307:D307"/>
    <mergeCell ref="B308:D308"/>
    <mergeCell ref="B299:D299"/>
    <mergeCell ref="B300:D300"/>
    <mergeCell ref="B301:D301"/>
    <mergeCell ref="B302:D302"/>
    <mergeCell ref="B303:D303"/>
    <mergeCell ref="B294:D294"/>
    <mergeCell ref="B295:D295"/>
    <mergeCell ref="B296:D296"/>
    <mergeCell ref="B297:D297"/>
    <mergeCell ref="B298:D298"/>
    <mergeCell ref="B289:D289"/>
    <mergeCell ref="B290:D290"/>
    <mergeCell ref="B291:D291"/>
    <mergeCell ref="B292:D292"/>
    <mergeCell ref="B293:D293"/>
    <mergeCell ref="B284:D284"/>
    <mergeCell ref="B285:D285"/>
    <mergeCell ref="B286:D286"/>
    <mergeCell ref="B287:D287"/>
    <mergeCell ref="B288:D288"/>
    <mergeCell ref="B279:D279"/>
    <mergeCell ref="B280:D280"/>
    <mergeCell ref="B281:D281"/>
    <mergeCell ref="B282:D282"/>
    <mergeCell ref="B283:D283"/>
    <mergeCell ref="B274:D274"/>
    <mergeCell ref="B275:D275"/>
    <mergeCell ref="B276:D276"/>
    <mergeCell ref="B277:D277"/>
    <mergeCell ref="B278:D278"/>
    <mergeCell ref="B269:D269"/>
    <mergeCell ref="B270:D270"/>
    <mergeCell ref="B271:D271"/>
    <mergeCell ref="B272:D272"/>
    <mergeCell ref="B273:D273"/>
    <mergeCell ref="B264:D264"/>
    <mergeCell ref="B265:D265"/>
    <mergeCell ref="B266:D266"/>
    <mergeCell ref="B267:D267"/>
    <mergeCell ref="B268:D268"/>
    <mergeCell ref="B259:D259"/>
    <mergeCell ref="B260:D260"/>
    <mergeCell ref="B261:D261"/>
    <mergeCell ref="B262:D262"/>
    <mergeCell ref="B263:D263"/>
    <mergeCell ref="B254:D254"/>
    <mergeCell ref="B255:D255"/>
    <mergeCell ref="B256:D256"/>
    <mergeCell ref="B257:D257"/>
    <mergeCell ref="B258:D258"/>
    <mergeCell ref="B249:D249"/>
    <mergeCell ref="B250:D250"/>
    <mergeCell ref="B251:D251"/>
    <mergeCell ref="B252:D252"/>
    <mergeCell ref="B253:D253"/>
    <mergeCell ref="B244:D244"/>
    <mergeCell ref="B245:D245"/>
    <mergeCell ref="B246:D246"/>
    <mergeCell ref="B247:D247"/>
    <mergeCell ref="B248:D248"/>
    <mergeCell ref="B239:D239"/>
    <mergeCell ref="B240:D240"/>
    <mergeCell ref="B241:D241"/>
    <mergeCell ref="B242:D242"/>
    <mergeCell ref="B243:D243"/>
    <mergeCell ref="B234:D234"/>
    <mergeCell ref="B235:D235"/>
    <mergeCell ref="B236:D236"/>
    <mergeCell ref="B237:D237"/>
    <mergeCell ref="B238:D238"/>
    <mergeCell ref="B229:D229"/>
    <mergeCell ref="B230:D230"/>
    <mergeCell ref="B231:D231"/>
    <mergeCell ref="B232:D232"/>
    <mergeCell ref="B233:D233"/>
    <mergeCell ref="B224:D224"/>
    <mergeCell ref="B225:D225"/>
    <mergeCell ref="B226:D226"/>
    <mergeCell ref="B227:D227"/>
    <mergeCell ref="B228:D228"/>
    <mergeCell ref="B219:D219"/>
    <mergeCell ref="B220:D220"/>
    <mergeCell ref="B221:D221"/>
    <mergeCell ref="B222:D222"/>
    <mergeCell ref="B223:D223"/>
    <mergeCell ref="B214:D214"/>
    <mergeCell ref="B215:D215"/>
    <mergeCell ref="B216:D216"/>
    <mergeCell ref="B217:D217"/>
    <mergeCell ref="B218:D218"/>
    <mergeCell ref="B209:D209"/>
    <mergeCell ref="B210:D210"/>
    <mergeCell ref="B211:D211"/>
    <mergeCell ref="B212:D212"/>
    <mergeCell ref="B213:D213"/>
    <mergeCell ref="B204:D204"/>
    <mergeCell ref="B205:D205"/>
    <mergeCell ref="B206:D206"/>
    <mergeCell ref="B207:D207"/>
    <mergeCell ref="B208:D208"/>
    <mergeCell ref="B199:D199"/>
    <mergeCell ref="B200:D200"/>
    <mergeCell ref="B201:D201"/>
    <mergeCell ref="B202:D202"/>
    <mergeCell ref="B203:D203"/>
    <mergeCell ref="B194:D194"/>
    <mergeCell ref="B195:D195"/>
    <mergeCell ref="B196:D196"/>
    <mergeCell ref="B197:D197"/>
    <mergeCell ref="B198:D198"/>
    <mergeCell ref="B189:D189"/>
    <mergeCell ref="B190:D190"/>
    <mergeCell ref="B191:D191"/>
    <mergeCell ref="B192:D192"/>
    <mergeCell ref="B193:D193"/>
    <mergeCell ref="B184:D184"/>
    <mergeCell ref="B185:D185"/>
    <mergeCell ref="B186:D186"/>
    <mergeCell ref="B187:D187"/>
    <mergeCell ref="B188:D188"/>
    <mergeCell ref="B179:D179"/>
    <mergeCell ref="B180:D180"/>
    <mergeCell ref="B181:D181"/>
    <mergeCell ref="B182:D182"/>
    <mergeCell ref="B183:D183"/>
    <mergeCell ref="B174:D174"/>
    <mergeCell ref="B175:D175"/>
    <mergeCell ref="B176:D176"/>
    <mergeCell ref="B177:D177"/>
    <mergeCell ref="B178:D178"/>
    <mergeCell ref="B169:D169"/>
    <mergeCell ref="B170:D170"/>
    <mergeCell ref="B171:D171"/>
    <mergeCell ref="B172:D172"/>
    <mergeCell ref="B173:D173"/>
    <mergeCell ref="B164:D164"/>
    <mergeCell ref="B165:D165"/>
    <mergeCell ref="B166:D166"/>
    <mergeCell ref="B167:D167"/>
    <mergeCell ref="B168:D168"/>
    <mergeCell ref="B159:D159"/>
    <mergeCell ref="B160:D160"/>
    <mergeCell ref="B161:D161"/>
    <mergeCell ref="B162:D162"/>
    <mergeCell ref="B163:D163"/>
    <mergeCell ref="B154:D154"/>
    <mergeCell ref="B155:D155"/>
    <mergeCell ref="B156:D156"/>
    <mergeCell ref="B157:D157"/>
    <mergeCell ref="B158:D158"/>
    <mergeCell ref="B149:D149"/>
    <mergeCell ref="B150:D150"/>
    <mergeCell ref="B151:D151"/>
    <mergeCell ref="B152:D152"/>
    <mergeCell ref="B153:D153"/>
    <mergeCell ref="B144:D144"/>
    <mergeCell ref="B145:D145"/>
    <mergeCell ref="B146:D146"/>
    <mergeCell ref="B147:D147"/>
    <mergeCell ref="B148:D148"/>
    <mergeCell ref="B139:D139"/>
    <mergeCell ref="B140:D140"/>
    <mergeCell ref="B141:D141"/>
    <mergeCell ref="B142:D142"/>
    <mergeCell ref="B143:D143"/>
    <mergeCell ref="B134:D134"/>
    <mergeCell ref="B135:D135"/>
    <mergeCell ref="B136:D136"/>
    <mergeCell ref="B137:D137"/>
    <mergeCell ref="B138:D138"/>
    <mergeCell ref="B129:D129"/>
    <mergeCell ref="B130:D130"/>
    <mergeCell ref="B131:D131"/>
    <mergeCell ref="B132:D132"/>
    <mergeCell ref="B133:D133"/>
    <mergeCell ref="B124:D124"/>
    <mergeCell ref="B125:D125"/>
    <mergeCell ref="B126:D126"/>
    <mergeCell ref="B127:D127"/>
    <mergeCell ref="B128:D128"/>
    <mergeCell ref="B119:D119"/>
    <mergeCell ref="B120:D120"/>
    <mergeCell ref="B121:D121"/>
    <mergeCell ref="B122:D122"/>
    <mergeCell ref="B123:D123"/>
    <mergeCell ref="B114:D114"/>
    <mergeCell ref="B115:D115"/>
    <mergeCell ref="B116:D116"/>
    <mergeCell ref="B117:D117"/>
    <mergeCell ref="B118:D118"/>
    <mergeCell ref="B109:D109"/>
    <mergeCell ref="B110:D110"/>
    <mergeCell ref="B111:D111"/>
    <mergeCell ref="B112:D112"/>
    <mergeCell ref="B113:D113"/>
    <mergeCell ref="B104:D104"/>
    <mergeCell ref="B105:D105"/>
    <mergeCell ref="B106:D106"/>
    <mergeCell ref="B107:D107"/>
    <mergeCell ref="B108:D108"/>
    <mergeCell ref="B99:D99"/>
    <mergeCell ref="B100:D100"/>
    <mergeCell ref="B101:D101"/>
    <mergeCell ref="B102:D102"/>
    <mergeCell ref="B103:D103"/>
    <mergeCell ref="B94:D94"/>
    <mergeCell ref="B95:D95"/>
    <mergeCell ref="B96:D96"/>
    <mergeCell ref="B97:D97"/>
    <mergeCell ref="B98:D98"/>
    <mergeCell ref="B89:D89"/>
    <mergeCell ref="B90:D90"/>
    <mergeCell ref="B91:D91"/>
    <mergeCell ref="B92:D92"/>
    <mergeCell ref="B93:D93"/>
    <mergeCell ref="B84:D84"/>
    <mergeCell ref="B85:D85"/>
    <mergeCell ref="B86:D86"/>
    <mergeCell ref="B87:D87"/>
    <mergeCell ref="B88:D88"/>
    <mergeCell ref="B79:D79"/>
    <mergeCell ref="B80:D80"/>
    <mergeCell ref="B81:D81"/>
    <mergeCell ref="B82:D82"/>
    <mergeCell ref="B83:D83"/>
    <mergeCell ref="B74:D74"/>
    <mergeCell ref="B75:D75"/>
    <mergeCell ref="B76:D76"/>
    <mergeCell ref="B77:D77"/>
    <mergeCell ref="B78:D78"/>
    <mergeCell ref="B69:D69"/>
    <mergeCell ref="B70:D70"/>
    <mergeCell ref="B71:D71"/>
    <mergeCell ref="B72:D72"/>
    <mergeCell ref="B73:D73"/>
    <mergeCell ref="B64:D64"/>
    <mergeCell ref="B65:D65"/>
    <mergeCell ref="B66:D66"/>
    <mergeCell ref="B67:D67"/>
    <mergeCell ref="B68:D68"/>
    <mergeCell ref="B59:D59"/>
    <mergeCell ref="B60:D60"/>
    <mergeCell ref="B61:D61"/>
    <mergeCell ref="B62:D62"/>
    <mergeCell ref="B63:D63"/>
    <mergeCell ref="B54:D54"/>
    <mergeCell ref="B55:D55"/>
    <mergeCell ref="B56:D56"/>
    <mergeCell ref="B57:D57"/>
    <mergeCell ref="B58:D58"/>
    <mergeCell ref="B49:D49"/>
    <mergeCell ref="B50:D50"/>
    <mergeCell ref="B51:D51"/>
    <mergeCell ref="B52:D52"/>
    <mergeCell ref="B53:D53"/>
    <mergeCell ref="B44:D44"/>
    <mergeCell ref="B45:D45"/>
    <mergeCell ref="B46:D46"/>
    <mergeCell ref="B47:D47"/>
    <mergeCell ref="B48:D48"/>
    <mergeCell ref="B39:D39"/>
    <mergeCell ref="B40:D40"/>
    <mergeCell ref="B41:D41"/>
    <mergeCell ref="B42:D42"/>
    <mergeCell ref="B43:D43"/>
    <mergeCell ref="B34:D34"/>
    <mergeCell ref="B35:D35"/>
    <mergeCell ref="B36:D36"/>
    <mergeCell ref="B37:D37"/>
    <mergeCell ref="B38:D38"/>
    <mergeCell ref="B29:D29"/>
    <mergeCell ref="B30:D30"/>
    <mergeCell ref="B31:D31"/>
    <mergeCell ref="B32:D32"/>
    <mergeCell ref="B33:D33"/>
    <mergeCell ref="Z6:AA10"/>
    <mergeCell ref="AB6:AC10"/>
    <mergeCell ref="G4:G5"/>
    <mergeCell ref="A1:C3"/>
    <mergeCell ref="D1:AC3"/>
    <mergeCell ref="B25:D25"/>
    <mergeCell ref="B26:D26"/>
    <mergeCell ref="B27:D27"/>
    <mergeCell ref="B28:D28"/>
    <mergeCell ref="A4:A5"/>
    <mergeCell ref="A6:B10"/>
    <mergeCell ref="C6:D10"/>
    <mergeCell ref="X6:Y10"/>
    <mergeCell ref="N6:O10"/>
    <mergeCell ref="M6:M10"/>
    <mergeCell ref="K6:L10"/>
    <mergeCell ref="J6:J10"/>
    <mergeCell ref="H6:I10"/>
    <mergeCell ref="G6:G10"/>
    <mergeCell ref="E6:F10"/>
    <mergeCell ref="P6:Q10"/>
    <mergeCell ref="R6:S10"/>
    <mergeCell ref="T6:U10"/>
    <mergeCell ref="V6:W10"/>
  </mergeCells>
  <conditionalFormatting sqref="I4">
    <cfRule type="cellIs" dxfId="111" priority="16" operator="lessThanOrEqual">
      <formula>$C$4</formula>
    </cfRule>
  </conditionalFormatting>
  <conditionalFormatting sqref="J6">
    <cfRule type="cellIs" dxfId="110" priority="14" operator="greaterThanOrEqual">
      <formula>$C$5</formula>
    </cfRule>
    <cfRule type="cellIs" dxfId="109" priority="15" operator="lessThanOrEqual">
      <formula>$C$4</formula>
    </cfRule>
    <cfRule type="cellIs" dxfId="108" priority="17" operator="between">
      <formula>$C$5</formula>
      <formula>$C$4</formula>
    </cfRule>
  </conditionalFormatting>
  <conditionalFormatting sqref="P6">
    <cfRule type="cellIs" dxfId="107" priority="10" operator="greaterThanOrEqual">
      <formula>$I$5</formula>
    </cfRule>
    <cfRule type="cellIs" dxfId="106" priority="11" operator="lessThanOrEqual">
      <formula>$I$4</formula>
    </cfRule>
    <cfRule type="cellIs" dxfId="105" priority="12" operator="between">
      <formula>$I$5</formula>
      <formula>$I$4</formula>
    </cfRule>
  </conditionalFormatting>
  <conditionalFormatting sqref="T6">
    <cfRule type="cellIs" dxfId="104" priority="7" operator="greaterThanOrEqual">
      <formula>$I$5</formula>
    </cfRule>
    <cfRule type="cellIs" dxfId="103" priority="8" operator="lessThanOrEqual">
      <formula>$I$4</formula>
    </cfRule>
    <cfRule type="cellIs" dxfId="102" priority="9" operator="between">
      <formula>$I$5</formula>
      <formula>$I$4</formula>
    </cfRule>
  </conditionalFormatting>
  <conditionalFormatting sqref="X6">
    <cfRule type="cellIs" dxfId="101" priority="4" operator="greaterThanOrEqual">
      <formula>$I$5</formula>
    </cfRule>
    <cfRule type="cellIs" dxfId="100" priority="5" operator="lessThanOrEqual">
      <formula>$I$4</formula>
    </cfRule>
    <cfRule type="cellIs" dxfId="99" priority="6" operator="between">
      <formula>$I$5</formula>
      <formula>$I$4</formula>
    </cfRule>
  </conditionalFormatting>
  <conditionalFormatting sqref="AB6">
    <cfRule type="cellIs" dxfId="98" priority="1" operator="greaterThanOrEqual">
      <formula>$I$5</formula>
    </cfRule>
    <cfRule type="cellIs" dxfId="97" priority="2" operator="lessThanOrEqual">
      <formula>$I$4</formula>
    </cfRule>
    <cfRule type="cellIs" dxfId="96" priority="3" operator="between">
      <formula>$I$5</formula>
      <formula>$I$4</formula>
    </cfRule>
  </conditionalFormatting>
  <pageMargins left="0.7" right="0.7" top="0.75" bottom="0.75" header="0.3" footer="0.3"/>
  <headerFooter>
    <oddFooter>&amp;C_x000D_&amp;1#&amp;"Calibri"&amp;10&amp;K008000 DOCUMENTO PÚBLICO</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F01A-C809-40FB-87B9-E571BFA038B5}">
  <dimension ref="A1:AO49"/>
  <sheetViews>
    <sheetView showGridLines="0" view="pageBreakPreview" topLeftCell="A3" zoomScale="60" zoomScaleNormal="10" zoomScalePageLayoutView="48" workbookViewId="0">
      <selection activeCell="I24" sqref="I24:I25"/>
    </sheetView>
  </sheetViews>
  <sheetFormatPr baseColWidth="10" defaultColWidth="12.54296875" defaultRowHeight="15" customHeight="1" x14ac:dyDescent="0.35"/>
  <cols>
    <col min="1" max="1" width="7.26953125" style="1" customWidth="1"/>
    <col min="2" max="4" width="28.54296875" style="1" customWidth="1"/>
    <col min="5" max="5" width="36.453125" style="1" customWidth="1"/>
    <col min="6" max="6" width="28.54296875" style="1" hidden="1" customWidth="1"/>
    <col min="7" max="8" width="28.54296875" style="1" customWidth="1"/>
    <col min="9" max="9" width="41.08984375" style="1" customWidth="1"/>
    <col min="10" max="10" width="28.54296875" style="1" customWidth="1"/>
    <col min="11" max="12" width="19.54296875" style="1" customWidth="1"/>
    <col min="13" max="13" width="28.54296875" style="1" customWidth="1"/>
    <col min="14" max="21" width="18.26953125" style="1" customWidth="1"/>
    <col min="22" max="24" width="13.7265625" style="1" customWidth="1"/>
    <col min="25" max="37" width="9.54296875" style="1" customWidth="1"/>
    <col min="38" max="38" width="35.7265625" style="1" customWidth="1"/>
    <col min="39" max="41" width="42.54296875" style="1" customWidth="1"/>
    <col min="42" max="16384" width="12.54296875" style="1"/>
  </cols>
  <sheetData>
    <row r="1" spans="1:41" s="60" customFormat="1" ht="15" customHeight="1" x14ac:dyDescent="0.35">
      <c r="A1" s="293"/>
      <c r="B1" s="294"/>
      <c r="C1" s="295"/>
      <c r="D1" s="361" t="s">
        <v>892</v>
      </c>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row>
    <row r="2" spans="1:41" s="60" customFormat="1" ht="20.149999999999999" customHeight="1" x14ac:dyDescent="0.35">
      <c r="A2" s="296"/>
      <c r="B2" s="297"/>
      <c r="C2" s="298"/>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row>
    <row r="3" spans="1:41" s="60" customFormat="1" ht="60" customHeight="1" thickBot="1" x14ac:dyDescent="0.4">
      <c r="A3" s="299"/>
      <c r="B3" s="300"/>
      <c r="C3" s="30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row>
    <row r="4" spans="1:41"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41"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41" ht="15" customHeight="1" x14ac:dyDescent="0.35">
      <c r="A6" s="292" t="s">
        <v>28</v>
      </c>
      <c r="B6" s="292"/>
      <c r="C6" s="302" t="s">
        <v>118</v>
      </c>
      <c r="D6" s="302"/>
      <c r="E6" s="303" t="s">
        <v>30</v>
      </c>
      <c r="F6" s="303"/>
      <c r="G6" s="324">
        <f>+W15+W17+W19+W21+W23+W25+W27+W29</f>
        <v>1</v>
      </c>
      <c r="H6" s="303" t="s">
        <v>31</v>
      </c>
      <c r="I6" s="303"/>
      <c r="J6" s="414">
        <f>+W14+W16+W18+W20+W22+W24+W26+W28</f>
        <v>0.375</v>
      </c>
      <c r="K6" s="286" t="s">
        <v>32</v>
      </c>
      <c r="L6" s="287"/>
      <c r="M6" s="330">
        <v>0.95</v>
      </c>
      <c r="N6" s="292" t="s">
        <v>250</v>
      </c>
      <c r="O6" s="292"/>
      <c r="P6" s="315">
        <f>(SUM(Y14:AE14,Y16:AE16,Y18:AE18,Y20:AE20,Y22:AE22,Y24:AE24,Y26:AE26,Y28:AE28)/SUM(Y15:AE15,Y17:AE17,Y19:AE19,Y21:AE21,Y23:AE23,Y25:AE25,Y27:AE27,Y29:AE29))/M6</f>
        <v>0.78947368421052633</v>
      </c>
      <c r="Q6" s="316"/>
      <c r="R6" s="317"/>
      <c r="S6" s="306" t="s">
        <v>251</v>
      </c>
      <c r="T6" s="307"/>
      <c r="U6" s="333" t="e">
        <f>SUM(AK14,AK16,AK18,AK20,AK22,AK24,AK26,AK28)/SUM(AK15,AK17,AK19,AK21,AK23,AK25,AK27,AK29)/M6</f>
        <v>#DIV/0!</v>
      </c>
      <c r="V6" s="334"/>
      <c r="W6" s="334"/>
      <c r="X6" s="460"/>
      <c r="Y6" s="460"/>
      <c r="Z6" s="460"/>
      <c r="AA6" s="460"/>
      <c r="AB6" s="460"/>
      <c r="AC6" s="460"/>
      <c r="AD6" s="460"/>
      <c r="AE6" s="460"/>
      <c r="AF6" s="460"/>
      <c r="AG6" s="460"/>
      <c r="AH6" s="460"/>
      <c r="AI6" s="460"/>
      <c r="AJ6" s="460"/>
      <c r="AK6" s="460"/>
      <c r="AL6" s="460"/>
      <c r="AM6" s="460"/>
      <c r="AN6" s="460"/>
      <c r="AO6" s="460"/>
    </row>
    <row r="7" spans="1:41" ht="15" customHeight="1" x14ac:dyDescent="0.35">
      <c r="A7" s="292"/>
      <c r="B7" s="292"/>
      <c r="C7" s="302"/>
      <c r="D7" s="302"/>
      <c r="E7" s="303"/>
      <c r="F7" s="303"/>
      <c r="G7" s="325"/>
      <c r="H7" s="303"/>
      <c r="I7" s="303"/>
      <c r="J7" s="415"/>
      <c r="K7" s="288"/>
      <c r="L7" s="289"/>
      <c r="M7" s="331"/>
      <c r="N7" s="292"/>
      <c r="O7" s="292"/>
      <c r="P7" s="318"/>
      <c r="Q7" s="319"/>
      <c r="R7" s="320"/>
      <c r="S7" s="309"/>
      <c r="T7" s="310"/>
      <c r="U7" s="336"/>
      <c r="V7" s="337"/>
      <c r="W7" s="337"/>
      <c r="X7" s="460"/>
      <c r="Y7" s="460"/>
      <c r="Z7" s="460"/>
      <c r="AA7" s="460"/>
      <c r="AB7" s="460"/>
      <c r="AC7" s="460"/>
      <c r="AD7" s="460"/>
      <c r="AE7" s="460"/>
      <c r="AF7" s="460"/>
      <c r="AG7" s="460"/>
      <c r="AH7" s="460"/>
      <c r="AI7" s="460"/>
      <c r="AJ7" s="460"/>
      <c r="AK7" s="460"/>
      <c r="AL7" s="460"/>
      <c r="AM7" s="460"/>
      <c r="AN7" s="460"/>
      <c r="AO7" s="460"/>
    </row>
    <row r="8" spans="1:41" ht="15" customHeight="1" x14ac:dyDescent="0.35">
      <c r="A8" s="292"/>
      <c r="B8" s="292"/>
      <c r="C8" s="302"/>
      <c r="D8" s="302"/>
      <c r="E8" s="303"/>
      <c r="F8" s="303"/>
      <c r="G8" s="325"/>
      <c r="H8" s="303"/>
      <c r="I8" s="303"/>
      <c r="J8" s="415"/>
      <c r="K8" s="288"/>
      <c r="L8" s="289"/>
      <c r="M8" s="331"/>
      <c r="N8" s="292"/>
      <c r="O8" s="292"/>
      <c r="P8" s="318"/>
      <c r="Q8" s="319"/>
      <c r="R8" s="320"/>
      <c r="S8" s="309"/>
      <c r="T8" s="310"/>
      <c r="U8" s="336"/>
      <c r="V8" s="337"/>
      <c r="W8" s="337"/>
      <c r="X8" s="460"/>
      <c r="Y8" s="460"/>
      <c r="Z8" s="460"/>
      <c r="AA8" s="460"/>
      <c r="AB8" s="460"/>
      <c r="AC8" s="460"/>
      <c r="AD8" s="460"/>
      <c r="AE8" s="460"/>
      <c r="AF8" s="460"/>
      <c r="AG8" s="460"/>
      <c r="AH8" s="460"/>
      <c r="AI8" s="460"/>
      <c r="AJ8" s="460"/>
      <c r="AK8" s="460"/>
      <c r="AL8" s="460"/>
      <c r="AM8" s="460"/>
      <c r="AN8" s="460"/>
      <c r="AO8" s="460"/>
    </row>
    <row r="9" spans="1:41" ht="15" customHeight="1" x14ac:dyDescent="0.35">
      <c r="A9" s="292"/>
      <c r="B9" s="292"/>
      <c r="C9" s="302"/>
      <c r="D9" s="302"/>
      <c r="E9" s="303"/>
      <c r="F9" s="303"/>
      <c r="G9" s="325"/>
      <c r="H9" s="303"/>
      <c r="I9" s="303"/>
      <c r="J9" s="415"/>
      <c r="K9" s="288"/>
      <c r="L9" s="289"/>
      <c r="M9" s="331"/>
      <c r="N9" s="292"/>
      <c r="O9" s="292"/>
      <c r="P9" s="318"/>
      <c r="Q9" s="319"/>
      <c r="R9" s="320"/>
      <c r="S9" s="309"/>
      <c r="T9" s="310"/>
      <c r="U9" s="336"/>
      <c r="V9" s="337"/>
      <c r="W9" s="337"/>
      <c r="X9" s="460"/>
      <c r="Y9" s="460"/>
      <c r="Z9" s="460"/>
      <c r="AA9" s="460"/>
      <c r="AB9" s="460"/>
      <c r="AC9" s="460"/>
      <c r="AD9" s="460"/>
      <c r="AE9" s="460"/>
      <c r="AF9" s="460"/>
      <c r="AG9" s="460"/>
      <c r="AH9" s="460"/>
      <c r="AI9" s="460"/>
      <c r="AJ9" s="460"/>
      <c r="AK9" s="460"/>
      <c r="AL9" s="460"/>
      <c r="AM9" s="460"/>
      <c r="AN9" s="460"/>
      <c r="AO9" s="460"/>
    </row>
    <row r="10" spans="1:41" ht="15" customHeight="1" thickBot="1" x14ac:dyDescent="0.4">
      <c r="A10" s="292"/>
      <c r="B10" s="292"/>
      <c r="C10" s="302"/>
      <c r="D10" s="302"/>
      <c r="E10" s="303"/>
      <c r="F10" s="303"/>
      <c r="G10" s="326"/>
      <c r="H10" s="303"/>
      <c r="I10" s="303"/>
      <c r="J10" s="416"/>
      <c r="K10" s="290"/>
      <c r="L10" s="291"/>
      <c r="M10" s="332"/>
      <c r="N10" s="292"/>
      <c r="O10" s="292"/>
      <c r="P10" s="321"/>
      <c r="Q10" s="322"/>
      <c r="R10" s="323"/>
      <c r="S10" s="312"/>
      <c r="T10" s="313"/>
      <c r="U10" s="339"/>
      <c r="V10" s="340"/>
      <c r="W10" s="340"/>
      <c r="X10" s="460"/>
      <c r="Y10" s="460"/>
      <c r="Z10" s="460"/>
      <c r="AA10" s="460"/>
      <c r="AB10" s="460"/>
      <c r="AC10" s="460"/>
      <c r="AD10" s="460"/>
      <c r="AE10" s="460"/>
      <c r="AF10" s="460"/>
      <c r="AG10" s="460"/>
      <c r="AH10" s="460"/>
      <c r="AI10" s="460"/>
      <c r="AJ10" s="460"/>
      <c r="AK10" s="460"/>
      <c r="AL10" s="460"/>
      <c r="AM10" s="460"/>
      <c r="AN10" s="460"/>
      <c r="AO10" s="460"/>
    </row>
    <row r="11" spans="1:41" s="12" customFormat="1" ht="40.15" customHeight="1" thickBot="1" x14ac:dyDescent="0.4">
      <c r="A11" s="268" t="s">
        <v>37</v>
      </c>
      <c r="B11" s="268"/>
      <c r="C11" s="268"/>
      <c r="D11" s="268"/>
      <c r="E11" s="268"/>
      <c r="F11" s="269"/>
      <c r="G11" s="270" t="s">
        <v>38</v>
      </c>
      <c r="H11" s="271"/>
      <c r="I11" s="271"/>
      <c r="J11" s="271"/>
      <c r="K11" s="271"/>
      <c r="L11" s="271"/>
      <c r="M11" s="271"/>
      <c r="N11" s="271"/>
      <c r="O11" s="272"/>
      <c r="P11" s="65"/>
      <c r="Q11" s="65"/>
      <c r="R11" s="65"/>
      <c r="S11" s="65"/>
      <c r="T11" s="65"/>
      <c r="U11" s="65"/>
      <c r="V11" s="345" t="s">
        <v>39</v>
      </c>
      <c r="W11" s="346"/>
      <c r="X11" s="346"/>
      <c r="Y11" s="346"/>
      <c r="Z11" s="346"/>
      <c r="AA11" s="346"/>
      <c r="AB11" s="346"/>
      <c r="AC11" s="346"/>
      <c r="AD11" s="346"/>
      <c r="AE11" s="346"/>
      <c r="AF11" s="346"/>
      <c r="AG11" s="346"/>
      <c r="AH11" s="346"/>
      <c r="AI11" s="346"/>
      <c r="AJ11" s="346"/>
      <c r="AK11" s="347"/>
      <c r="AL11" s="345" t="s">
        <v>40</v>
      </c>
      <c r="AM11" s="346"/>
      <c r="AN11" s="346"/>
      <c r="AO11" s="346"/>
    </row>
    <row r="12" spans="1:41" ht="39" customHeight="1" x14ac:dyDescent="0.35">
      <c r="A12" s="273" t="s">
        <v>41</v>
      </c>
      <c r="B12" s="275" t="s">
        <v>42</v>
      </c>
      <c r="C12" s="275" t="s">
        <v>43</v>
      </c>
      <c r="D12" s="275" t="s">
        <v>44</v>
      </c>
      <c r="E12" s="275" t="s">
        <v>45</v>
      </c>
      <c r="F12" s="275" t="s">
        <v>9</v>
      </c>
      <c r="G12" s="275" t="s">
        <v>893</v>
      </c>
      <c r="H12" s="275" t="s">
        <v>894</v>
      </c>
      <c r="I12" s="275" t="s">
        <v>895</v>
      </c>
      <c r="J12" s="275" t="s">
        <v>896</v>
      </c>
      <c r="K12" s="275" t="s">
        <v>897</v>
      </c>
      <c r="L12" s="275" t="s">
        <v>898</v>
      </c>
      <c r="M12" s="275" t="s">
        <v>899</v>
      </c>
      <c r="N12" s="275" t="s">
        <v>900</v>
      </c>
      <c r="O12" s="275" t="s">
        <v>901</v>
      </c>
      <c r="P12" s="275" t="s">
        <v>49</v>
      </c>
      <c r="Q12" s="275" t="s">
        <v>50</v>
      </c>
      <c r="R12" s="275" t="s">
        <v>51</v>
      </c>
      <c r="S12" s="275" t="s">
        <v>52</v>
      </c>
      <c r="T12" s="275" t="s">
        <v>53</v>
      </c>
      <c r="U12" s="275" t="s">
        <v>54</v>
      </c>
      <c r="V12" s="461" t="s">
        <v>55</v>
      </c>
      <c r="W12" s="462" t="s">
        <v>56</v>
      </c>
      <c r="X12" s="463" t="s">
        <v>57</v>
      </c>
      <c r="Y12" s="465" t="s">
        <v>58</v>
      </c>
      <c r="Z12" s="352" t="s">
        <v>59</v>
      </c>
      <c r="AA12" s="350" t="s">
        <v>60</v>
      </c>
      <c r="AB12" s="304" t="s">
        <v>61</v>
      </c>
      <c r="AC12" s="359" t="s">
        <v>62</v>
      </c>
      <c r="AD12" s="304" t="s">
        <v>63</v>
      </c>
      <c r="AE12" s="350" t="s">
        <v>64</v>
      </c>
      <c r="AF12" s="352" t="s">
        <v>65</v>
      </c>
      <c r="AG12" s="354" t="s">
        <v>66</v>
      </c>
      <c r="AH12" s="352" t="s">
        <v>67</v>
      </c>
      <c r="AI12" s="350" t="s">
        <v>68</v>
      </c>
      <c r="AJ12" s="304" t="s">
        <v>69</v>
      </c>
      <c r="AK12" s="348" t="s">
        <v>70</v>
      </c>
      <c r="AL12" s="344" t="s">
        <v>71</v>
      </c>
      <c r="AM12" s="344" t="s">
        <v>72</v>
      </c>
      <c r="AN12" s="344" t="s">
        <v>73</v>
      </c>
      <c r="AO12" s="344" t="s">
        <v>74</v>
      </c>
    </row>
    <row r="13" spans="1:41" ht="60" customHeight="1" thickBot="1" x14ac:dyDescent="0.4">
      <c r="A13" s="274"/>
      <c r="B13" s="274"/>
      <c r="C13" s="274"/>
      <c r="D13" s="274"/>
      <c r="E13" s="274"/>
      <c r="F13" s="274"/>
      <c r="G13" s="274"/>
      <c r="H13" s="274"/>
      <c r="I13" s="274"/>
      <c r="J13" s="274"/>
      <c r="K13" s="274"/>
      <c r="L13" s="274"/>
      <c r="M13" s="274"/>
      <c r="N13" s="274"/>
      <c r="O13" s="274"/>
      <c r="P13" s="274"/>
      <c r="Q13" s="274"/>
      <c r="R13" s="274"/>
      <c r="S13" s="274"/>
      <c r="T13" s="274" t="s">
        <v>902</v>
      </c>
      <c r="U13" s="274" t="s">
        <v>903</v>
      </c>
      <c r="V13" s="376"/>
      <c r="W13" s="377"/>
      <c r="X13" s="464"/>
      <c r="Y13" s="466"/>
      <c r="Z13" s="467"/>
      <c r="AA13" s="468"/>
      <c r="AB13" s="469"/>
      <c r="AC13" s="360"/>
      <c r="AD13" s="305"/>
      <c r="AE13" s="351"/>
      <c r="AF13" s="353"/>
      <c r="AG13" s="355"/>
      <c r="AH13" s="353"/>
      <c r="AI13" s="351"/>
      <c r="AJ13" s="305"/>
      <c r="AK13" s="349"/>
      <c r="AL13" s="344"/>
      <c r="AM13" s="344"/>
      <c r="AN13" s="344"/>
      <c r="AO13" s="344"/>
    </row>
    <row r="14" spans="1:41" ht="40.15" customHeight="1" thickBot="1" x14ac:dyDescent="0.4">
      <c r="A14" s="259">
        <v>1</v>
      </c>
      <c r="B14" s="259" t="s">
        <v>219</v>
      </c>
      <c r="C14" s="259" t="s">
        <v>98</v>
      </c>
      <c r="D14" s="259" t="s">
        <v>116</v>
      </c>
      <c r="E14" s="259" t="s">
        <v>117</v>
      </c>
      <c r="F14" s="277" t="s">
        <v>79</v>
      </c>
      <c r="G14" s="259" t="s">
        <v>904</v>
      </c>
      <c r="H14" s="259" t="s">
        <v>905</v>
      </c>
      <c r="I14" s="259" t="s">
        <v>906</v>
      </c>
      <c r="J14" s="259" t="s">
        <v>907</v>
      </c>
      <c r="K14" s="259" t="s">
        <v>907</v>
      </c>
      <c r="L14" s="259" t="s">
        <v>908</v>
      </c>
      <c r="M14" s="259" t="s">
        <v>909</v>
      </c>
      <c r="N14" s="259" t="s">
        <v>910</v>
      </c>
      <c r="O14" s="259" t="s">
        <v>909</v>
      </c>
      <c r="P14" s="259" t="s">
        <v>253</v>
      </c>
      <c r="Q14" s="261" t="s">
        <v>254</v>
      </c>
      <c r="R14" s="261" t="s">
        <v>255</v>
      </c>
      <c r="S14" s="261" t="s">
        <v>126</v>
      </c>
      <c r="T14" s="261" t="s">
        <v>911</v>
      </c>
      <c r="U14" s="261" t="s">
        <v>912</v>
      </c>
      <c r="V14" s="64" t="s">
        <v>86</v>
      </c>
      <c r="W14" s="53">
        <f>+(W15*X14)</f>
        <v>4.6875E-2</v>
      </c>
      <c r="X14" s="71">
        <f>SUM(Y14:AK14)</f>
        <v>0.375</v>
      </c>
      <c r="Y14" s="43"/>
      <c r="Z14" s="43"/>
      <c r="AA14" s="43"/>
      <c r="AB14" s="43"/>
      <c r="AC14" s="43"/>
      <c r="AD14" s="43">
        <f>75%/X15*AD15</f>
        <v>0.375</v>
      </c>
      <c r="AE14" s="43"/>
      <c r="AF14" s="43"/>
      <c r="AG14" s="44"/>
      <c r="AH14" s="44"/>
      <c r="AI14" s="44"/>
      <c r="AJ14" s="44"/>
      <c r="AK14" s="44"/>
      <c r="AL14" s="362"/>
      <c r="AM14" s="366" t="s">
        <v>913</v>
      </c>
      <c r="AN14" s="342"/>
      <c r="AO14" s="342"/>
    </row>
    <row r="15" spans="1:41" ht="62.65" customHeight="1" thickBot="1" x14ac:dyDescent="0.4">
      <c r="A15" s="260"/>
      <c r="B15" s="260"/>
      <c r="C15" s="260"/>
      <c r="D15" s="260"/>
      <c r="E15" s="260"/>
      <c r="F15" s="280"/>
      <c r="G15" s="260"/>
      <c r="H15" s="260"/>
      <c r="I15" s="260"/>
      <c r="J15" s="260"/>
      <c r="K15" s="260"/>
      <c r="L15" s="260"/>
      <c r="M15" s="260"/>
      <c r="N15" s="260"/>
      <c r="O15" s="260"/>
      <c r="P15" s="260"/>
      <c r="Q15" s="266"/>
      <c r="R15" s="266"/>
      <c r="S15" s="266"/>
      <c r="T15" s="266"/>
      <c r="U15" s="266"/>
      <c r="V15" s="64" t="s">
        <v>89</v>
      </c>
      <c r="W15" s="52">
        <f>100%/8</f>
        <v>0.125</v>
      </c>
      <c r="X15" s="71">
        <f t="shared" ref="X15:X25" si="0">SUM(Y15:AK15)</f>
        <v>1</v>
      </c>
      <c r="Y15" s="42"/>
      <c r="Z15" s="42"/>
      <c r="AA15" s="42"/>
      <c r="AB15" s="42"/>
      <c r="AC15" s="42"/>
      <c r="AD15" s="42">
        <v>0.5</v>
      </c>
      <c r="AE15" s="42"/>
      <c r="AF15" s="42"/>
      <c r="AG15" s="42"/>
      <c r="AH15" s="42"/>
      <c r="AI15" s="42"/>
      <c r="AJ15" s="42">
        <v>0.5</v>
      </c>
      <c r="AK15" s="42"/>
      <c r="AL15" s="363"/>
      <c r="AM15" s="367"/>
      <c r="AN15" s="343"/>
      <c r="AO15" s="343"/>
    </row>
    <row r="16" spans="1:41" ht="37.15" customHeight="1" thickBot="1" x14ac:dyDescent="0.4">
      <c r="A16" s="259">
        <v>2</v>
      </c>
      <c r="B16" s="259" t="s">
        <v>219</v>
      </c>
      <c r="C16" s="259" t="s">
        <v>76</v>
      </c>
      <c r="D16" s="259" t="s">
        <v>116</v>
      </c>
      <c r="E16" s="259" t="s">
        <v>117</v>
      </c>
      <c r="F16" s="277" t="s">
        <v>79</v>
      </c>
      <c r="G16" s="259" t="s">
        <v>914</v>
      </c>
      <c r="H16" s="259" t="s">
        <v>915</v>
      </c>
      <c r="I16" s="259" t="s">
        <v>916</v>
      </c>
      <c r="J16" s="259" t="s">
        <v>907</v>
      </c>
      <c r="K16" s="259" t="s">
        <v>907</v>
      </c>
      <c r="L16" s="259" t="s">
        <v>908</v>
      </c>
      <c r="M16" s="259" t="s">
        <v>909</v>
      </c>
      <c r="N16" s="259" t="s">
        <v>910</v>
      </c>
      <c r="O16" s="259" t="s">
        <v>909</v>
      </c>
      <c r="P16" s="259" t="s">
        <v>253</v>
      </c>
      <c r="Q16" s="261" t="s">
        <v>254</v>
      </c>
      <c r="R16" s="261" t="s">
        <v>255</v>
      </c>
      <c r="S16" s="261" t="s">
        <v>126</v>
      </c>
      <c r="T16" s="261" t="s">
        <v>911</v>
      </c>
      <c r="U16" s="261" t="s">
        <v>917</v>
      </c>
      <c r="V16" s="64" t="s">
        <v>86</v>
      </c>
      <c r="W16" s="53">
        <f>+(W17*X16)</f>
        <v>4.6875E-2</v>
      </c>
      <c r="X16" s="71">
        <f t="shared" ref="X16:X21" si="1">SUM(Y16:AK16)</f>
        <v>0.375</v>
      </c>
      <c r="Y16" s="43"/>
      <c r="Z16" s="43"/>
      <c r="AA16" s="43"/>
      <c r="AB16" s="43"/>
      <c r="AC16" s="43"/>
      <c r="AD16" s="43">
        <f>75%/X17*AD17</f>
        <v>0.375</v>
      </c>
      <c r="AE16" s="43"/>
      <c r="AF16" s="43"/>
      <c r="AG16" s="44"/>
      <c r="AH16" s="44"/>
      <c r="AI16" s="44"/>
      <c r="AJ16" s="44"/>
      <c r="AK16" s="44"/>
      <c r="AL16" s="362"/>
      <c r="AM16" s="470" t="s">
        <v>918</v>
      </c>
      <c r="AN16" s="342"/>
      <c r="AO16" s="342"/>
    </row>
    <row r="17" spans="1:41" ht="61.15" customHeight="1" thickBot="1" x14ac:dyDescent="0.4">
      <c r="A17" s="260"/>
      <c r="B17" s="260"/>
      <c r="C17" s="260"/>
      <c r="D17" s="260"/>
      <c r="E17" s="260"/>
      <c r="F17" s="278"/>
      <c r="G17" s="260"/>
      <c r="H17" s="260"/>
      <c r="I17" s="260"/>
      <c r="J17" s="260"/>
      <c r="K17" s="260"/>
      <c r="L17" s="260"/>
      <c r="M17" s="260"/>
      <c r="N17" s="260"/>
      <c r="O17" s="260"/>
      <c r="P17" s="260"/>
      <c r="Q17" s="266"/>
      <c r="R17" s="266"/>
      <c r="S17" s="266"/>
      <c r="T17" s="266"/>
      <c r="U17" s="266"/>
      <c r="V17" s="64" t="s">
        <v>89</v>
      </c>
      <c r="W17" s="52">
        <f>100%/8</f>
        <v>0.125</v>
      </c>
      <c r="X17" s="71">
        <f t="shared" si="1"/>
        <v>1</v>
      </c>
      <c r="Y17" s="42"/>
      <c r="Z17" s="42"/>
      <c r="AA17" s="42"/>
      <c r="AB17" s="42"/>
      <c r="AC17" s="42"/>
      <c r="AD17" s="42">
        <v>0.5</v>
      </c>
      <c r="AE17" s="42"/>
      <c r="AF17" s="42"/>
      <c r="AG17" s="42"/>
      <c r="AH17" s="42"/>
      <c r="AI17" s="42"/>
      <c r="AJ17" s="42">
        <v>0.5</v>
      </c>
      <c r="AK17" s="42"/>
      <c r="AL17" s="363"/>
      <c r="AM17" s="366"/>
      <c r="AN17" s="343"/>
      <c r="AO17" s="343"/>
    </row>
    <row r="18" spans="1:41" ht="37.15" customHeight="1" thickBot="1" x14ac:dyDescent="0.4">
      <c r="A18" s="259">
        <v>3</v>
      </c>
      <c r="B18" s="259" t="s">
        <v>219</v>
      </c>
      <c r="C18" s="259" t="s">
        <v>110</v>
      </c>
      <c r="D18" s="259" t="s">
        <v>116</v>
      </c>
      <c r="E18" s="259" t="s">
        <v>117</v>
      </c>
      <c r="F18" s="277" t="s">
        <v>79</v>
      </c>
      <c r="G18" s="259" t="s">
        <v>904</v>
      </c>
      <c r="H18" s="259" t="s">
        <v>919</v>
      </c>
      <c r="I18" s="259" t="s">
        <v>920</v>
      </c>
      <c r="J18" s="259" t="s">
        <v>907</v>
      </c>
      <c r="K18" s="259" t="s">
        <v>907</v>
      </c>
      <c r="L18" s="259" t="s">
        <v>908</v>
      </c>
      <c r="M18" s="259" t="s">
        <v>909</v>
      </c>
      <c r="N18" s="259" t="s">
        <v>910</v>
      </c>
      <c r="O18" s="259" t="s">
        <v>909</v>
      </c>
      <c r="P18" s="259" t="s">
        <v>253</v>
      </c>
      <c r="Q18" s="261" t="s">
        <v>254</v>
      </c>
      <c r="R18" s="261" t="s">
        <v>255</v>
      </c>
      <c r="S18" s="261" t="s">
        <v>126</v>
      </c>
      <c r="T18" s="261" t="s">
        <v>921</v>
      </c>
      <c r="U18" s="261" t="s">
        <v>912</v>
      </c>
      <c r="V18" s="64" t="s">
        <v>86</v>
      </c>
      <c r="W18" s="53">
        <f>+(W19*X18)</f>
        <v>4.6875E-2</v>
      </c>
      <c r="X18" s="71">
        <f t="shared" si="1"/>
        <v>0.375</v>
      </c>
      <c r="Y18" s="43"/>
      <c r="Z18" s="43"/>
      <c r="AA18" s="43"/>
      <c r="AB18" s="43"/>
      <c r="AC18" s="43"/>
      <c r="AD18" s="43">
        <f>75%/X19*AD19</f>
        <v>0.375</v>
      </c>
      <c r="AE18" s="43"/>
      <c r="AF18" s="43"/>
      <c r="AG18" s="44"/>
      <c r="AH18" s="44"/>
      <c r="AI18" s="44"/>
      <c r="AJ18" s="44"/>
      <c r="AK18" s="44"/>
      <c r="AL18" s="362"/>
      <c r="AM18" s="470" t="s">
        <v>922</v>
      </c>
      <c r="AN18" s="342"/>
      <c r="AO18" s="342"/>
    </row>
    <row r="19" spans="1:41" ht="47.15" customHeight="1" thickBot="1" x14ac:dyDescent="0.4">
      <c r="A19" s="260"/>
      <c r="B19" s="260"/>
      <c r="C19" s="260"/>
      <c r="D19" s="260"/>
      <c r="E19" s="260"/>
      <c r="F19" s="278"/>
      <c r="G19" s="260"/>
      <c r="H19" s="260"/>
      <c r="I19" s="260"/>
      <c r="J19" s="260"/>
      <c r="K19" s="260"/>
      <c r="L19" s="260"/>
      <c r="M19" s="260"/>
      <c r="N19" s="260"/>
      <c r="O19" s="260"/>
      <c r="P19" s="260"/>
      <c r="Q19" s="266"/>
      <c r="R19" s="266"/>
      <c r="S19" s="266"/>
      <c r="T19" s="266"/>
      <c r="U19" s="266"/>
      <c r="V19" s="64" t="s">
        <v>89</v>
      </c>
      <c r="W19" s="52">
        <f>100%/8</f>
        <v>0.125</v>
      </c>
      <c r="X19" s="71">
        <f t="shared" si="1"/>
        <v>1</v>
      </c>
      <c r="Y19" s="42"/>
      <c r="Z19" s="42"/>
      <c r="AA19" s="42"/>
      <c r="AB19" s="42"/>
      <c r="AC19" s="42"/>
      <c r="AD19" s="42">
        <v>0.5</v>
      </c>
      <c r="AE19" s="42"/>
      <c r="AF19" s="42"/>
      <c r="AG19" s="42"/>
      <c r="AH19" s="42"/>
      <c r="AI19" s="42"/>
      <c r="AJ19" s="42">
        <v>0.5</v>
      </c>
      <c r="AK19" s="42"/>
      <c r="AL19" s="363"/>
      <c r="AM19" s="366"/>
      <c r="AN19" s="343"/>
      <c r="AO19" s="343"/>
    </row>
    <row r="20" spans="1:41" ht="44.15" customHeight="1" thickBot="1" x14ac:dyDescent="0.4">
      <c r="A20" s="259">
        <v>4</v>
      </c>
      <c r="B20" s="259" t="s">
        <v>219</v>
      </c>
      <c r="C20" s="259" t="s">
        <v>115</v>
      </c>
      <c r="D20" s="259" t="s">
        <v>116</v>
      </c>
      <c r="E20" s="259" t="s">
        <v>117</v>
      </c>
      <c r="F20" s="277" t="s">
        <v>79</v>
      </c>
      <c r="G20" s="259" t="s">
        <v>923</v>
      </c>
      <c r="H20" s="259" t="s">
        <v>924</v>
      </c>
      <c r="I20" s="259" t="s">
        <v>925</v>
      </c>
      <c r="J20" s="259" t="s">
        <v>907</v>
      </c>
      <c r="K20" s="259" t="s">
        <v>907</v>
      </c>
      <c r="L20" s="259" t="s">
        <v>926</v>
      </c>
      <c r="M20" s="259" t="s">
        <v>927</v>
      </c>
      <c r="N20" s="259" t="s">
        <v>928</v>
      </c>
      <c r="O20" s="259" t="s">
        <v>927</v>
      </c>
      <c r="P20" s="259" t="s">
        <v>253</v>
      </c>
      <c r="Q20" s="261" t="s">
        <v>929</v>
      </c>
      <c r="R20" s="261" t="s">
        <v>255</v>
      </c>
      <c r="S20" s="261" t="s">
        <v>126</v>
      </c>
      <c r="T20" s="261" t="s">
        <v>930</v>
      </c>
      <c r="U20" s="261" t="s">
        <v>917</v>
      </c>
      <c r="V20" s="64" t="s">
        <v>86</v>
      </c>
      <c r="W20" s="53">
        <f>+(W21*X20)</f>
        <v>4.6875E-2</v>
      </c>
      <c r="X20" s="71">
        <f t="shared" si="1"/>
        <v>0.375</v>
      </c>
      <c r="Y20" s="43"/>
      <c r="Z20" s="43"/>
      <c r="AA20" s="43"/>
      <c r="AB20" s="43"/>
      <c r="AC20" s="43"/>
      <c r="AD20" s="43">
        <f>75%/X21*AD21</f>
        <v>0.375</v>
      </c>
      <c r="AE20" s="43"/>
      <c r="AF20" s="43"/>
      <c r="AG20" s="44"/>
      <c r="AH20" s="44"/>
      <c r="AI20" s="44"/>
      <c r="AJ20" s="44"/>
      <c r="AK20" s="44"/>
      <c r="AL20" s="362"/>
      <c r="AM20" s="366" t="s">
        <v>931</v>
      </c>
      <c r="AN20" s="342"/>
      <c r="AO20" s="342"/>
    </row>
    <row r="21" spans="1:41" ht="95.15" customHeight="1" thickBot="1" x14ac:dyDescent="0.4">
      <c r="A21" s="260"/>
      <c r="B21" s="260"/>
      <c r="C21" s="260"/>
      <c r="D21" s="260"/>
      <c r="E21" s="260"/>
      <c r="F21" s="278"/>
      <c r="G21" s="260"/>
      <c r="H21" s="260"/>
      <c r="I21" s="260"/>
      <c r="J21" s="260"/>
      <c r="K21" s="260"/>
      <c r="L21" s="260"/>
      <c r="M21" s="260"/>
      <c r="N21" s="260"/>
      <c r="O21" s="260"/>
      <c r="P21" s="260"/>
      <c r="Q21" s="266"/>
      <c r="R21" s="266"/>
      <c r="S21" s="266"/>
      <c r="T21" s="266"/>
      <c r="U21" s="266"/>
      <c r="V21" s="64" t="s">
        <v>89</v>
      </c>
      <c r="W21" s="52">
        <f>100%/8</f>
        <v>0.125</v>
      </c>
      <c r="X21" s="71">
        <f t="shared" si="1"/>
        <v>1</v>
      </c>
      <c r="Y21" s="42"/>
      <c r="Z21" s="42"/>
      <c r="AA21" s="42"/>
      <c r="AB21" s="42"/>
      <c r="AC21" s="42"/>
      <c r="AD21" s="42">
        <v>0.5</v>
      </c>
      <c r="AE21" s="42"/>
      <c r="AF21" s="42"/>
      <c r="AG21" s="42"/>
      <c r="AH21" s="42"/>
      <c r="AI21" s="42"/>
      <c r="AJ21" s="42">
        <v>0.5</v>
      </c>
      <c r="AK21" s="42"/>
      <c r="AL21" s="363"/>
      <c r="AM21" s="367"/>
      <c r="AN21" s="343"/>
      <c r="AO21" s="343"/>
    </row>
    <row r="22" spans="1:41" ht="37.15" customHeight="1" thickBot="1" x14ac:dyDescent="0.4">
      <c r="A22" s="259">
        <v>5</v>
      </c>
      <c r="B22" s="259" t="s">
        <v>219</v>
      </c>
      <c r="C22" s="259" t="s">
        <v>197</v>
      </c>
      <c r="D22" s="259" t="s">
        <v>116</v>
      </c>
      <c r="E22" s="259" t="s">
        <v>117</v>
      </c>
      <c r="F22" s="277" t="s">
        <v>79</v>
      </c>
      <c r="G22" s="259" t="s">
        <v>904</v>
      </c>
      <c r="H22" s="259" t="s">
        <v>932</v>
      </c>
      <c r="I22" s="259" t="s">
        <v>933</v>
      </c>
      <c r="J22" s="259" t="s">
        <v>907</v>
      </c>
      <c r="K22" s="259" t="s">
        <v>907</v>
      </c>
      <c r="L22" s="259" t="s">
        <v>908</v>
      </c>
      <c r="M22" s="259" t="s">
        <v>909</v>
      </c>
      <c r="N22" s="259" t="s">
        <v>910</v>
      </c>
      <c r="O22" s="259" t="s">
        <v>909</v>
      </c>
      <c r="P22" s="259" t="s">
        <v>253</v>
      </c>
      <c r="Q22" s="261" t="s">
        <v>254</v>
      </c>
      <c r="R22" s="261" t="s">
        <v>255</v>
      </c>
      <c r="S22" s="261" t="s">
        <v>126</v>
      </c>
      <c r="T22" s="259" t="s">
        <v>934</v>
      </c>
      <c r="U22" s="259" t="s">
        <v>935</v>
      </c>
      <c r="V22" s="64" t="s">
        <v>86</v>
      </c>
      <c r="W22" s="53">
        <f>+(W23*X22)</f>
        <v>4.6875E-2</v>
      </c>
      <c r="X22" s="71">
        <f t="shared" si="0"/>
        <v>0.375</v>
      </c>
      <c r="Y22" s="45"/>
      <c r="Z22" s="45"/>
      <c r="AA22" s="45"/>
      <c r="AB22" s="43"/>
      <c r="AC22" s="43"/>
      <c r="AD22" s="43">
        <f>75%/X23*AD23</f>
        <v>0.375</v>
      </c>
      <c r="AE22" s="43"/>
      <c r="AF22" s="43"/>
      <c r="AG22" s="44"/>
      <c r="AH22" s="44"/>
      <c r="AI22" s="44"/>
      <c r="AJ22" s="44"/>
      <c r="AK22" s="44"/>
      <c r="AL22" s="362"/>
      <c r="AM22" s="366" t="s">
        <v>936</v>
      </c>
      <c r="AN22" s="342"/>
      <c r="AO22" s="342"/>
    </row>
    <row r="23" spans="1:41" ht="37.15" customHeight="1" thickBot="1" x14ac:dyDescent="0.4">
      <c r="A23" s="260"/>
      <c r="B23" s="260"/>
      <c r="C23" s="260"/>
      <c r="D23" s="260"/>
      <c r="E23" s="260"/>
      <c r="F23" s="278"/>
      <c r="G23" s="260"/>
      <c r="H23" s="260"/>
      <c r="I23" s="260"/>
      <c r="J23" s="260"/>
      <c r="K23" s="260"/>
      <c r="L23" s="260"/>
      <c r="M23" s="260"/>
      <c r="N23" s="260"/>
      <c r="O23" s="260"/>
      <c r="P23" s="260"/>
      <c r="Q23" s="266"/>
      <c r="R23" s="266"/>
      <c r="S23" s="266"/>
      <c r="T23" s="260"/>
      <c r="U23" s="260"/>
      <c r="V23" s="64" t="s">
        <v>89</v>
      </c>
      <c r="W23" s="52">
        <f>100%/8</f>
        <v>0.125</v>
      </c>
      <c r="X23" s="71">
        <v>1</v>
      </c>
      <c r="Y23" s="42"/>
      <c r="Z23" s="42"/>
      <c r="AA23" s="42"/>
      <c r="AB23" s="42"/>
      <c r="AC23" s="42"/>
      <c r="AD23" s="42">
        <v>0.5</v>
      </c>
      <c r="AE23" s="42"/>
      <c r="AF23" s="42"/>
      <c r="AG23" s="42"/>
      <c r="AH23" s="42"/>
      <c r="AI23" s="42"/>
      <c r="AJ23" s="42">
        <v>0.5</v>
      </c>
      <c r="AK23" s="42"/>
      <c r="AL23" s="363"/>
      <c r="AM23" s="367"/>
      <c r="AN23" s="343"/>
      <c r="AO23" s="343"/>
    </row>
    <row r="24" spans="1:41" ht="37.15" customHeight="1" thickBot="1" x14ac:dyDescent="0.4">
      <c r="A24" s="259">
        <v>6</v>
      </c>
      <c r="B24" s="259" t="s">
        <v>219</v>
      </c>
      <c r="C24" s="259" t="s">
        <v>115</v>
      </c>
      <c r="D24" s="259" t="s">
        <v>116</v>
      </c>
      <c r="E24" s="259" t="s">
        <v>117</v>
      </c>
      <c r="F24" s="277" t="s">
        <v>79</v>
      </c>
      <c r="G24" s="259" t="s">
        <v>914</v>
      </c>
      <c r="H24" s="259" t="s">
        <v>937</v>
      </c>
      <c r="I24" s="259" t="s">
        <v>115</v>
      </c>
      <c r="J24" s="259" t="s">
        <v>907</v>
      </c>
      <c r="K24" s="259" t="s">
        <v>907</v>
      </c>
      <c r="L24" s="259" t="s">
        <v>908</v>
      </c>
      <c r="M24" s="259" t="s">
        <v>909</v>
      </c>
      <c r="N24" s="259" t="s">
        <v>910</v>
      </c>
      <c r="O24" s="259" t="s">
        <v>909</v>
      </c>
      <c r="P24" s="259" t="s">
        <v>253</v>
      </c>
      <c r="Q24" s="261" t="s">
        <v>254</v>
      </c>
      <c r="R24" s="261" t="s">
        <v>255</v>
      </c>
      <c r="S24" s="261" t="s">
        <v>126</v>
      </c>
      <c r="T24" s="259" t="s">
        <v>934</v>
      </c>
      <c r="U24" s="261" t="s">
        <v>917</v>
      </c>
      <c r="V24" s="64" t="s">
        <v>86</v>
      </c>
      <c r="W24" s="53">
        <f>+(W25*X24)</f>
        <v>4.6875E-2</v>
      </c>
      <c r="X24" s="71">
        <f t="shared" si="0"/>
        <v>0.375</v>
      </c>
      <c r="Y24" s="63"/>
      <c r="Z24" s="63"/>
      <c r="AA24" s="63"/>
      <c r="AB24" s="43"/>
      <c r="AC24" s="43"/>
      <c r="AD24" s="43">
        <f>75%/X25*AD25</f>
        <v>0.375</v>
      </c>
      <c r="AE24" s="43"/>
      <c r="AF24" s="43"/>
      <c r="AG24" s="44"/>
      <c r="AH24" s="44"/>
      <c r="AI24" s="44"/>
      <c r="AJ24" s="44"/>
      <c r="AK24" s="44"/>
      <c r="AL24" s="362"/>
      <c r="AM24" s="471" t="s">
        <v>938</v>
      </c>
      <c r="AN24" s="342"/>
      <c r="AO24" s="342"/>
    </row>
    <row r="25" spans="1:41" ht="40.15" customHeight="1" thickBot="1" x14ac:dyDescent="0.4">
      <c r="A25" s="260"/>
      <c r="B25" s="260"/>
      <c r="C25" s="260"/>
      <c r="D25" s="260"/>
      <c r="E25" s="260"/>
      <c r="F25" s="278"/>
      <c r="G25" s="260"/>
      <c r="H25" s="260"/>
      <c r="I25" s="260"/>
      <c r="J25" s="260"/>
      <c r="K25" s="260"/>
      <c r="L25" s="260"/>
      <c r="M25" s="260"/>
      <c r="N25" s="260"/>
      <c r="O25" s="260"/>
      <c r="P25" s="260"/>
      <c r="Q25" s="266"/>
      <c r="R25" s="266"/>
      <c r="S25" s="266"/>
      <c r="T25" s="260"/>
      <c r="U25" s="266"/>
      <c r="V25" s="64" t="s">
        <v>89</v>
      </c>
      <c r="W25" s="52">
        <f>100%/8</f>
        <v>0.125</v>
      </c>
      <c r="X25" s="71">
        <f t="shared" si="0"/>
        <v>1</v>
      </c>
      <c r="Y25" s="42"/>
      <c r="Z25" s="42"/>
      <c r="AA25" s="42"/>
      <c r="AB25" s="42"/>
      <c r="AC25" s="42"/>
      <c r="AD25" s="42">
        <v>0.5</v>
      </c>
      <c r="AE25" s="42"/>
      <c r="AF25" s="42"/>
      <c r="AG25" s="42"/>
      <c r="AH25" s="42"/>
      <c r="AI25" s="42"/>
      <c r="AJ25" s="42">
        <v>0.5</v>
      </c>
      <c r="AK25" s="42"/>
      <c r="AL25" s="363"/>
      <c r="AM25" s="472"/>
      <c r="AN25" s="343"/>
      <c r="AO25" s="343"/>
    </row>
    <row r="26" spans="1:41" ht="37.15" customHeight="1" x14ac:dyDescent="0.35">
      <c r="A26" s="259">
        <v>7</v>
      </c>
      <c r="B26" s="259" t="s">
        <v>219</v>
      </c>
      <c r="C26" s="259" t="s">
        <v>115</v>
      </c>
      <c r="D26" s="259" t="s">
        <v>116</v>
      </c>
      <c r="E26" s="259" t="s">
        <v>117</v>
      </c>
      <c r="F26" s="284" t="s">
        <v>79</v>
      </c>
      <c r="G26" s="259" t="s">
        <v>923</v>
      </c>
      <c r="H26" s="259" t="s">
        <v>939</v>
      </c>
      <c r="I26" s="259" t="s">
        <v>940</v>
      </c>
      <c r="J26" s="259" t="s">
        <v>907</v>
      </c>
      <c r="K26" s="259" t="s">
        <v>907</v>
      </c>
      <c r="L26" s="259" t="s">
        <v>908</v>
      </c>
      <c r="M26" s="259" t="s">
        <v>909</v>
      </c>
      <c r="N26" s="259" t="s">
        <v>910</v>
      </c>
      <c r="O26" s="259" t="s">
        <v>909</v>
      </c>
      <c r="P26" s="259" t="s">
        <v>253</v>
      </c>
      <c r="Q26" s="261" t="s">
        <v>254</v>
      </c>
      <c r="R26" s="261" t="s">
        <v>255</v>
      </c>
      <c r="S26" s="261" t="s">
        <v>126</v>
      </c>
      <c r="T26" s="259" t="s">
        <v>941</v>
      </c>
      <c r="U26" s="259" t="s">
        <v>941</v>
      </c>
      <c r="V26" s="64" t="s">
        <v>86</v>
      </c>
      <c r="W26" s="53">
        <f>+(W27*X26)</f>
        <v>4.6875E-2</v>
      </c>
      <c r="X26" s="71">
        <f>SUM(Y26:AK26)</f>
        <v>0.375</v>
      </c>
      <c r="Y26" s="45"/>
      <c r="Z26" s="45"/>
      <c r="AA26" s="45"/>
      <c r="AB26" s="45"/>
      <c r="AC26" s="45"/>
      <c r="AD26" s="219">
        <f>75%/X27*AD27</f>
        <v>0.375</v>
      </c>
      <c r="AE26" s="45"/>
      <c r="AF26" s="45"/>
      <c r="AG26" s="45"/>
      <c r="AH26" s="45"/>
      <c r="AI26" s="45"/>
      <c r="AJ26" s="45"/>
      <c r="AK26" s="45"/>
      <c r="AL26" s="362"/>
      <c r="AM26" s="366" t="s">
        <v>942</v>
      </c>
      <c r="AN26" s="342"/>
      <c r="AO26" s="342"/>
    </row>
    <row r="27" spans="1:41" ht="37.15" customHeight="1" thickBot="1" x14ac:dyDescent="0.4">
      <c r="A27" s="260"/>
      <c r="B27" s="260"/>
      <c r="C27" s="260"/>
      <c r="D27" s="260"/>
      <c r="E27" s="260"/>
      <c r="F27" s="284"/>
      <c r="G27" s="260"/>
      <c r="H27" s="260"/>
      <c r="I27" s="260"/>
      <c r="J27" s="260"/>
      <c r="K27" s="260"/>
      <c r="L27" s="260"/>
      <c r="M27" s="260"/>
      <c r="N27" s="260"/>
      <c r="O27" s="260"/>
      <c r="P27" s="260"/>
      <c r="Q27" s="266"/>
      <c r="R27" s="266"/>
      <c r="S27" s="266"/>
      <c r="T27" s="260"/>
      <c r="U27" s="260"/>
      <c r="V27" s="64" t="s">
        <v>89</v>
      </c>
      <c r="W27" s="52">
        <f>100%/8</f>
        <v>0.125</v>
      </c>
      <c r="X27" s="71">
        <f>SUM(Y27:AK27)</f>
        <v>1</v>
      </c>
      <c r="Y27" s="42"/>
      <c r="Z27" s="42"/>
      <c r="AA27" s="42"/>
      <c r="AB27" s="42"/>
      <c r="AC27" s="42"/>
      <c r="AD27" s="42">
        <v>0.5</v>
      </c>
      <c r="AE27" s="42"/>
      <c r="AF27" s="42"/>
      <c r="AG27" s="42"/>
      <c r="AH27" s="42"/>
      <c r="AI27" s="42"/>
      <c r="AJ27" s="42">
        <v>0.5</v>
      </c>
      <c r="AK27" s="42"/>
      <c r="AL27" s="363"/>
      <c r="AM27" s="367"/>
      <c r="AN27" s="343"/>
      <c r="AO27" s="343"/>
    </row>
    <row r="28" spans="1:41" ht="37.15" customHeight="1" x14ac:dyDescent="0.35">
      <c r="A28" s="259">
        <v>8</v>
      </c>
      <c r="B28" s="259" t="s">
        <v>219</v>
      </c>
      <c r="C28" s="259" t="s">
        <v>115</v>
      </c>
      <c r="D28" s="259" t="s">
        <v>116</v>
      </c>
      <c r="E28" s="259" t="s">
        <v>117</v>
      </c>
      <c r="F28" s="284" t="s">
        <v>79</v>
      </c>
      <c r="G28" s="259" t="s">
        <v>904</v>
      </c>
      <c r="H28" s="253" t="s">
        <v>943</v>
      </c>
      <c r="I28" s="259" t="s">
        <v>944</v>
      </c>
      <c r="J28" s="259" t="s">
        <v>945</v>
      </c>
      <c r="K28" s="259" t="s">
        <v>907</v>
      </c>
      <c r="L28" s="259" t="s">
        <v>908</v>
      </c>
      <c r="M28" s="259" t="s">
        <v>909</v>
      </c>
      <c r="N28" s="259" t="s">
        <v>910</v>
      </c>
      <c r="O28" s="259" t="s">
        <v>909</v>
      </c>
      <c r="P28" s="259" t="s">
        <v>253</v>
      </c>
      <c r="Q28" s="261" t="s">
        <v>946</v>
      </c>
      <c r="R28" s="261" t="s">
        <v>255</v>
      </c>
      <c r="S28" s="261" t="s">
        <v>126</v>
      </c>
      <c r="T28" s="259" t="s">
        <v>941</v>
      </c>
      <c r="U28" s="259" t="s">
        <v>941</v>
      </c>
      <c r="V28" s="64" t="s">
        <v>86</v>
      </c>
      <c r="W28" s="53">
        <f>+(W29*X28)</f>
        <v>4.6875E-2</v>
      </c>
      <c r="X28" s="71">
        <f>SUM(Y28:AK28)</f>
        <v>0.375</v>
      </c>
      <c r="Y28" s="45"/>
      <c r="Z28" s="45"/>
      <c r="AA28" s="45"/>
      <c r="AB28" s="45"/>
      <c r="AC28" s="45"/>
      <c r="AD28" s="219">
        <f>75%/X29*AD29</f>
        <v>0.375</v>
      </c>
      <c r="AE28" s="45"/>
      <c r="AF28" s="45"/>
      <c r="AG28" s="45"/>
      <c r="AH28" s="45"/>
      <c r="AI28" s="45"/>
      <c r="AJ28" s="45"/>
      <c r="AK28" s="45"/>
      <c r="AL28" s="362"/>
      <c r="AM28" s="366" t="s">
        <v>947</v>
      </c>
      <c r="AN28" s="342"/>
      <c r="AO28" s="342"/>
    </row>
    <row r="29" spans="1:41" ht="37.15" customHeight="1" x14ac:dyDescent="0.35">
      <c r="A29" s="260"/>
      <c r="B29" s="260"/>
      <c r="C29" s="260"/>
      <c r="D29" s="260"/>
      <c r="E29" s="260"/>
      <c r="F29" s="284"/>
      <c r="G29" s="260"/>
      <c r="H29" s="254"/>
      <c r="I29" s="260"/>
      <c r="J29" s="260"/>
      <c r="K29" s="260"/>
      <c r="L29" s="260"/>
      <c r="M29" s="260"/>
      <c r="N29" s="260"/>
      <c r="O29" s="260"/>
      <c r="P29" s="260"/>
      <c r="Q29" s="266"/>
      <c r="R29" s="266"/>
      <c r="S29" s="266"/>
      <c r="T29" s="260"/>
      <c r="U29" s="260"/>
      <c r="V29" s="64" t="s">
        <v>89</v>
      </c>
      <c r="W29" s="52">
        <f>100%/8</f>
        <v>0.125</v>
      </c>
      <c r="X29" s="71">
        <f>SUM(Y29:AK29)</f>
        <v>1</v>
      </c>
      <c r="Y29" s="42"/>
      <c r="Z29" s="42"/>
      <c r="AA29" s="42"/>
      <c r="AB29" s="42"/>
      <c r="AC29" s="42"/>
      <c r="AD29" s="42">
        <v>0.5</v>
      </c>
      <c r="AE29" s="42"/>
      <c r="AF29" s="42"/>
      <c r="AG29" s="42"/>
      <c r="AH29" s="42"/>
      <c r="AI29" s="42"/>
      <c r="AJ29" s="42">
        <v>0.5</v>
      </c>
      <c r="AK29" s="42"/>
      <c r="AL29" s="363"/>
      <c r="AM29" s="367"/>
      <c r="AN29" s="343"/>
      <c r="AO29" s="343"/>
    </row>
    <row r="30" spans="1:41" s="13" customFormat="1" ht="30" hidden="1" customHeight="1" x14ac:dyDescent="0.35">
      <c r="D30" s="249"/>
      <c r="E30" s="249"/>
      <c r="F30" s="21"/>
      <c r="H30" s="254"/>
      <c r="I30" s="15" t="s">
        <v>131</v>
      </c>
      <c r="J30" s="17"/>
      <c r="K30" s="34"/>
      <c r="L30" s="34"/>
      <c r="M30" s="34"/>
      <c r="N30" s="34"/>
      <c r="O30" s="34"/>
      <c r="P30" s="34"/>
      <c r="Q30" s="34"/>
      <c r="R30" s="34"/>
      <c r="S30" s="34"/>
      <c r="T30" s="34"/>
      <c r="U30" s="34"/>
      <c r="V30" s="34">
        <f>SUM(V29:V29)</f>
        <v>0</v>
      </c>
      <c r="W30" s="37"/>
      <c r="X30" s="34"/>
      <c r="Y30" s="34"/>
      <c r="Z30" s="27">
        <f>SUM(W29:Z29)</f>
        <v>1.125</v>
      </c>
      <c r="AA30" s="27"/>
      <c r="AB30" s="27"/>
      <c r="AC30" s="27"/>
      <c r="AD30" s="27">
        <f>SUM(AA29:AD29)</f>
        <v>0.5</v>
      </c>
      <c r="AE30" s="27"/>
      <c r="AF30" s="27"/>
      <c r="AG30" s="27"/>
      <c r="AH30" s="27">
        <f>SUM(AE29:AH29)</f>
        <v>0</v>
      </c>
      <c r="AI30" s="39"/>
      <c r="AJ30" s="27"/>
      <c r="AK30" s="67"/>
    </row>
    <row r="31" spans="1:41" s="13" customFormat="1" ht="30" hidden="1" customHeight="1" x14ac:dyDescent="0.35">
      <c r="H31" s="254"/>
      <c r="I31" s="15" t="s">
        <v>132</v>
      </c>
      <c r="J31" s="14"/>
      <c r="K31" s="34"/>
      <c r="L31" s="34"/>
      <c r="M31" s="34"/>
      <c r="N31" s="34"/>
      <c r="O31" s="34"/>
      <c r="P31" s="34"/>
      <c r="Q31" s="34"/>
      <c r="R31" s="34"/>
      <c r="S31" s="34"/>
      <c r="T31" s="34"/>
      <c r="U31" s="34"/>
      <c r="V31" s="34" t="e">
        <f>+#REF!+V30</f>
        <v>#REF!</v>
      </c>
      <c r="W31" s="37"/>
      <c r="X31" s="34"/>
      <c r="Y31" s="34"/>
      <c r="Z31" s="26"/>
      <c r="AA31" s="27"/>
      <c r="AB31" s="27"/>
      <c r="AC31" s="27"/>
      <c r="AD31" s="27"/>
      <c r="AE31" s="27"/>
      <c r="AF31" s="27"/>
      <c r="AG31" s="27"/>
      <c r="AH31" s="27">
        <f>+Z30+AD30+AH30</f>
        <v>1.625</v>
      </c>
      <c r="AI31" s="39"/>
      <c r="AJ31" s="27"/>
      <c r="AK31" s="67"/>
    </row>
    <row r="32" spans="1:41" s="13" customFormat="1" ht="30" hidden="1" customHeight="1" x14ac:dyDescent="0.35">
      <c r="H32" s="255"/>
      <c r="I32" s="18" t="s">
        <v>133</v>
      </c>
      <c r="J32" s="19"/>
      <c r="K32" s="35"/>
      <c r="L32" s="35"/>
      <c r="M32" s="35"/>
      <c r="N32" s="35"/>
      <c r="O32" s="35"/>
      <c r="P32" s="35"/>
      <c r="Q32" s="35"/>
      <c r="R32" s="35"/>
      <c r="S32" s="35"/>
      <c r="T32" s="35"/>
      <c r="U32" s="35"/>
      <c r="V32" s="35"/>
      <c r="W32" s="38"/>
      <c r="X32" s="35"/>
      <c r="Y32" s="35"/>
      <c r="Z32" s="28"/>
      <c r="AA32" s="29"/>
      <c r="AB32" s="29"/>
      <c r="AC32" s="29"/>
      <c r="AD32" s="29"/>
      <c r="AE32" s="29"/>
      <c r="AF32" s="29"/>
      <c r="AG32" s="29"/>
      <c r="AH32" s="29" t="e">
        <f>+V31+AH31</f>
        <v>#REF!</v>
      </c>
      <c r="AI32" s="40"/>
      <c r="AJ32" s="29"/>
      <c r="AK32" s="67"/>
    </row>
    <row r="33" spans="8:37" s="13" customFormat="1" ht="30" hidden="1" customHeight="1" x14ac:dyDescent="0.35">
      <c r="H33" s="256" t="s">
        <v>134</v>
      </c>
      <c r="I33" s="15" t="s">
        <v>135</v>
      </c>
      <c r="J33" s="23" t="e">
        <f>SUM(O33:AJ33)</f>
        <v>#REF!</v>
      </c>
      <c r="K33" s="34"/>
      <c r="L33" s="34"/>
      <c r="M33" s="34"/>
      <c r="N33" s="34"/>
      <c r="O33" s="34" t="e">
        <f>+(AC15*$W$15)+(AC17*$W$17)+(AC19*$W$19)+(AC21*$W$21)+(#REF!*$W$23)+(AC26*$W$25)+(#REF!*$W$27)+(#REF!*#REF!)+(#REF!*#REF!)+(#REF!*#REF!)+(#REF!*#REF!)+(#REF!*#REF!)+(#REF!*#REF!)</f>
        <v>#REF!</v>
      </c>
      <c r="P33" s="34"/>
      <c r="Q33" s="34"/>
      <c r="R33" s="34"/>
      <c r="S33" s="34"/>
      <c r="T33" s="34"/>
      <c r="U33" s="34"/>
      <c r="V33" s="34" t="e">
        <f>+(AJ15*$W$15)+(AJ17*$W$17)+(AJ19*$W$19)+(AJ21*$W$21)+(#REF!*$W$23)+(AJ26*$W$25)+(#REF!*$W$27)+(#REF!*#REF!)+(#REF!*#REF!)+(#REF!*#REF!)+(#REF!*#REF!)+(#REF!*#REF!)+(#REF!*#REF!)</f>
        <v>#REF!</v>
      </c>
      <c r="W33" s="37" t="e">
        <f>+(#REF!*$W$15)+(#REF!*$W$17)+(#REF!*$W$19)+(#REF!*$W$21)+(#REF!*$W$23)+(#REF!*$W$25)+(#REF!*$W$27)+(#REF!*#REF!)+(#REF!*#REF!)+(#REF!*#REF!)+(#REF!*#REF!)+(#REF!*#REF!)+(#REF!*#REF!)</f>
        <v>#REF!</v>
      </c>
      <c r="X33" s="34" t="e">
        <f>+(#REF!*$W$15)+(#REF!*$W$17)+(#REF!*$W$19)+(#REF!*$W$21)+(#REF!*$W$23)+(#REF!*$W$25)+(#REF!*$W$27)+(#REF!*#REF!)+(#REF!*#REF!)+(#REF!*#REF!)+(#REF!*#REF!)+(#REF!*#REF!)+(#REF!*#REF!)</f>
        <v>#REF!</v>
      </c>
      <c r="Y33" s="34" t="e">
        <f>+(#REF!*$W$15)+(#REF!*$W$17)+(#REF!*$W$19)+(#REF!*$W$21)+(#REF!*$W$23)+(#REF!*$W$25)+(#REF!*$W$27)+(#REF!*#REF!)+(#REF!*#REF!)+(#REF!*#REF!)+(#REF!*#REF!)+(#REF!*#REF!)+(#REF!*#REF!)</f>
        <v>#REF!</v>
      </c>
      <c r="Z33" s="34" t="e">
        <f>+(#REF!*$W$15)+(#REF!*$W$17)+(#REF!*$W$19)+(#REF!*$W$21)+(#REF!*$W$23)+(#REF!*$W$25)+(Y26*$W$27)+(#REF!*#REF!)+(#REF!*#REF!)+(#REF!*#REF!)+(#REF!*#REF!)+(#REF!*#REF!)+(#REF!*#REF!)</f>
        <v>#REF!</v>
      </c>
      <c r="AA33" s="34" t="e">
        <f>+(#REF!*$W$15)+(#REF!*$W$17)+(#REF!*$W$19)+(#REF!*$W$21)+(#REF!*$W$23)+(#REF!*$W$25)+(#REF!*$W$27)+(#REF!*#REF!)+(#REF!*#REF!)+(#REF!*#REF!)+(#REF!*#REF!)+(#REF!*#REF!)+(#REF!*#REF!)</f>
        <v>#REF!</v>
      </c>
      <c r="AB33" s="34" t="e">
        <f>+(#REF!*$W$15)+(#REF!*$W$17)+(#REF!*$W$19)+(#REF!*$W$21)+(#REF!*$W$23)+(#REF!*$W$25)+(#REF!*$W$27)+(#REF!*#REF!)+(#REF!*#REF!)+(#REF!*#REF!)+(#REF!*#REF!)+(#REF!*#REF!)+(#REF!*#REF!)</f>
        <v>#REF!</v>
      </c>
      <c r="AC33" s="34" t="e">
        <f>+(#REF!*$W$15)+(#REF!*$W$17)+(#REF!*$W$19)+(#REF!*$W$21)+(#REF!*$W$23)+(#REF!*$W$25)+(#REF!*$W$27)+(#REF!*#REF!)+(#REF!*#REF!)+(#REF!*#REF!)+(#REF!*#REF!)+(#REF!*#REF!)+(#REF!*#REF!)</f>
        <v>#REF!</v>
      </c>
      <c r="AD33" s="34" t="e">
        <f>+(#REF!*$W$15)+(#REF!*$W$17)+(#REF!*$W$19)+(#REF!*$W$21)+(#REF!*$W$23)+(#REF!*$W$25)+(#REF!*$W$27)+(#REF!*#REF!)+(#REF!*#REF!)+(#REF!*#REF!)+(#REF!*#REF!)+(#REF!*#REF!)+(#REF!*#REF!)</f>
        <v>#REF!</v>
      </c>
      <c r="AE33" s="34" t="e">
        <f>+(#REF!*$W$15)+(#REF!*$W$17)+(#REF!*$W$19)+(#REF!*$W$21)+(#REF!*$W$23)+(#REF!*$W$25)+(#REF!*$W$27)+(#REF!*#REF!)+(#REF!*#REF!)+(#REF!*#REF!)+(#REF!*#REF!)+(#REF!*#REF!)+(#REF!*#REF!)</f>
        <v>#REF!</v>
      </c>
      <c r="AF33" s="34" t="e">
        <f>+(#REF!*$W$15)+(#REF!*$W$17)+(#REF!*$W$19)+(#REF!*$W$21)+(#REF!*$W$23)+(#REF!*$W$25)+(#REF!*$W$27)+(#REF!*#REF!)+(#REF!*#REF!)+(#REF!*#REF!)+(#REF!*#REF!)+(#REF!*#REF!)+(#REF!*#REF!)</f>
        <v>#REF!</v>
      </c>
      <c r="AG33" s="34" t="e">
        <f>+(#REF!*$W$15)+(#REF!*$W$17)+(#REF!*$W$19)+(#REF!*$W$21)+(#REF!*$W$23)+(#REF!*$W$25)+(#REF!*$W$27)+(#REF!*#REF!)+(#REF!*#REF!)+(#REF!*#REF!)+(#REF!*#REF!)+(#REF!*#REF!)+(#REF!*#REF!)</f>
        <v>#REF!</v>
      </c>
      <c r="AH33" s="34" t="e">
        <f>+(#REF!*$W$15)+(#REF!*$W$17)+(#REF!*$W$19)+(#REF!*$W$21)+(#REF!*$W$23)+(#REF!*$W$25)+(#REF!*$W$27)+(#REF!*#REF!)+(#REF!*#REF!)+(#REF!*#REF!)+(#REF!*#REF!)+(#REF!*#REF!)+(#REF!*#REF!)</f>
        <v>#REF!</v>
      </c>
      <c r="AI33" s="37" t="e">
        <f>+(#REF!*$W$15)+(#REF!*$W$17)+(#REF!*$W$19)+(#REF!*$W$21)+(#REF!*$W$23)+(#REF!*$W$25)+(#REF!*$W$27)+(#REF!*#REF!)+(#REF!*#REF!)+(#REF!*#REF!)+(#REF!*#REF!)+(#REF!*#REF!)+(#REF!*#REF!)</f>
        <v>#REF!</v>
      </c>
      <c r="AJ33" s="34" t="e">
        <f>+(#REF!*$W$15)+(#REF!*$W$17)+(#REF!*$W$19)+(#REF!*$W$21)+(#REF!*$W$23)+(#REF!*$W$25)+(#REF!*$W$27)+(#REF!*#REF!)+(#REF!*#REF!)+(#REF!*#REF!)+(#REF!*#REF!)+(#REF!*#REF!)+(#REF!*#REF!)</f>
        <v>#REF!</v>
      </c>
      <c r="AK33" s="66"/>
    </row>
    <row r="34" spans="8:37" s="13" customFormat="1" ht="30" hidden="1" customHeight="1" x14ac:dyDescent="0.35">
      <c r="H34" s="254"/>
      <c r="I34" s="15" t="s">
        <v>136</v>
      </c>
      <c r="J34" s="16"/>
      <c r="K34" s="34"/>
      <c r="L34" s="34"/>
      <c r="M34" s="34"/>
      <c r="N34" s="34"/>
      <c r="O34" s="34"/>
      <c r="P34" s="34"/>
      <c r="Q34" s="34"/>
      <c r="R34" s="34"/>
      <c r="S34" s="34"/>
      <c r="T34" s="34"/>
      <c r="U34" s="34"/>
      <c r="V34" s="34" t="e">
        <f>SUM(V33:V33)</f>
        <v>#REF!</v>
      </c>
      <c r="W34" s="37"/>
      <c r="X34" s="34"/>
      <c r="Y34" s="34"/>
      <c r="Z34" s="34" t="e">
        <f>SUM(W33:Z33)</f>
        <v>#REF!</v>
      </c>
      <c r="AA34" s="34"/>
      <c r="AB34" s="34"/>
      <c r="AC34" s="34"/>
      <c r="AD34" s="34" t="e">
        <f>SUM(AA33:AD33)</f>
        <v>#REF!</v>
      </c>
      <c r="AE34" s="34"/>
      <c r="AF34" s="34"/>
      <c r="AG34" s="34"/>
      <c r="AH34" s="34" t="e">
        <f>SUM(AE33:AH33)</f>
        <v>#REF!</v>
      </c>
      <c r="AI34" s="37"/>
      <c r="AJ34" s="34"/>
      <c r="AK34" s="66"/>
    </row>
    <row r="35" spans="8:37" s="13" customFormat="1" ht="30" hidden="1" customHeight="1" x14ac:dyDescent="0.35">
      <c r="H35" s="254"/>
      <c r="I35" s="15" t="s">
        <v>137</v>
      </c>
      <c r="J35" s="14"/>
      <c r="K35" s="34"/>
      <c r="L35" s="34"/>
      <c r="M35" s="34"/>
      <c r="N35" s="34"/>
      <c r="O35" s="34"/>
      <c r="P35" s="34"/>
      <c r="Q35" s="34"/>
      <c r="R35" s="34"/>
      <c r="S35" s="34"/>
      <c r="T35" s="34"/>
      <c r="U35" s="34"/>
      <c r="V35" s="34" t="e">
        <f>+#REF!+V34</f>
        <v>#REF!</v>
      </c>
      <c r="W35" s="37"/>
      <c r="X35" s="34"/>
      <c r="Y35" s="34"/>
      <c r="Z35" s="26"/>
      <c r="AA35" s="27"/>
      <c r="AB35" s="27"/>
      <c r="AC35" s="27"/>
      <c r="AD35" s="27"/>
      <c r="AE35" s="27"/>
      <c r="AF35" s="27"/>
      <c r="AG35" s="27"/>
      <c r="AH35" s="27" t="e">
        <f>+Z34+AD34+AH34</f>
        <v>#REF!</v>
      </c>
      <c r="AI35" s="39"/>
      <c r="AJ35" s="27"/>
      <c r="AK35" s="67"/>
    </row>
    <row r="36" spans="8:37" s="13" customFormat="1" ht="30" hidden="1" customHeight="1" x14ac:dyDescent="0.35">
      <c r="H36" s="255"/>
      <c r="I36" s="20" t="s">
        <v>138</v>
      </c>
      <c r="J36" s="19"/>
      <c r="K36" s="35"/>
      <c r="L36" s="35"/>
      <c r="M36" s="35"/>
      <c r="N36" s="35"/>
      <c r="O36" s="35"/>
      <c r="P36" s="35"/>
      <c r="Q36" s="35"/>
      <c r="R36" s="35"/>
      <c r="S36" s="35"/>
      <c r="T36" s="35"/>
      <c r="U36" s="35"/>
      <c r="V36" s="35"/>
      <c r="W36" s="38"/>
      <c r="X36" s="35"/>
      <c r="Y36" s="35"/>
      <c r="Z36" s="28"/>
      <c r="AA36" s="29"/>
      <c r="AB36" s="29"/>
      <c r="AC36" s="29"/>
      <c r="AD36" s="29"/>
      <c r="AE36" s="29"/>
      <c r="AF36" s="29"/>
      <c r="AG36" s="29"/>
      <c r="AH36" s="29" t="e">
        <f>+V35+AH35</f>
        <v>#REF!</v>
      </c>
      <c r="AI36" s="40"/>
      <c r="AJ36" s="41"/>
      <c r="AK36" s="67"/>
    </row>
    <row r="37" spans="8:37" ht="30" hidden="1" customHeight="1" x14ac:dyDescent="0.35">
      <c r="H37" s="24"/>
      <c r="I37" s="251" t="s">
        <v>139</v>
      </c>
      <c r="J37" s="251"/>
      <c r="K37" s="46"/>
      <c r="L37" s="46"/>
      <c r="M37" s="46"/>
      <c r="N37" s="46"/>
      <c r="O37" s="46" t="e">
        <f>+O29/O33</f>
        <v>#REF!</v>
      </c>
      <c r="P37" s="46"/>
      <c r="Q37" s="46"/>
      <c r="R37" s="46"/>
      <c r="S37" s="46"/>
      <c r="T37" s="46"/>
      <c r="U37" s="46"/>
      <c r="V37" s="47" t="e">
        <f>+(O29+#REF!+#REF!+#REF!+#REF!+#REF!+#REF!+V29)/(O33+#REF!+#REF!+#REF!+#REF!+#REF!+#REF!+V33)</f>
        <v>#REF!</v>
      </c>
      <c r="W37" s="48" t="e">
        <f>+(O29+#REF!+#REF!+#REF!+#REF!+#REF!+#REF!+V29+W29)/(O33+#REF!+#REF!+#REF!+#REF!+#REF!+#REF!+V33+W33)</f>
        <v>#REF!</v>
      </c>
      <c r="X37" s="46" t="e">
        <f>+(O29+#REF!+#REF!+#REF!+#REF!+#REF!+#REF!+V29+W29+X29)/(O33+#REF!+#REF!+#REF!+#REF!+#REF!+#REF!+V33+W33+X33)</f>
        <v>#REF!</v>
      </c>
      <c r="Y37" s="46" t="e">
        <f>+(O29+#REF!+#REF!+#REF!+#REF!+#REF!+#REF!+V29+W29+X29+Y29)/(O33+#REF!+#REF!+#REF!+#REF!+#REF!+#REF!+V33+W33+X33+Y33)</f>
        <v>#REF!</v>
      </c>
      <c r="Z37" s="47" t="e">
        <f>+(O29+#REF!+#REF!+#REF!+#REF!+#REF!+#REF!+V29+W29+X29+Y29+Z29)/(O33+#REF!+#REF!+#REF!+#REF!+#REF!+#REF!+V33+W33+X33+Y33+Z33)</f>
        <v>#REF!</v>
      </c>
      <c r="AA37" s="46" t="e">
        <f>+(O29+#REF!+#REF!+#REF!+#REF!+#REF!+#REF!+V29+W29+X29+Y29+Z29+AA29)/(O33+#REF!+#REF!+#REF!+#REF!+#REF!+#REF!+V33+W33+X33+Y33+Z33+AA33)</f>
        <v>#REF!</v>
      </c>
      <c r="AB37" s="46" t="e">
        <f>+(O29+#REF!+#REF!+#REF!+#REF!+#REF!+#REF!+V29+W29+X29+Y29+Z29+AA29+AB29)/(O33+#REF!+#REF!+#REF!+#REF!+#REF!+#REF!+V33+W33+X33+Y33+Z33+AA33+AB33)</f>
        <v>#REF!</v>
      </c>
      <c r="AC37" s="46" t="e">
        <f>+(O29+#REF!+#REF!+#REF!+#REF!+#REF!+#REF!+V29+W29+X29+Y29+Z29+AA29+AB29+AC29)/(O33+#REF!+#REF!+#REF!+#REF!+#REF!+#REF!+V33+W33+X33+Y33+Z33+AA33+AB33+AC33)</f>
        <v>#REF!</v>
      </c>
      <c r="AD37" s="47" t="e">
        <f>+(O29+#REF!+#REF!+#REF!+#REF!+#REF!+#REF!+V29+W29+X29+Y29+Z29+AA29+AB29+AC29+AD29)/(O33+#REF!+#REF!+#REF!+#REF!+#REF!+#REF!+V33+W33+X33+Y33+Z33+AA33+AB33+AC33+AD33)</f>
        <v>#REF!</v>
      </c>
      <c r="AE37" s="46" t="e">
        <f>+(O29+#REF!+#REF!+#REF!+#REF!+#REF!+#REF!+V29+W29+X29+Y29+Z29+AA29+AB29+AC29+AD29+AE29)/(O33+#REF!+#REF!+#REF!+#REF!+#REF!+#REF!+V33+W33+X33+Y33+Z33+AA33+AB33+AC33+AD33+AE33)</f>
        <v>#REF!</v>
      </c>
      <c r="AF37" s="46" t="e">
        <f>+(O29+#REF!+#REF!+#REF!+#REF!+#REF!+#REF!+V29+W29+X29+Y29+Z29+AA29+AB29+AC29+AD29+AE29+AF29)/(O33+#REF!+#REF!+#REF!+#REF!+#REF!+#REF!+V33+W33+X33+Y33+Z33+AA33+AB33+AC33+AD33+AE33+AF33)</f>
        <v>#REF!</v>
      </c>
      <c r="AG37" s="46" t="e">
        <f>+(O29+#REF!+#REF!+#REF!+#REF!+#REF!+#REF!+V29+W29+X29+Y29+Z29+AA29+AB29+AC29+AD29+AE29+AF29+AG29)/(O33+#REF!+#REF!+#REF!+#REF!+#REF!+#REF!+V33+W33+X33+Y33+Z33+AA33+AB33+AC33+AD33+AE33+AF33+AG33)</f>
        <v>#REF!</v>
      </c>
      <c r="AH37" s="47" t="e">
        <f>+(O29+#REF!+#REF!+#REF!+#REF!+#REF!+#REF!+V29+W29+X29+Y29+Z29+AA29+AB29+AC29+AD29+AE29+AF29+AG29+AH29)/(O33+#REF!+#REF!+#REF!+#REF!+#REF!+#REF!+V33+W33+X33+Y33+Z33+AA33+AB33+AC33+AD33+AE33+AF33+AG33+AH33)</f>
        <v>#REF!</v>
      </c>
      <c r="AI37" s="48" t="e">
        <f>+(O29+#REF!+#REF!+#REF!+#REF!+#REF!+#REF!+V29+W29+X29+Y29+Z29+AA29+AB29+AC29+AD29+AE29+AF29+AG29+AH29+AI29)/(O33+#REF!+#REF!+#REF!+#REF!+#REF!+#REF!+V33+W33+X33+Y33+Z33+AA33+AB33+AC33+AD33+AE33+AF33+AG33+AH33+AI33)</f>
        <v>#REF!</v>
      </c>
      <c r="AJ37" s="46" t="e">
        <f>+(O29+#REF!+#REF!+#REF!+#REF!+#REF!+#REF!+V29+W29+X29+Y29+Z29+AA29+AB29+AC29+AD29+AE29+AF29+AG29+AH29+AI29+AJ29)/(O33+#REF!+#REF!+#REF!+#REF!+#REF!+#REF!+V33+W33+X33+Y33+Z33+AA33+AB33+AC33+AD33+AE33+AF33+AG33+AH33+AI33+AJ33)</f>
        <v>#REF!</v>
      </c>
      <c r="AK37" s="68"/>
    </row>
    <row r="38" spans="8:37" ht="30" hidden="1" customHeight="1" x14ac:dyDescent="0.35">
      <c r="H38" s="24"/>
      <c r="I38" s="252" t="s">
        <v>140</v>
      </c>
      <c r="J38" s="252"/>
      <c r="K38" s="47"/>
      <c r="L38" s="47"/>
      <c r="M38" s="47"/>
      <c r="N38" s="47"/>
      <c r="O38" s="47" t="e">
        <f>+O29/$F$29</f>
        <v>#DIV/0!</v>
      </c>
      <c r="P38" s="47"/>
      <c r="Q38" s="47"/>
      <c r="R38" s="47"/>
      <c r="S38" s="47"/>
      <c r="T38" s="47"/>
      <c r="U38" s="47"/>
      <c r="V38" s="47" t="e">
        <f>+(O29+#REF!+#REF!+#REF!+#REF!+#REF!+#REF!+V29)/$F$29</f>
        <v>#REF!</v>
      </c>
      <c r="W38" s="49" t="e">
        <f>+(O29+#REF!+#REF!+#REF!+#REF!+#REF!+#REF!+V29+W29)/$F$29</f>
        <v>#REF!</v>
      </c>
      <c r="X38" s="47" t="e">
        <f>+(O29+#REF!+#REF!+#REF!+#REF!+#REF!+#REF!+V29+W29+X29)/$F$29</f>
        <v>#REF!</v>
      </c>
      <c r="Y38" s="47" t="e">
        <f>+(O29+#REF!+#REF!+#REF!+#REF!+#REF!+#REF!+V29+W29+X29+Y29)/$F$29</f>
        <v>#REF!</v>
      </c>
      <c r="Z38" s="47" t="e">
        <f>+(O29+#REF!+#REF!+#REF!+#REF!+#REF!+#REF!+V29+W29+X29+Y29+Z29)/$F$29</f>
        <v>#REF!</v>
      </c>
      <c r="AA38" s="47" t="e">
        <f>+(O29+#REF!+#REF!+#REF!+#REF!+#REF!+#REF!+V29+W29+X29+Y29+Z29+AA29)/$F$29</f>
        <v>#REF!</v>
      </c>
      <c r="AB38" s="47" t="e">
        <f>+(O29+#REF!+#REF!+#REF!+#REF!+#REF!+#REF!+V29+W29+X29+Y29+Z29+AA29+AB29)/$F$29</f>
        <v>#REF!</v>
      </c>
      <c r="AC38" s="47" t="e">
        <f>+(O29+#REF!+#REF!+#REF!+#REF!+#REF!+#REF!+V29+W29+X29+Y29+Z29+AA29+AB29+AC29)/$F$29</f>
        <v>#REF!</v>
      </c>
      <c r="AD38" s="47" t="e">
        <f>+(O29+#REF!+#REF!+#REF!+#REF!+#REF!+#REF!+V29+W29+X29+Y29+Z29+AA29+AB29+AC29+AD29)/$F$29</f>
        <v>#REF!</v>
      </c>
      <c r="AE38" s="47" t="e">
        <f>+(O29+#REF!+#REF!+#REF!+#REF!+#REF!+#REF!+V29+W29+X29+Y29+Z29+AA29+AB29+AC29+AD29+AE29)/$F$29</f>
        <v>#REF!</v>
      </c>
      <c r="AF38" s="47" t="e">
        <f>+(O29+#REF!+#REF!+#REF!+#REF!+#REF!+#REF!+V29+W29+X29+Y29+Z29+AA29+AB29+AC29+AD29+AE29+AF29)/$F$29</f>
        <v>#REF!</v>
      </c>
      <c r="AG38" s="47" t="e">
        <f>+(O29+#REF!+#REF!+#REF!+#REF!+#REF!+#REF!+V29+W29+X29+Y29+Z29+AA29+AB29+AC29+AD29+AE29+AF29+AG29)/$F$29</f>
        <v>#REF!</v>
      </c>
      <c r="AH38" s="47" t="e">
        <f>+(O29+#REF!+#REF!+#REF!+#REF!+#REF!+#REF!+V29+W29+X29+Y29+Z29+AA29+AB29+AC29+AD29+AE29+AF29+AG29+AH29)/$F$29</f>
        <v>#REF!</v>
      </c>
      <c r="AI38" s="49" t="e">
        <f>+(O29+#REF!+#REF!+#REF!+#REF!+#REF!+#REF!+V29+W29+X29+Y29+Z29+AA29+AB29+AC29+AD29+AE29+AF29+AG29+AH29+AI29)/$F$29</f>
        <v>#REF!</v>
      </c>
      <c r="AJ38" s="47" t="e">
        <f>+(O29+#REF!+#REF!+#REF!+#REF!+#REF!+#REF!+V29+W29+X29+Y29+Z29+AA29+AB29+AC29+AD29+AE29+AF29+AG29+AH29+AI29+AJ29)/$F$29</f>
        <v>#REF!</v>
      </c>
      <c r="AK38" s="69"/>
    </row>
    <row r="39" spans="8:37" ht="30" hidden="1" customHeight="1" x14ac:dyDescent="0.35">
      <c r="I39" s="251" t="s">
        <v>141</v>
      </c>
      <c r="J39" s="251"/>
      <c r="K39" s="50"/>
      <c r="L39" s="50"/>
      <c r="M39" s="50"/>
      <c r="N39" s="50"/>
      <c r="O39" s="50"/>
      <c r="P39" s="50"/>
      <c r="Q39" s="50"/>
      <c r="R39" s="50"/>
      <c r="S39" s="50"/>
      <c r="T39" s="50"/>
      <c r="U39" s="50"/>
      <c r="V39" s="47" t="e">
        <f>+V30/V34</f>
        <v>#REF!</v>
      </c>
      <c r="W39" s="51"/>
      <c r="X39" s="50"/>
      <c r="Y39" s="50"/>
      <c r="Z39" s="47" t="e">
        <f>+Z30/Z34</f>
        <v>#REF!</v>
      </c>
      <c r="AA39" s="50"/>
      <c r="AB39" s="50"/>
      <c r="AC39" s="50"/>
      <c r="AD39" s="47" t="e">
        <f>+AD30/AD34</f>
        <v>#REF!</v>
      </c>
      <c r="AE39" s="50"/>
      <c r="AF39" s="50"/>
      <c r="AG39" s="50"/>
      <c r="AH39" s="47" t="e">
        <f>+AH30/AH34</f>
        <v>#REF!</v>
      </c>
      <c r="AI39" s="51"/>
      <c r="AJ39" s="50"/>
      <c r="AK39" s="70"/>
    </row>
    <row r="40" spans="8:37" ht="30" hidden="1" customHeight="1" x14ac:dyDescent="0.35">
      <c r="I40" s="252" t="s">
        <v>142</v>
      </c>
      <c r="J40" s="252"/>
      <c r="K40" s="50"/>
      <c r="L40" s="50"/>
      <c r="M40" s="50"/>
      <c r="N40" s="50"/>
      <c r="O40" s="50"/>
      <c r="P40" s="50"/>
      <c r="Q40" s="50"/>
      <c r="R40" s="50"/>
      <c r="S40" s="50"/>
      <c r="T40" s="50"/>
      <c r="U40" s="50"/>
      <c r="V40" s="47" t="e">
        <f>+(#REF!+V30)/$F$29</f>
        <v>#REF!</v>
      </c>
      <c r="W40" s="51"/>
      <c r="X40" s="50"/>
      <c r="Y40" s="50"/>
      <c r="Z40" s="47" t="e">
        <f>+(#REF!+V30+Z30)/$F$29</f>
        <v>#REF!</v>
      </c>
      <c r="AA40" s="50"/>
      <c r="AB40" s="50"/>
      <c r="AC40" s="50"/>
      <c r="AD40" s="47" t="e">
        <f>+(#REF!+V30+Z30+AD30)/$F$29</f>
        <v>#REF!</v>
      </c>
      <c r="AE40" s="50"/>
      <c r="AF40" s="50"/>
      <c r="AG40" s="50"/>
      <c r="AH40" s="47" t="e">
        <f>+(#REF!+V30+Z30+AD30+AH30)/$F$29</f>
        <v>#REF!</v>
      </c>
      <c r="AI40" s="51"/>
      <c r="AJ40" s="50"/>
      <c r="AK40" s="70"/>
    </row>
    <row r="41" spans="8:37" ht="30" hidden="1" customHeight="1" x14ac:dyDescent="0.35">
      <c r="I41" s="251" t="s">
        <v>143</v>
      </c>
      <c r="J41" s="251"/>
      <c r="K41" s="50"/>
      <c r="L41" s="50"/>
      <c r="M41" s="50"/>
      <c r="N41" s="50"/>
      <c r="O41" s="50"/>
      <c r="P41" s="50"/>
      <c r="Q41" s="50"/>
      <c r="R41" s="50"/>
      <c r="S41" s="50"/>
      <c r="T41" s="50"/>
      <c r="U41" s="50"/>
      <c r="V41" s="47" t="e">
        <f>+(#REF!+V30)/(#REF!+V34)</f>
        <v>#REF!</v>
      </c>
      <c r="W41" s="51"/>
      <c r="X41" s="50"/>
      <c r="Y41" s="50"/>
      <c r="Z41" s="50"/>
      <c r="AA41" s="50"/>
      <c r="AB41" s="50"/>
      <c r="AC41" s="50"/>
      <c r="AD41" s="50"/>
      <c r="AE41" s="50"/>
      <c r="AF41" s="50"/>
      <c r="AG41" s="50"/>
      <c r="AH41" s="47" t="e">
        <f>+(#REF!+V30+Z30+AD30+AH30)/(#REF!+V34+Z34+AD34+AH34)</f>
        <v>#REF!</v>
      </c>
      <c r="AI41" s="51"/>
      <c r="AJ41" s="50"/>
      <c r="AK41" s="70"/>
    </row>
    <row r="42" spans="8:37" ht="30" hidden="1" customHeight="1" x14ac:dyDescent="0.35">
      <c r="I42" s="251" t="s">
        <v>144</v>
      </c>
      <c r="J42" s="251"/>
      <c r="K42" s="50"/>
      <c r="L42" s="50"/>
      <c r="M42" s="50"/>
      <c r="N42" s="50"/>
      <c r="O42" s="50"/>
      <c r="P42" s="50"/>
      <c r="Q42" s="50"/>
      <c r="R42" s="50"/>
      <c r="S42" s="50"/>
      <c r="T42" s="50"/>
      <c r="U42" s="50"/>
      <c r="V42" s="47" t="e">
        <f>+(#REF!+V30)/$F$29</f>
        <v>#REF!</v>
      </c>
      <c r="W42" s="51"/>
      <c r="X42" s="50"/>
      <c r="Y42" s="50"/>
      <c r="Z42" s="50"/>
      <c r="AA42" s="50"/>
      <c r="AB42" s="50"/>
      <c r="AC42" s="50"/>
      <c r="AD42" s="50"/>
      <c r="AE42" s="50"/>
      <c r="AF42" s="50"/>
      <c r="AG42" s="50"/>
      <c r="AH42" s="47" t="e">
        <f>+(+#REF!+V30+Z30+AD30+AH30)/$F$29</f>
        <v>#REF!</v>
      </c>
      <c r="AI42" s="51"/>
      <c r="AJ42" s="50"/>
      <c r="AK42" s="70"/>
    </row>
    <row r="43" spans="8:37" ht="15" hidden="1" customHeight="1" x14ac:dyDescent="0.35"/>
    <row r="44" spans="8:37" ht="35.15" hidden="1" customHeight="1" x14ac:dyDescent="0.35">
      <c r="H44" s="250" t="s">
        <v>145</v>
      </c>
      <c r="I44" s="250"/>
      <c r="J44" s="30" t="e">
        <f>+#REF!</f>
        <v>#REF!</v>
      </c>
      <c r="K44" s="32"/>
      <c r="L44" s="32"/>
      <c r="M44" s="32"/>
      <c r="N44" s="32"/>
      <c r="O44" s="32"/>
      <c r="P44" s="32"/>
      <c r="Q44" s="32"/>
      <c r="R44" s="32"/>
      <c r="S44" s="32"/>
      <c r="T44" s="32"/>
      <c r="U44" s="32"/>
    </row>
    <row r="45" spans="8:37" ht="35.15" hidden="1" customHeight="1" x14ac:dyDescent="0.35">
      <c r="H45" s="250" t="s">
        <v>146</v>
      </c>
      <c r="I45" s="250"/>
      <c r="J45" s="25">
        <f>+F29</f>
        <v>0</v>
      </c>
      <c r="K45" s="32"/>
      <c r="L45" s="32"/>
      <c r="M45" s="32"/>
      <c r="N45" s="32"/>
      <c r="O45" s="32"/>
      <c r="P45" s="32"/>
      <c r="Q45" s="32"/>
      <c r="R45" s="32"/>
      <c r="S45" s="32"/>
      <c r="T45" s="32"/>
      <c r="U45" s="32"/>
    </row>
    <row r="46" spans="8:37" ht="35.15" hidden="1" customHeight="1" x14ac:dyDescent="0.35">
      <c r="H46" s="250" t="s">
        <v>147</v>
      </c>
      <c r="I46" s="250"/>
      <c r="J46" s="31" t="e">
        <f>+J44/J45</f>
        <v>#REF!</v>
      </c>
      <c r="K46" s="32"/>
      <c r="L46" s="32"/>
      <c r="M46" s="32"/>
      <c r="N46" s="32"/>
      <c r="O46" s="32"/>
      <c r="P46" s="32"/>
      <c r="Q46" s="32"/>
      <c r="R46" s="32"/>
      <c r="S46" s="32"/>
      <c r="T46" s="32"/>
      <c r="U46" s="32"/>
    </row>
    <row r="47" spans="8:37" ht="15" customHeight="1" x14ac:dyDescent="0.35">
      <c r="K47" s="32"/>
      <c r="L47" s="32"/>
      <c r="M47" s="32"/>
      <c r="N47" s="32"/>
      <c r="O47" s="32"/>
      <c r="P47" s="32"/>
      <c r="Q47" s="32"/>
      <c r="R47" s="32"/>
      <c r="S47" s="32"/>
      <c r="T47" s="32"/>
      <c r="U47" s="32"/>
    </row>
    <row r="48" spans="8:37" ht="15" customHeight="1" x14ac:dyDescent="0.35">
      <c r="K48" s="32"/>
      <c r="L48" s="32"/>
      <c r="M48" s="32"/>
      <c r="N48" s="32"/>
      <c r="O48" s="32"/>
      <c r="P48" s="32"/>
      <c r="Q48" s="32"/>
      <c r="R48" s="32"/>
      <c r="S48" s="32"/>
      <c r="T48" s="32"/>
      <c r="U48" s="32"/>
    </row>
    <row r="49" spans="11:21" ht="15" customHeight="1" x14ac:dyDescent="0.35">
      <c r="K49" s="32"/>
      <c r="L49" s="32"/>
      <c r="M49" s="32"/>
      <c r="N49" s="32"/>
      <c r="O49" s="32"/>
      <c r="P49" s="32"/>
      <c r="Q49" s="32"/>
      <c r="R49" s="32"/>
      <c r="S49" s="32"/>
      <c r="T49" s="32"/>
      <c r="U49" s="32"/>
    </row>
  </sheetData>
  <mergeCells count="273">
    <mergeCell ref="T18:T19"/>
    <mergeCell ref="U18:U19"/>
    <mergeCell ref="P20:P21"/>
    <mergeCell ref="Q20:Q21"/>
    <mergeCell ref="U28:U29"/>
    <mergeCell ref="T22:T23"/>
    <mergeCell ref="U22:U23"/>
    <mergeCell ref="P24:P25"/>
    <mergeCell ref="Q24:Q25"/>
    <mergeCell ref="R24:R25"/>
    <mergeCell ref="S24:S25"/>
    <mergeCell ref="T24:T25"/>
    <mergeCell ref="U24:U25"/>
    <mergeCell ref="U14:U15"/>
    <mergeCell ref="P16:P17"/>
    <mergeCell ref="Q16:Q17"/>
    <mergeCell ref="R16:R17"/>
    <mergeCell ref="S16:S17"/>
    <mergeCell ref="T16:T17"/>
    <mergeCell ref="U16:U17"/>
    <mergeCell ref="S6:T10"/>
    <mergeCell ref="U6:W10"/>
    <mergeCell ref="AO28:AO29"/>
    <mergeCell ref="P12:P13"/>
    <mergeCell ref="Q12:Q13"/>
    <mergeCell ref="R12:R13"/>
    <mergeCell ref="S12:S13"/>
    <mergeCell ref="T12:T13"/>
    <mergeCell ref="U12:U13"/>
    <mergeCell ref="P14:P15"/>
    <mergeCell ref="M28:M29"/>
    <mergeCell ref="N28:N29"/>
    <mergeCell ref="O28:O29"/>
    <mergeCell ref="AL28:AL29"/>
    <mergeCell ref="AM28:AM29"/>
    <mergeCell ref="AN28:AN29"/>
    <mergeCell ref="AN26:AN27"/>
    <mergeCell ref="AO26:AO27"/>
    <mergeCell ref="AN24:AN25"/>
    <mergeCell ref="AO24:AO25"/>
    <mergeCell ref="AN22:AN23"/>
    <mergeCell ref="AO22:AO23"/>
    <mergeCell ref="AN20:AN21"/>
    <mergeCell ref="AO20:AO21"/>
    <mergeCell ref="AN18:AN19"/>
    <mergeCell ref="AO18:AO19"/>
    <mergeCell ref="H44:I44"/>
    <mergeCell ref="H45:I45"/>
    <mergeCell ref="H46:I46"/>
    <mergeCell ref="A28:A29"/>
    <mergeCell ref="B28:B29"/>
    <mergeCell ref="C28:C29"/>
    <mergeCell ref="D28:D29"/>
    <mergeCell ref="E28:E29"/>
    <mergeCell ref="F28:F29"/>
    <mergeCell ref="G28:G29"/>
    <mergeCell ref="I37:J37"/>
    <mergeCell ref="I38:J38"/>
    <mergeCell ref="I39:J39"/>
    <mergeCell ref="I40:J40"/>
    <mergeCell ref="I41:J41"/>
    <mergeCell ref="I42:J42"/>
    <mergeCell ref="D30:E30"/>
    <mergeCell ref="H33:H36"/>
    <mergeCell ref="I28:I29"/>
    <mergeCell ref="J28:J29"/>
    <mergeCell ref="H28:H32"/>
    <mergeCell ref="O24:O25"/>
    <mergeCell ref="AL24:AL25"/>
    <mergeCell ref="AM24:AM25"/>
    <mergeCell ref="M24:M25"/>
    <mergeCell ref="N24:N25"/>
    <mergeCell ref="K28:K29"/>
    <mergeCell ref="L28:L29"/>
    <mergeCell ref="L26:L27"/>
    <mergeCell ref="M26:M27"/>
    <mergeCell ref="N26:N27"/>
    <mergeCell ref="O26:O27"/>
    <mergeCell ref="AL26:AL27"/>
    <mergeCell ref="AM26:AM27"/>
    <mergeCell ref="P26:P27"/>
    <mergeCell ref="Q26:Q27"/>
    <mergeCell ref="R26:R27"/>
    <mergeCell ref="S26:S27"/>
    <mergeCell ref="T26:T27"/>
    <mergeCell ref="U26:U27"/>
    <mergeCell ref="P28:P29"/>
    <mergeCell ref="Q28:Q29"/>
    <mergeCell ref="R28:R29"/>
    <mergeCell ref="S28:S29"/>
    <mergeCell ref="T28:T29"/>
    <mergeCell ref="A26:A27"/>
    <mergeCell ref="B26:B27"/>
    <mergeCell ref="C26:C27"/>
    <mergeCell ref="D26:D27"/>
    <mergeCell ref="E26:E27"/>
    <mergeCell ref="I24:I25"/>
    <mergeCell ref="J24:J25"/>
    <mergeCell ref="K24:K25"/>
    <mergeCell ref="L24:L25"/>
    <mergeCell ref="A24:A25"/>
    <mergeCell ref="B24:B25"/>
    <mergeCell ref="C24:C25"/>
    <mergeCell ref="D24:D25"/>
    <mergeCell ref="E24:E25"/>
    <mergeCell ref="F24:F25"/>
    <mergeCell ref="G24:G25"/>
    <mergeCell ref="H24:H25"/>
    <mergeCell ref="F26:F27"/>
    <mergeCell ref="G26:G27"/>
    <mergeCell ref="H26:H27"/>
    <mergeCell ref="I26:I27"/>
    <mergeCell ref="J26:J27"/>
    <mergeCell ref="K26:K27"/>
    <mergeCell ref="AM20:AM21"/>
    <mergeCell ref="M20:M21"/>
    <mergeCell ref="N20:N21"/>
    <mergeCell ref="L22:L23"/>
    <mergeCell ref="M22:M23"/>
    <mergeCell ref="N22:N23"/>
    <mergeCell ref="O22:O23"/>
    <mergeCell ref="AL22:AL23"/>
    <mergeCell ref="AM22:AM23"/>
    <mergeCell ref="P22:P23"/>
    <mergeCell ref="Q22:Q23"/>
    <mergeCell ref="R22:R23"/>
    <mergeCell ref="S22:S23"/>
    <mergeCell ref="R20:R21"/>
    <mergeCell ref="S20:S21"/>
    <mergeCell ref="T20:T21"/>
    <mergeCell ref="U20:U21"/>
    <mergeCell ref="H20:H21"/>
    <mergeCell ref="F22:F23"/>
    <mergeCell ref="G22:G23"/>
    <mergeCell ref="H22:H23"/>
    <mergeCell ref="I22:I23"/>
    <mergeCell ref="J22:J23"/>
    <mergeCell ref="K22:K23"/>
    <mergeCell ref="O20:O21"/>
    <mergeCell ref="AL20:AL21"/>
    <mergeCell ref="N18:N19"/>
    <mergeCell ref="O18:O19"/>
    <mergeCell ref="AL18:AL19"/>
    <mergeCell ref="AM18:AM19"/>
    <mergeCell ref="P18:P19"/>
    <mergeCell ref="Q18:Q19"/>
    <mergeCell ref="R18:R19"/>
    <mergeCell ref="S18:S19"/>
    <mergeCell ref="A22:A23"/>
    <mergeCell ref="B22:B23"/>
    <mergeCell ref="C22:C23"/>
    <mergeCell ref="D22:D23"/>
    <mergeCell ref="E22:E23"/>
    <mergeCell ref="I20:I21"/>
    <mergeCell ref="J20:J21"/>
    <mergeCell ref="K20:K21"/>
    <mergeCell ref="L20:L21"/>
    <mergeCell ref="A20:A21"/>
    <mergeCell ref="B20:B21"/>
    <mergeCell ref="C20:C21"/>
    <mergeCell ref="D20:D21"/>
    <mergeCell ref="E20:E21"/>
    <mergeCell ref="F20:F21"/>
    <mergeCell ref="G20:G21"/>
    <mergeCell ref="AN16:AN17"/>
    <mergeCell ref="AO16:AO17"/>
    <mergeCell ref="A18:A19"/>
    <mergeCell ref="B18:B19"/>
    <mergeCell ref="C18:C19"/>
    <mergeCell ref="D18:D19"/>
    <mergeCell ref="E18:E19"/>
    <mergeCell ref="I16:I17"/>
    <mergeCell ref="J16:J17"/>
    <mergeCell ref="K16:K17"/>
    <mergeCell ref="L16:L17"/>
    <mergeCell ref="M16:M17"/>
    <mergeCell ref="N16:N17"/>
    <mergeCell ref="F18:F19"/>
    <mergeCell ref="G18:G19"/>
    <mergeCell ref="H18:H19"/>
    <mergeCell ref="I18:I19"/>
    <mergeCell ref="J18:J19"/>
    <mergeCell ref="K18:K19"/>
    <mergeCell ref="O16:O17"/>
    <mergeCell ref="AL16:AL17"/>
    <mergeCell ref="AM16:AM17"/>
    <mergeCell ref="L18:L19"/>
    <mergeCell ref="M18:M19"/>
    <mergeCell ref="AN14:AN15"/>
    <mergeCell ref="AO14:AO15"/>
    <mergeCell ref="A16:A17"/>
    <mergeCell ref="B16:B17"/>
    <mergeCell ref="C16:C17"/>
    <mergeCell ref="D16:D17"/>
    <mergeCell ref="E16:E17"/>
    <mergeCell ref="F16:F17"/>
    <mergeCell ref="G16:G17"/>
    <mergeCell ref="H16:H17"/>
    <mergeCell ref="L14:L15"/>
    <mergeCell ref="M14:M15"/>
    <mergeCell ref="N14:N15"/>
    <mergeCell ref="O14:O15"/>
    <mergeCell ref="AL14:AL15"/>
    <mergeCell ref="AM14:AM15"/>
    <mergeCell ref="Q14:Q15"/>
    <mergeCell ref="R14:R15"/>
    <mergeCell ref="S14:S15"/>
    <mergeCell ref="T14:T15"/>
    <mergeCell ref="F14:F15"/>
    <mergeCell ref="G14:G15"/>
    <mergeCell ref="H14:H15"/>
    <mergeCell ref="I14:I15"/>
    <mergeCell ref="J14:J15"/>
    <mergeCell ref="K14:K15"/>
    <mergeCell ref="AK12:AK13"/>
    <mergeCell ref="AL12:AL13"/>
    <mergeCell ref="AM12:AM13"/>
    <mergeCell ref="AN12:AN13"/>
    <mergeCell ref="AO12:AO13"/>
    <mergeCell ref="A14:A15"/>
    <mergeCell ref="B14:B15"/>
    <mergeCell ref="C14:C15"/>
    <mergeCell ref="D14:D15"/>
    <mergeCell ref="E14:E15"/>
    <mergeCell ref="AE12:AE13"/>
    <mergeCell ref="AF12:AF13"/>
    <mergeCell ref="AG12:AG13"/>
    <mergeCell ref="AH12:AH13"/>
    <mergeCell ref="AI12:AI13"/>
    <mergeCell ref="AJ12:AJ13"/>
    <mergeCell ref="Y12:Y13"/>
    <mergeCell ref="Z12:Z13"/>
    <mergeCell ref="AA12:AA13"/>
    <mergeCell ref="AB12:AB13"/>
    <mergeCell ref="AC12:AC13"/>
    <mergeCell ref="AD12:AD13"/>
    <mergeCell ref="A12:A13"/>
    <mergeCell ref="B12:B13"/>
    <mergeCell ref="C12:C13"/>
    <mergeCell ref="D12:D13"/>
    <mergeCell ref="E12:E13"/>
    <mergeCell ref="F12:F13"/>
    <mergeCell ref="A11:F11"/>
    <mergeCell ref="G11:O11"/>
    <mergeCell ref="V11:AK11"/>
    <mergeCell ref="M12:M13"/>
    <mergeCell ref="N12:N13"/>
    <mergeCell ref="O12:O13"/>
    <mergeCell ref="V12:V13"/>
    <mergeCell ref="W12:W13"/>
    <mergeCell ref="X12:X13"/>
    <mergeCell ref="G12:G13"/>
    <mergeCell ref="H12:H13"/>
    <mergeCell ref="I12:I13"/>
    <mergeCell ref="J12:J13"/>
    <mergeCell ref="K12:K13"/>
    <mergeCell ref="L12:L13"/>
    <mergeCell ref="AL11:AO11"/>
    <mergeCell ref="P6:R10"/>
    <mergeCell ref="K6:L10"/>
    <mergeCell ref="M6:M10"/>
    <mergeCell ref="N6:O10"/>
    <mergeCell ref="A1:C3"/>
    <mergeCell ref="D1:AO3"/>
    <mergeCell ref="A4:A5"/>
    <mergeCell ref="G4:G5"/>
    <mergeCell ref="A6:B10"/>
    <mergeCell ref="C6:D10"/>
    <mergeCell ref="E6:F10"/>
    <mergeCell ref="G6:G10"/>
    <mergeCell ref="H6:I10"/>
    <mergeCell ref="J6:J10"/>
    <mergeCell ref="X6:AO10"/>
  </mergeCells>
  <conditionalFormatting sqref="I4">
    <cfRule type="cellIs" dxfId="95" priority="16" operator="lessThanOrEqual">
      <formula>$C$4</formula>
    </cfRule>
  </conditionalFormatting>
  <conditionalFormatting sqref="J6">
    <cfRule type="cellIs" dxfId="94" priority="17" operator="greaterThanOrEqual">
      <formula>$C$5</formula>
    </cfRule>
    <cfRule type="cellIs" dxfId="93" priority="18" operator="lessThanOrEqual">
      <formula>$C$4</formula>
    </cfRule>
    <cfRule type="cellIs" dxfId="92" priority="19" operator="between">
      <formula>$C$5</formula>
      <formula>$C$4</formula>
    </cfRule>
  </conditionalFormatting>
  <conditionalFormatting sqref="P6">
    <cfRule type="cellIs" dxfId="91" priority="13" operator="greaterThanOrEqual">
      <formula>$I$5</formula>
    </cfRule>
    <cfRule type="cellIs" dxfId="90" priority="14" operator="lessThanOrEqual">
      <formula>$I$4</formula>
    </cfRule>
    <cfRule type="cellIs" dxfId="89" priority="15" operator="between">
      <formula>$I$5</formula>
      <formula>$I$4</formula>
    </cfRule>
  </conditionalFormatting>
  <conditionalFormatting sqref="U6">
    <cfRule type="cellIs" dxfId="88" priority="7" operator="greaterThanOrEqual">
      <formula>$I$5</formula>
    </cfRule>
    <cfRule type="cellIs" dxfId="87" priority="8" operator="lessThanOrEqual">
      <formula>$I$4</formula>
    </cfRule>
    <cfRule type="cellIs" dxfId="86" priority="9" operator="between">
      <formula>$I$5</formula>
      <formula>$I$4</formula>
    </cfRule>
  </conditionalFormatting>
  <conditionalFormatting sqref="X14:X29">
    <cfRule type="cellIs" dxfId="85" priority="10" operator="greaterThanOrEqual">
      <formula>$C$5</formula>
    </cfRule>
    <cfRule type="cellIs" dxfId="84" priority="11" operator="lessThanOrEqual">
      <formula>$C$4</formula>
    </cfRule>
    <cfRule type="cellIs" dxfId="83" priority="12" operator="between">
      <formula>$C$5</formula>
      <formula>$C$4</formula>
    </cfRule>
  </conditionalFormatting>
  <conditionalFormatting sqref="Z37:Z40 AD37:AD40 V37:V42 AH37:AH42 K38:U38 W38:Y38 AA38:AC38 AE38:AG38 AI38:AK38 J46">
    <cfRule type="cellIs" dxfId="82" priority="20" operator="greaterThanOrEqual">
      <formula>$D$9</formula>
    </cfRule>
    <cfRule type="cellIs" dxfId="81" priority="21" operator="lessThanOrEqual">
      <formula>$C$6</formula>
    </cfRule>
    <cfRule type="cellIs" dxfId="80" priority="22" operator="between">
      <formula>$C$6</formula>
      <formula>$D$9</formula>
    </cfRule>
  </conditionalFormatting>
  <dataValidations xWindow="1493" yWindow="747" count="4">
    <dataValidation type="decimal" allowBlank="1" showInputMessage="1" showErrorMessage="1" prompt="valor porcentual de la activida - Indique el peso porcentual de la actividad dentro del proyecto" sqref="W14 W22 W18 W16 W20 W26 W24 W28" xr:uid="{B9304C16-77DA-4127-BC59-6191F8ED3579}">
      <formula1>0</formula1>
      <formula2>1</formula2>
    </dataValidation>
    <dataValidation type="decimal" allowBlank="1" showInputMessage="1" showErrorMessage="1" prompt="campo calculado  - indica el % de avance  que aporta la activadad a todo el proyecto" sqref="W23 W21 W19 W15 W17 W27 W25 W29" xr:uid="{52304C28-041D-491F-82DC-6DAF366126DB}">
      <formula1>0</formula1>
      <formula2>1</formula2>
    </dataValidation>
    <dataValidation type="decimal" allowBlank="1" showInputMessage="1" showErrorMessage="1" prompt="% de avance en la actividad - indique el % programado de avance durante esta semana_x000a_" sqref="Y14:AA23 Y25:AA29 AB14:AK29" xr:uid="{CE2FFFDA-F91D-4E14-8947-4ED249C62EA2}">
      <formula1>0</formula1>
      <formula2>1</formula2>
    </dataValidation>
    <dataValidation allowBlank="1" showErrorMessage="1" sqref="X14:X29" xr:uid="{63CB21F1-C858-4BE2-9278-FC48220247D7}"/>
  </dataValidations>
  <pageMargins left="0.7" right="0.7" top="0.75" bottom="0.75" header="0.3" footer="0.3"/>
  <pageSetup scale="11" orientation="portrait" r:id="rId1"/>
  <headerFooter>
    <oddFooter>&amp;C_x000D_&amp;1#&amp;"Calibri"&amp;10&amp;K008000 DOCUMENTO PÚBLICO</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97E4-155D-458B-9E28-78AED7DA54BC}">
  <dimension ref="A1:AP39"/>
  <sheetViews>
    <sheetView topLeftCell="A26" zoomScale="60" zoomScaleNormal="60" workbookViewId="0">
      <selection activeCell="Q29" sqref="A26:XFD29"/>
    </sheetView>
  </sheetViews>
  <sheetFormatPr baseColWidth="10" defaultColWidth="11.453125" defaultRowHeight="14.5" x14ac:dyDescent="0.35"/>
  <cols>
    <col min="1" max="16" width="30.453125" style="80" customWidth="1"/>
    <col min="17" max="19" width="17.7265625" style="80" customWidth="1"/>
    <col min="20" max="32" width="11.453125" style="80"/>
    <col min="33" max="36" width="38.7265625" style="80" customWidth="1"/>
    <col min="37" max="16384" width="11.453125" style="80"/>
  </cols>
  <sheetData>
    <row r="1" spans="1:42" s="60" customFormat="1" ht="15" customHeight="1" x14ac:dyDescent="0.35">
      <c r="A1" s="293"/>
      <c r="B1" s="294"/>
      <c r="C1" s="295"/>
      <c r="D1" s="497" t="s">
        <v>948</v>
      </c>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9"/>
      <c r="AK1" s="212"/>
      <c r="AL1" s="212"/>
      <c r="AM1" s="212"/>
      <c r="AN1" s="212"/>
      <c r="AO1" s="212"/>
      <c r="AP1" s="212"/>
    </row>
    <row r="2" spans="1:42" s="60" customFormat="1" ht="20.149999999999999" customHeight="1" x14ac:dyDescent="0.35">
      <c r="A2" s="296"/>
      <c r="B2" s="297"/>
      <c r="C2" s="298"/>
      <c r="D2" s="439"/>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500"/>
      <c r="AK2" s="212"/>
      <c r="AL2" s="212"/>
      <c r="AM2" s="212"/>
      <c r="AN2" s="212"/>
      <c r="AO2" s="212"/>
      <c r="AP2" s="212"/>
    </row>
    <row r="3" spans="1:42" s="60" customFormat="1" ht="60" customHeight="1" thickBot="1" x14ac:dyDescent="0.4">
      <c r="A3" s="299"/>
      <c r="B3" s="300"/>
      <c r="C3" s="301"/>
      <c r="D3" s="501"/>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3"/>
      <c r="AK3" s="212"/>
      <c r="AL3" s="212"/>
      <c r="AM3" s="212"/>
      <c r="AN3" s="212"/>
      <c r="AO3" s="212"/>
      <c r="AP3" s="212"/>
    </row>
    <row r="4" spans="1:42" s="60" customFormat="1" ht="60" hidden="1" customHeight="1" x14ac:dyDescent="0.35">
      <c r="A4" s="285" t="s">
        <v>24</v>
      </c>
      <c r="B4" s="8" t="s">
        <v>25</v>
      </c>
      <c r="C4" s="10">
        <v>0.7</v>
      </c>
      <c r="D4" s="10"/>
      <c r="E4" s="10"/>
      <c r="F4" s="9"/>
      <c r="G4" s="285" t="s">
        <v>26</v>
      </c>
      <c r="H4" s="8" t="s">
        <v>25</v>
      </c>
      <c r="I4" s="10">
        <v>0.7</v>
      </c>
      <c r="J4" s="61"/>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42" s="60" customFormat="1" ht="60" hidden="1" customHeight="1" thickBot="1" x14ac:dyDescent="0.4">
      <c r="A5" s="285"/>
      <c r="B5" s="8" t="s">
        <v>27</v>
      </c>
      <c r="C5" s="11">
        <v>0.9</v>
      </c>
      <c r="D5" s="11"/>
      <c r="E5" s="11"/>
      <c r="F5" s="11">
        <v>1</v>
      </c>
      <c r="G5" s="285"/>
      <c r="H5" s="8" t="s">
        <v>27</v>
      </c>
      <c r="I5" s="11">
        <v>0.95</v>
      </c>
      <c r="J5" s="61"/>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42" s="1" customFormat="1" ht="15.65" customHeight="1" x14ac:dyDescent="0.35">
      <c r="A6" s="292" t="s">
        <v>28</v>
      </c>
      <c r="B6" s="292"/>
      <c r="C6" s="302" t="s">
        <v>118</v>
      </c>
      <c r="D6" s="302"/>
      <c r="E6" s="303" t="s">
        <v>30</v>
      </c>
      <c r="F6" s="303"/>
      <c r="G6" s="324">
        <f>+R15+R17+R19+R21+R23+R25+R27+R29+R31+R33+R35+R37+R39</f>
        <v>0.99999999999999978</v>
      </c>
      <c r="H6" s="303" t="s">
        <v>31</v>
      </c>
      <c r="I6" s="303"/>
      <c r="J6" s="414">
        <f>+R14+R16+R18+R20+R22+R24+R26+R28+R30+R32+R34+R36+R38</f>
        <v>0.58461538461538454</v>
      </c>
      <c r="K6" s="286" t="s">
        <v>32</v>
      </c>
      <c r="L6" s="287"/>
      <c r="M6" s="330">
        <v>0.95</v>
      </c>
      <c r="N6" s="292" t="s">
        <v>250</v>
      </c>
      <c r="O6" s="292"/>
      <c r="P6" s="315">
        <f>(SUM(T14:Z14,T16:Z16,T18:Z18,T20:Z20,T22:Z22,T24:Z24,T26:Z26,T28:Z28,T30:Z30,T32:Z32,T34:Z34,T36:Z36,T38:Z38)/SUM(Z15,Z17,Z19,Z21,Z23,Z25,Z27,Z29,Z31,Z33,Z35,Z37,Z39))/M6</f>
        <v>1</v>
      </c>
      <c r="Q6" s="316"/>
      <c r="R6" s="317"/>
      <c r="S6" s="425" t="s">
        <v>251</v>
      </c>
      <c r="T6" s="426"/>
      <c r="U6" s="426"/>
      <c r="V6" s="426"/>
      <c r="W6" s="319">
        <f>SUM(AF14,AF16,AF18,AF20,AF22,AF24,AF26,AF28,AF30,AF32,AF34,AF36,AF38)/SUM(AF15,AF17,AF19,AF21,AF23,AF25,AF27,AF29,AF31,AF33,AF35,AF39)</f>
        <v>0</v>
      </c>
      <c r="X6" s="319"/>
      <c r="Y6" s="319"/>
      <c r="Z6" s="319"/>
      <c r="AA6" s="319"/>
      <c r="AB6" s="319"/>
      <c r="AC6" s="460"/>
      <c r="AD6" s="460"/>
      <c r="AE6" s="460"/>
      <c r="AF6" s="460"/>
      <c r="AG6" s="460"/>
      <c r="AH6" s="460"/>
      <c r="AI6" s="460"/>
      <c r="AJ6" s="504"/>
      <c r="AK6" s="212"/>
      <c r="AL6" s="212"/>
      <c r="AM6" s="212"/>
      <c r="AN6" s="212"/>
      <c r="AO6" s="212"/>
    </row>
    <row r="7" spans="1:42" s="1" customFormat="1" ht="15.65" customHeight="1" x14ac:dyDescent="0.35">
      <c r="A7" s="292"/>
      <c r="B7" s="292"/>
      <c r="C7" s="302"/>
      <c r="D7" s="302"/>
      <c r="E7" s="303"/>
      <c r="F7" s="303"/>
      <c r="G7" s="325"/>
      <c r="H7" s="303"/>
      <c r="I7" s="303"/>
      <c r="J7" s="415"/>
      <c r="K7" s="288"/>
      <c r="L7" s="289"/>
      <c r="M7" s="331"/>
      <c r="N7" s="292"/>
      <c r="O7" s="292"/>
      <c r="P7" s="318"/>
      <c r="Q7" s="319"/>
      <c r="R7" s="320"/>
      <c r="S7" s="425"/>
      <c r="T7" s="426"/>
      <c r="U7" s="426"/>
      <c r="V7" s="426"/>
      <c r="W7" s="319"/>
      <c r="X7" s="319"/>
      <c r="Y7" s="319"/>
      <c r="Z7" s="319"/>
      <c r="AA7" s="319"/>
      <c r="AB7" s="319"/>
      <c r="AC7" s="460"/>
      <c r="AD7" s="460"/>
      <c r="AE7" s="460"/>
      <c r="AF7" s="460"/>
      <c r="AG7" s="460"/>
      <c r="AH7" s="460"/>
      <c r="AI7" s="460"/>
      <c r="AJ7" s="504"/>
      <c r="AK7" s="212"/>
      <c r="AL7" s="212"/>
      <c r="AM7" s="212"/>
      <c r="AN7" s="212"/>
      <c r="AO7" s="212"/>
      <c r="AP7" s="212"/>
    </row>
    <row r="8" spans="1:42" s="1" customFormat="1" ht="15.65" customHeight="1" x14ac:dyDescent="0.35">
      <c r="A8" s="292"/>
      <c r="B8" s="292"/>
      <c r="C8" s="302"/>
      <c r="D8" s="302"/>
      <c r="E8" s="303"/>
      <c r="F8" s="303"/>
      <c r="G8" s="325"/>
      <c r="H8" s="303"/>
      <c r="I8" s="303"/>
      <c r="J8" s="415"/>
      <c r="K8" s="288"/>
      <c r="L8" s="289"/>
      <c r="M8" s="331"/>
      <c r="N8" s="292"/>
      <c r="O8" s="292"/>
      <c r="P8" s="318"/>
      <c r="Q8" s="319"/>
      <c r="R8" s="320"/>
      <c r="S8" s="425"/>
      <c r="T8" s="426"/>
      <c r="U8" s="426"/>
      <c r="V8" s="426"/>
      <c r="W8" s="319"/>
      <c r="X8" s="319"/>
      <c r="Y8" s="319"/>
      <c r="Z8" s="319"/>
      <c r="AA8" s="319"/>
      <c r="AB8" s="319"/>
      <c r="AC8" s="460"/>
      <c r="AD8" s="460"/>
      <c r="AE8" s="460"/>
      <c r="AF8" s="460"/>
      <c r="AG8" s="460"/>
      <c r="AH8" s="460"/>
      <c r="AI8" s="460"/>
      <c r="AJ8" s="504"/>
      <c r="AK8" s="212"/>
      <c r="AL8" s="212"/>
      <c r="AM8" s="212"/>
      <c r="AN8" s="212"/>
      <c r="AO8" s="212"/>
      <c r="AP8" s="212"/>
    </row>
    <row r="9" spans="1:42" s="1" customFormat="1" ht="15.65" customHeight="1" x14ac:dyDescent="0.35">
      <c r="A9" s="292"/>
      <c r="B9" s="292"/>
      <c r="C9" s="302"/>
      <c r="D9" s="302"/>
      <c r="E9" s="303"/>
      <c r="F9" s="303"/>
      <c r="G9" s="325"/>
      <c r="H9" s="303"/>
      <c r="I9" s="303"/>
      <c r="J9" s="415"/>
      <c r="K9" s="288"/>
      <c r="L9" s="289"/>
      <c r="M9" s="331"/>
      <c r="N9" s="292"/>
      <c r="O9" s="292"/>
      <c r="P9" s="318"/>
      <c r="Q9" s="319"/>
      <c r="R9" s="320"/>
      <c r="S9" s="425"/>
      <c r="T9" s="426"/>
      <c r="U9" s="426"/>
      <c r="V9" s="426"/>
      <c r="W9" s="319"/>
      <c r="X9" s="319"/>
      <c r="Y9" s="319"/>
      <c r="Z9" s="319"/>
      <c r="AA9" s="319"/>
      <c r="AB9" s="319"/>
      <c r="AC9" s="460"/>
      <c r="AD9" s="460"/>
      <c r="AE9" s="460"/>
      <c r="AF9" s="460"/>
      <c r="AG9" s="460"/>
      <c r="AH9" s="460"/>
      <c r="AI9" s="460"/>
      <c r="AJ9" s="504"/>
      <c r="AK9" s="212"/>
      <c r="AL9" s="212"/>
      <c r="AM9" s="212"/>
      <c r="AN9" s="212"/>
      <c r="AO9" s="212"/>
      <c r="AP9" s="212"/>
    </row>
    <row r="10" spans="1:42" s="1" customFormat="1" ht="15.65" customHeight="1" thickBot="1" x14ac:dyDescent="0.4">
      <c r="A10" s="292"/>
      <c r="B10" s="292"/>
      <c r="C10" s="302"/>
      <c r="D10" s="302"/>
      <c r="E10" s="303"/>
      <c r="F10" s="303"/>
      <c r="G10" s="325"/>
      <c r="H10" s="373"/>
      <c r="I10" s="373"/>
      <c r="J10" s="415"/>
      <c r="K10" s="288"/>
      <c r="L10" s="289"/>
      <c r="M10" s="331"/>
      <c r="N10" s="369"/>
      <c r="O10" s="369"/>
      <c r="P10" s="318"/>
      <c r="Q10" s="322"/>
      <c r="R10" s="323"/>
      <c r="S10" s="425"/>
      <c r="T10" s="426"/>
      <c r="U10" s="426"/>
      <c r="V10" s="426"/>
      <c r="W10" s="319"/>
      <c r="X10" s="319"/>
      <c r="Y10" s="319"/>
      <c r="Z10" s="319"/>
      <c r="AA10" s="319"/>
      <c r="AB10" s="319"/>
      <c r="AC10" s="460"/>
      <c r="AD10" s="460"/>
      <c r="AE10" s="460"/>
      <c r="AF10" s="460"/>
      <c r="AG10" s="460"/>
      <c r="AH10" s="460"/>
      <c r="AI10" s="460"/>
      <c r="AJ10" s="504"/>
      <c r="AK10" s="212"/>
      <c r="AL10" s="212"/>
      <c r="AM10" s="212"/>
      <c r="AN10" s="212"/>
      <c r="AO10" s="212"/>
      <c r="AP10" s="212"/>
    </row>
    <row r="11" spans="1:42" ht="45" customHeight="1" thickBot="1" x14ac:dyDescent="0.4">
      <c r="A11" s="473" t="s">
        <v>37</v>
      </c>
      <c r="B11" s="473"/>
      <c r="C11" s="473"/>
      <c r="D11" s="473"/>
      <c r="E11" s="473"/>
      <c r="F11" s="474"/>
      <c r="G11" s="475" t="s">
        <v>38</v>
      </c>
      <c r="H11" s="475"/>
      <c r="I11" s="475"/>
      <c r="J11" s="475"/>
      <c r="K11" s="475"/>
      <c r="L11" s="475"/>
      <c r="M11" s="475"/>
      <c r="N11" s="475"/>
      <c r="O11" s="475"/>
      <c r="P11" s="475"/>
      <c r="Q11" s="346" t="s">
        <v>39</v>
      </c>
      <c r="R11" s="346"/>
      <c r="S11" s="346"/>
      <c r="T11" s="346"/>
      <c r="U11" s="346"/>
      <c r="V11" s="346"/>
      <c r="W11" s="346"/>
      <c r="X11" s="346"/>
      <c r="Y11" s="346"/>
      <c r="Z11" s="346"/>
      <c r="AA11" s="346"/>
      <c r="AB11" s="346"/>
      <c r="AC11" s="346"/>
      <c r="AD11" s="346"/>
      <c r="AE11" s="346"/>
      <c r="AF11" s="347"/>
      <c r="AG11" s="345" t="s">
        <v>40</v>
      </c>
      <c r="AH11" s="346"/>
      <c r="AI11" s="346"/>
      <c r="AJ11" s="346"/>
      <c r="AK11" s="212"/>
      <c r="AL11" s="212"/>
      <c r="AM11" s="212"/>
      <c r="AN11" s="212"/>
      <c r="AO11" s="212"/>
      <c r="AP11" s="212"/>
    </row>
    <row r="12" spans="1:42" ht="45" customHeight="1" x14ac:dyDescent="0.35">
      <c r="A12" s="476" t="s">
        <v>41</v>
      </c>
      <c r="B12" s="478" t="s">
        <v>42</v>
      </c>
      <c r="C12" s="478" t="s">
        <v>43</v>
      </c>
      <c r="D12" s="478" t="s">
        <v>44</v>
      </c>
      <c r="E12" s="478" t="s">
        <v>45</v>
      </c>
      <c r="F12" s="478" t="s">
        <v>9</v>
      </c>
      <c r="G12" s="479" t="s">
        <v>949</v>
      </c>
      <c r="H12" s="479" t="s">
        <v>950</v>
      </c>
      <c r="I12" s="479" t="s">
        <v>951</v>
      </c>
      <c r="J12" s="479" t="s">
        <v>952</v>
      </c>
      <c r="K12" s="479" t="s">
        <v>953</v>
      </c>
      <c r="L12" s="479" t="s">
        <v>954</v>
      </c>
      <c r="M12" s="479" t="s">
        <v>955</v>
      </c>
      <c r="N12" s="479" t="s">
        <v>956</v>
      </c>
      <c r="O12" s="479" t="s">
        <v>957</v>
      </c>
      <c r="P12" s="479" t="s">
        <v>958</v>
      </c>
      <c r="Q12" s="461" t="s">
        <v>55</v>
      </c>
      <c r="R12" s="462" t="s">
        <v>56</v>
      </c>
      <c r="S12" s="463" t="s">
        <v>57</v>
      </c>
      <c r="T12" s="465" t="s">
        <v>58</v>
      </c>
      <c r="U12" s="352" t="s">
        <v>59</v>
      </c>
      <c r="V12" s="350" t="s">
        <v>60</v>
      </c>
      <c r="W12" s="304" t="s">
        <v>61</v>
      </c>
      <c r="X12" s="359" t="s">
        <v>62</v>
      </c>
      <c r="Y12" s="304" t="s">
        <v>63</v>
      </c>
      <c r="Z12" s="350" t="s">
        <v>64</v>
      </c>
      <c r="AA12" s="352" t="s">
        <v>65</v>
      </c>
      <c r="AB12" s="354" t="s">
        <v>66</v>
      </c>
      <c r="AC12" s="352" t="s">
        <v>67</v>
      </c>
      <c r="AD12" s="350" t="s">
        <v>68</v>
      </c>
      <c r="AE12" s="304" t="s">
        <v>69</v>
      </c>
      <c r="AF12" s="348" t="s">
        <v>70</v>
      </c>
      <c r="AG12" s="344" t="s">
        <v>71</v>
      </c>
      <c r="AH12" s="344" t="s">
        <v>72</v>
      </c>
      <c r="AI12" s="344" t="s">
        <v>73</v>
      </c>
      <c r="AJ12" s="344" t="s">
        <v>74</v>
      </c>
      <c r="AK12" s="212"/>
      <c r="AL12" s="212"/>
      <c r="AM12" s="212"/>
      <c r="AN12" s="212"/>
      <c r="AO12" s="212"/>
      <c r="AP12" s="212"/>
    </row>
    <row r="13" spans="1:42" ht="45" customHeight="1" thickBot="1" x14ac:dyDescent="0.4">
      <c r="A13" s="477"/>
      <c r="B13" s="477"/>
      <c r="C13" s="477"/>
      <c r="D13" s="477"/>
      <c r="E13" s="477"/>
      <c r="F13" s="477"/>
      <c r="G13" s="480"/>
      <c r="H13" s="480"/>
      <c r="I13" s="480"/>
      <c r="J13" s="480"/>
      <c r="K13" s="480"/>
      <c r="L13" s="480"/>
      <c r="M13" s="480"/>
      <c r="N13" s="480"/>
      <c r="O13" s="480"/>
      <c r="P13" s="480"/>
      <c r="Q13" s="376"/>
      <c r="R13" s="377"/>
      <c r="S13" s="464"/>
      <c r="T13" s="466"/>
      <c r="U13" s="467"/>
      <c r="V13" s="468"/>
      <c r="W13" s="469"/>
      <c r="X13" s="360"/>
      <c r="Y13" s="305"/>
      <c r="Z13" s="351"/>
      <c r="AA13" s="353"/>
      <c r="AB13" s="355"/>
      <c r="AC13" s="353"/>
      <c r="AD13" s="351"/>
      <c r="AE13" s="305"/>
      <c r="AF13" s="349"/>
      <c r="AG13" s="344"/>
      <c r="AH13" s="344"/>
      <c r="AI13" s="344"/>
      <c r="AJ13" s="344"/>
      <c r="AK13" s="212"/>
      <c r="AL13" s="212"/>
      <c r="AM13" s="212"/>
      <c r="AN13" s="212"/>
      <c r="AO13" s="212"/>
      <c r="AP13" s="212"/>
    </row>
    <row r="14" spans="1:42" ht="133.5" customHeight="1" thickBot="1" x14ac:dyDescent="0.4">
      <c r="A14" s="481">
        <v>1</v>
      </c>
      <c r="B14" s="481" t="s">
        <v>219</v>
      </c>
      <c r="C14" s="481" t="s">
        <v>115</v>
      </c>
      <c r="D14" s="481" t="s">
        <v>116</v>
      </c>
      <c r="E14" s="481" t="s">
        <v>117</v>
      </c>
      <c r="F14" s="485" t="s">
        <v>959</v>
      </c>
      <c r="G14" s="481" t="s">
        <v>960</v>
      </c>
      <c r="H14" s="487" t="s">
        <v>961</v>
      </c>
      <c r="I14" s="211" t="s">
        <v>962</v>
      </c>
      <c r="J14" s="483" t="s">
        <v>963</v>
      </c>
      <c r="K14" s="483" t="s">
        <v>964</v>
      </c>
      <c r="L14" s="483" t="s">
        <v>965</v>
      </c>
      <c r="M14" s="483"/>
      <c r="N14" s="483" t="s">
        <v>966</v>
      </c>
      <c r="O14" s="483" t="s">
        <v>967</v>
      </c>
      <c r="P14" s="489" t="s">
        <v>968</v>
      </c>
      <c r="Q14" s="64" t="s">
        <v>86</v>
      </c>
      <c r="R14" s="53">
        <f>+(R15*S14)</f>
        <v>7.6923076923076927E-2</v>
      </c>
      <c r="S14" s="71">
        <f>SUM(T14:AF14)</f>
        <v>1</v>
      </c>
      <c r="T14" s="43"/>
      <c r="U14" s="43"/>
      <c r="V14" s="43"/>
      <c r="W14" s="43"/>
      <c r="X14" s="43"/>
      <c r="Y14" s="43"/>
      <c r="Z14" s="43">
        <v>1</v>
      </c>
      <c r="AA14" s="43"/>
      <c r="AB14" s="44"/>
      <c r="AC14" s="44"/>
      <c r="AD14" s="44"/>
      <c r="AE14" s="44"/>
      <c r="AF14" s="44"/>
      <c r="AG14" s="496"/>
      <c r="AH14" s="367" t="s">
        <v>969</v>
      </c>
      <c r="AI14" s="367"/>
      <c r="AJ14" s="367"/>
      <c r="AK14" s="212"/>
      <c r="AL14" s="212"/>
      <c r="AM14" s="212"/>
      <c r="AN14" s="212"/>
      <c r="AO14" s="212"/>
      <c r="AP14" s="212"/>
    </row>
    <row r="15" spans="1:42" ht="133.5" customHeight="1" thickBot="1" x14ac:dyDescent="0.4">
      <c r="A15" s="482"/>
      <c r="B15" s="482"/>
      <c r="C15" s="482"/>
      <c r="D15" s="482"/>
      <c r="E15" s="482"/>
      <c r="F15" s="486"/>
      <c r="G15" s="482"/>
      <c r="H15" s="488"/>
      <c r="I15" s="211" t="s">
        <v>970</v>
      </c>
      <c r="J15" s="484"/>
      <c r="K15" s="484"/>
      <c r="L15" s="484"/>
      <c r="M15" s="484"/>
      <c r="N15" s="484"/>
      <c r="O15" s="484"/>
      <c r="P15" s="489"/>
      <c r="Q15" s="64" t="s">
        <v>89</v>
      </c>
      <c r="R15" s="52">
        <f>100%/13</f>
        <v>7.6923076923076927E-2</v>
      </c>
      <c r="S15" s="71">
        <f t="shared" ref="S15" si="0">SUM(T15:AF15)</f>
        <v>1</v>
      </c>
      <c r="T15" s="42"/>
      <c r="U15" s="42"/>
      <c r="V15" s="42"/>
      <c r="W15" s="42"/>
      <c r="X15" s="42"/>
      <c r="Y15" s="42"/>
      <c r="Z15" s="42">
        <v>1</v>
      </c>
      <c r="AA15" s="42"/>
      <c r="AB15" s="42"/>
      <c r="AC15" s="42"/>
      <c r="AD15" s="42"/>
      <c r="AE15" s="42"/>
      <c r="AF15" s="42"/>
      <c r="AG15" s="496"/>
      <c r="AH15" s="367"/>
      <c r="AI15" s="367"/>
      <c r="AJ15" s="367"/>
      <c r="AK15" s="212"/>
      <c r="AL15" s="212"/>
      <c r="AM15" s="212"/>
      <c r="AN15" s="212"/>
      <c r="AO15" s="212"/>
      <c r="AP15" s="212"/>
    </row>
    <row r="16" spans="1:42" ht="133.5" customHeight="1" thickBot="1" x14ac:dyDescent="0.4">
      <c r="A16" s="481">
        <v>2</v>
      </c>
      <c r="B16" s="481" t="s">
        <v>219</v>
      </c>
      <c r="C16" s="481" t="s">
        <v>115</v>
      </c>
      <c r="D16" s="481" t="s">
        <v>116</v>
      </c>
      <c r="E16" s="481" t="s">
        <v>117</v>
      </c>
      <c r="F16" s="485" t="s">
        <v>959</v>
      </c>
      <c r="G16" s="481" t="s">
        <v>971</v>
      </c>
      <c r="H16" s="487" t="s">
        <v>972</v>
      </c>
      <c r="I16" s="483" t="s">
        <v>973</v>
      </c>
      <c r="J16" s="483" t="s">
        <v>963</v>
      </c>
      <c r="K16" s="483" t="s">
        <v>974</v>
      </c>
      <c r="L16" s="483" t="s">
        <v>965</v>
      </c>
      <c r="M16" s="483" t="s">
        <v>965</v>
      </c>
      <c r="N16" s="483" t="s">
        <v>975</v>
      </c>
      <c r="O16" s="483" t="s">
        <v>975</v>
      </c>
      <c r="P16" s="483" t="s">
        <v>976</v>
      </c>
      <c r="Q16" s="64" t="s">
        <v>86</v>
      </c>
      <c r="R16" s="53">
        <f>+(R17*S16)</f>
        <v>3.0769230769230771E-2</v>
      </c>
      <c r="S16" s="71">
        <f>SUM(T16:AF16)</f>
        <v>0.4</v>
      </c>
      <c r="T16" s="43"/>
      <c r="U16" s="43"/>
      <c r="V16" s="43"/>
      <c r="W16" s="43"/>
      <c r="X16" s="43"/>
      <c r="Y16" s="43"/>
      <c r="Z16" s="43">
        <v>0.4</v>
      </c>
      <c r="AA16" s="43"/>
      <c r="AB16" s="44"/>
      <c r="AC16" s="44"/>
      <c r="AD16" s="44"/>
      <c r="AE16" s="44"/>
      <c r="AF16" s="44"/>
      <c r="AG16" s="496"/>
      <c r="AH16" s="367" t="s">
        <v>977</v>
      </c>
      <c r="AI16" s="367"/>
      <c r="AJ16" s="367"/>
      <c r="AK16" s="212"/>
      <c r="AL16" s="212"/>
      <c r="AM16" s="212"/>
      <c r="AN16" s="212"/>
      <c r="AO16" s="212"/>
      <c r="AP16" s="212"/>
    </row>
    <row r="17" spans="1:42" ht="133.5" customHeight="1" thickBot="1" x14ac:dyDescent="0.4">
      <c r="A17" s="482"/>
      <c r="B17" s="482"/>
      <c r="C17" s="482"/>
      <c r="D17" s="482"/>
      <c r="E17" s="482"/>
      <c r="F17" s="486"/>
      <c r="G17" s="482"/>
      <c r="H17" s="488"/>
      <c r="I17" s="484"/>
      <c r="J17" s="484"/>
      <c r="K17" s="484"/>
      <c r="L17" s="484"/>
      <c r="M17" s="484"/>
      <c r="N17" s="484"/>
      <c r="O17" s="484"/>
      <c r="P17" s="484"/>
      <c r="Q17" s="64" t="s">
        <v>89</v>
      </c>
      <c r="R17" s="52">
        <f>100%/13</f>
        <v>7.6923076923076927E-2</v>
      </c>
      <c r="S17" s="71">
        <f t="shared" ref="S17:S39" si="1">SUM(T17:AF17)</f>
        <v>1</v>
      </c>
      <c r="T17" s="42"/>
      <c r="U17" s="42"/>
      <c r="V17" s="42"/>
      <c r="W17" s="42"/>
      <c r="X17" s="42"/>
      <c r="Y17" s="42"/>
      <c r="Z17" s="42">
        <v>0.5</v>
      </c>
      <c r="AA17" s="42"/>
      <c r="AB17" s="42"/>
      <c r="AC17" s="42"/>
      <c r="AD17" s="42"/>
      <c r="AE17" s="42"/>
      <c r="AF17" s="42">
        <v>0.5</v>
      </c>
      <c r="AG17" s="496"/>
      <c r="AH17" s="367"/>
      <c r="AI17" s="367"/>
      <c r="AJ17" s="367"/>
      <c r="AK17" s="212"/>
      <c r="AL17" s="212"/>
      <c r="AM17" s="212"/>
      <c r="AN17" s="212"/>
      <c r="AO17" s="212"/>
      <c r="AP17" s="212"/>
    </row>
    <row r="18" spans="1:42" ht="133.5" customHeight="1" thickBot="1" x14ac:dyDescent="0.4">
      <c r="A18" s="481">
        <v>3</v>
      </c>
      <c r="B18" s="481" t="s">
        <v>219</v>
      </c>
      <c r="C18" s="481" t="s">
        <v>76</v>
      </c>
      <c r="D18" s="481" t="s">
        <v>205</v>
      </c>
      <c r="E18" s="481" t="s">
        <v>78</v>
      </c>
      <c r="F18" s="485" t="s">
        <v>959</v>
      </c>
      <c r="G18" s="481" t="s">
        <v>971</v>
      </c>
      <c r="H18" s="487" t="s">
        <v>978</v>
      </c>
      <c r="I18" s="483" t="s">
        <v>979</v>
      </c>
      <c r="J18" s="483" t="s">
        <v>963</v>
      </c>
      <c r="K18" s="483" t="s">
        <v>974</v>
      </c>
      <c r="L18" s="483" t="s">
        <v>965</v>
      </c>
      <c r="M18" s="483" t="s">
        <v>965</v>
      </c>
      <c r="N18" s="483" t="s">
        <v>975</v>
      </c>
      <c r="O18" s="483" t="s">
        <v>975</v>
      </c>
      <c r="P18" s="483" t="s">
        <v>976</v>
      </c>
      <c r="Q18" s="64" t="s">
        <v>86</v>
      </c>
      <c r="R18" s="53">
        <f>+(R19*S18)</f>
        <v>1.5384615384615385E-2</v>
      </c>
      <c r="S18" s="71">
        <f t="shared" si="1"/>
        <v>0.2</v>
      </c>
      <c r="T18" s="43"/>
      <c r="U18" s="43"/>
      <c r="V18" s="43"/>
      <c r="W18" s="43"/>
      <c r="X18" s="43"/>
      <c r="Y18" s="43"/>
      <c r="Z18" s="43">
        <v>0.2</v>
      </c>
      <c r="AA18" s="43"/>
      <c r="AB18" s="44"/>
      <c r="AC18" s="44"/>
      <c r="AD18" s="44"/>
      <c r="AE18" s="44"/>
      <c r="AF18" s="44"/>
      <c r="AG18" s="496"/>
      <c r="AH18" s="367" t="s">
        <v>977</v>
      </c>
      <c r="AI18" s="367"/>
      <c r="AJ18" s="367"/>
      <c r="AK18" s="212"/>
      <c r="AL18" s="212"/>
      <c r="AM18" s="212"/>
      <c r="AN18" s="212"/>
      <c r="AO18" s="212"/>
      <c r="AP18" s="212"/>
    </row>
    <row r="19" spans="1:42" ht="133.5" customHeight="1" thickBot="1" x14ac:dyDescent="0.4">
      <c r="A19" s="482"/>
      <c r="B19" s="482"/>
      <c r="C19" s="482"/>
      <c r="D19" s="482"/>
      <c r="E19" s="482"/>
      <c r="F19" s="486"/>
      <c r="G19" s="482"/>
      <c r="H19" s="488"/>
      <c r="I19" s="484"/>
      <c r="J19" s="484"/>
      <c r="K19" s="484"/>
      <c r="L19" s="484"/>
      <c r="M19" s="484"/>
      <c r="N19" s="484"/>
      <c r="O19" s="484"/>
      <c r="P19" s="484"/>
      <c r="Q19" s="64" t="s">
        <v>89</v>
      </c>
      <c r="R19" s="52">
        <f>100%/13</f>
        <v>7.6923076923076927E-2</v>
      </c>
      <c r="S19" s="71">
        <f t="shared" si="1"/>
        <v>1</v>
      </c>
      <c r="T19" s="42"/>
      <c r="U19" s="42"/>
      <c r="V19" s="42"/>
      <c r="W19" s="42"/>
      <c r="X19" s="42"/>
      <c r="Y19" s="42"/>
      <c r="Z19" s="42">
        <v>0.5</v>
      </c>
      <c r="AA19" s="42"/>
      <c r="AB19" s="42"/>
      <c r="AC19" s="42"/>
      <c r="AD19" s="42"/>
      <c r="AE19" s="42"/>
      <c r="AF19" s="42">
        <v>0.5</v>
      </c>
      <c r="AG19" s="496"/>
      <c r="AH19" s="367"/>
      <c r="AI19" s="367"/>
      <c r="AJ19" s="367"/>
      <c r="AK19" s="212"/>
      <c r="AL19" s="212"/>
      <c r="AM19" s="212"/>
      <c r="AN19" s="212"/>
      <c r="AO19" s="212"/>
      <c r="AP19" s="212"/>
    </row>
    <row r="20" spans="1:42" ht="133.5" customHeight="1" thickBot="1" x14ac:dyDescent="0.4">
      <c r="A20" s="481">
        <v>4</v>
      </c>
      <c r="B20" s="481" t="s">
        <v>192</v>
      </c>
      <c r="C20" s="481" t="s">
        <v>98</v>
      </c>
      <c r="D20" s="481" t="s">
        <v>99</v>
      </c>
      <c r="E20" s="481" t="s">
        <v>100</v>
      </c>
      <c r="F20" s="485" t="s">
        <v>959</v>
      </c>
      <c r="G20" s="481" t="s">
        <v>971</v>
      </c>
      <c r="H20" s="487" t="s">
        <v>980</v>
      </c>
      <c r="I20" s="483" t="s">
        <v>981</v>
      </c>
      <c r="J20" s="483" t="s">
        <v>982</v>
      </c>
      <c r="K20" s="483" t="s">
        <v>983</v>
      </c>
      <c r="L20" s="483" t="s">
        <v>965</v>
      </c>
      <c r="M20" s="483"/>
      <c r="N20" s="483" t="s">
        <v>984</v>
      </c>
      <c r="O20" s="483" t="s">
        <v>984</v>
      </c>
      <c r="P20" s="483" t="s">
        <v>985</v>
      </c>
      <c r="Q20" s="64" t="s">
        <v>86</v>
      </c>
      <c r="R20" s="53">
        <f>+(R21*S20)</f>
        <v>7.6923076923076927E-2</v>
      </c>
      <c r="S20" s="71">
        <f t="shared" si="1"/>
        <v>1</v>
      </c>
      <c r="T20" s="43"/>
      <c r="U20" s="43"/>
      <c r="V20" s="43"/>
      <c r="W20" s="43"/>
      <c r="X20" s="43"/>
      <c r="Y20" s="43"/>
      <c r="Z20" s="43">
        <v>1</v>
      </c>
      <c r="AA20" s="43"/>
      <c r="AB20" s="44"/>
      <c r="AC20" s="44"/>
      <c r="AD20" s="44"/>
      <c r="AE20" s="44"/>
      <c r="AF20" s="44"/>
      <c r="AG20" s="496"/>
      <c r="AH20" s="367" t="s">
        <v>969</v>
      </c>
      <c r="AI20" s="367"/>
      <c r="AJ20" s="367"/>
      <c r="AK20" s="212"/>
      <c r="AL20" s="212"/>
      <c r="AM20" s="212"/>
      <c r="AN20" s="212"/>
      <c r="AO20" s="212"/>
      <c r="AP20" s="212"/>
    </row>
    <row r="21" spans="1:42" ht="133.5" customHeight="1" thickBot="1" x14ac:dyDescent="0.4">
      <c r="A21" s="482"/>
      <c r="B21" s="482"/>
      <c r="C21" s="482"/>
      <c r="D21" s="482"/>
      <c r="E21" s="482"/>
      <c r="F21" s="486"/>
      <c r="G21" s="482"/>
      <c r="H21" s="488"/>
      <c r="I21" s="484" t="s">
        <v>981</v>
      </c>
      <c r="J21" s="484" t="s">
        <v>982</v>
      </c>
      <c r="K21" s="484" t="s">
        <v>983</v>
      </c>
      <c r="L21" s="484" t="s">
        <v>965</v>
      </c>
      <c r="M21" s="484"/>
      <c r="N21" s="484" t="s">
        <v>984</v>
      </c>
      <c r="O21" s="484" t="s">
        <v>984</v>
      </c>
      <c r="P21" s="484" t="s">
        <v>985</v>
      </c>
      <c r="Q21" s="64" t="s">
        <v>89</v>
      </c>
      <c r="R21" s="52">
        <f>100%/13</f>
        <v>7.6923076923076927E-2</v>
      </c>
      <c r="S21" s="71">
        <f t="shared" si="1"/>
        <v>1</v>
      </c>
      <c r="T21" s="42"/>
      <c r="U21" s="42"/>
      <c r="V21" s="42"/>
      <c r="W21" s="42"/>
      <c r="X21" s="42"/>
      <c r="Y21" s="42"/>
      <c r="Z21" s="42">
        <v>1</v>
      </c>
      <c r="AA21" s="42"/>
      <c r="AB21" s="42"/>
      <c r="AC21" s="42"/>
      <c r="AD21" s="42"/>
      <c r="AE21" s="42"/>
      <c r="AF21" s="42"/>
      <c r="AG21" s="496"/>
      <c r="AH21" s="367"/>
      <c r="AI21" s="367"/>
      <c r="AJ21" s="367"/>
      <c r="AK21" s="212"/>
      <c r="AL21" s="212"/>
      <c r="AM21" s="212"/>
      <c r="AN21" s="212"/>
      <c r="AO21" s="212"/>
      <c r="AP21" s="212"/>
    </row>
    <row r="22" spans="1:42" ht="133.5" customHeight="1" thickBot="1" x14ac:dyDescent="0.4">
      <c r="A22" s="481">
        <v>5</v>
      </c>
      <c r="B22" s="481" t="s">
        <v>150</v>
      </c>
      <c r="C22" s="481" t="s">
        <v>103</v>
      </c>
      <c r="D22" s="481" t="s">
        <v>986</v>
      </c>
      <c r="E22" s="481" t="s">
        <v>987</v>
      </c>
      <c r="F22" s="485" t="s">
        <v>959</v>
      </c>
      <c r="G22" s="481" t="s">
        <v>988</v>
      </c>
      <c r="H22" s="487" t="s">
        <v>989</v>
      </c>
      <c r="I22" s="483" t="s">
        <v>990</v>
      </c>
      <c r="J22" s="483" t="s">
        <v>80</v>
      </c>
      <c r="K22" s="483" t="s">
        <v>964</v>
      </c>
      <c r="L22" s="483"/>
      <c r="M22" s="483" t="s">
        <v>965</v>
      </c>
      <c r="N22" s="483" t="s">
        <v>991</v>
      </c>
      <c r="O22" s="483" t="s">
        <v>984</v>
      </c>
      <c r="P22" s="483" t="s">
        <v>992</v>
      </c>
      <c r="Q22" s="64" t="s">
        <v>86</v>
      </c>
      <c r="R22" s="53">
        <f>+(R23*S22)</f>
        <v>7.6923076923076927E-2</v>
      </c>
      <c r="S22" s="71">
        <f t="shared" si="1"/>
        <v>1</v>
      </c>
      <c r="T22" s="45"/>
      <c r="U22" s="45"/>
      <c r="V22" s="45"/>
      <c r="W22" s="43"/>
      <c r="X22" s="43"/>
      <c r="Y22" s="43"/>
      <c r="Z22" s="43">
        <v>1</v>
      </c>
      <c r="AA22" s="43"/>
      <c r="AB22" s="44"/>
      <c r="AC22" s="44"/>
      <c r="AD22" s="44"/>
      <c r="AE22" s="44"/>
      <c r="AF22" s="44"/>
      <c r="AG22" s="496"/>
      <c r="AH22" s="367" t="s">
        <v>969</v>
      </c>
      <c r="AI22" s="367"/>
      <c r="AJ22" s="367"/>
      <c r="AK22" s="212"/>
      <c r="AL22" s="212"/>
      <c r="AM22" s="212"/>
      <c r="AN22" s="212"/>
      <c r="AO22" s="212"/>
      <c r="AP22" s="212"/>
    </row>
    <row r="23" spans="1:42" ht="133.5" customHeight="1" thickBot="1" x14ac:dyDescent="0.4">
      <c r="A23" s="482"/>
      <c r="B23" s="482"/>
      <c r="C23" s="482"/>
      <c r="D23" s="482"/>
      <c r="E23" s="482"/>
      <c r="F23" s="486"/>
      <c r="G23" s="482"/>
      <c r="H23" s="488"/>
      <c r="I23" s="484"/>
      <c r="J23" s="484"/>
      <c r="K23" s="484"/>
      <c r="L23" s="484"/>
      <c r="M23" s="484"/>
      <c r="N23" s="484"/>
      <c r="O23" s="484"/>
      <c r="P23" s="484"/>
      <c r="Q23" s="64" t="s">
        <v>89</v>
      </c>
      <c r="R23" s="52">
        <f>100%/13</f>
        <v>7.6923076923076927E-2</v>
      </c>
      <c r="S23" s="71">
        <f t="shared" si="1"/>
        <v>1</v>
      </c>
      <c r="T23" s="42"/>
      <c r="U23" s="42"/>
      <c r="V23" s="42"/>
      <c r="W23" s="42"/>
      <c r="X23" s="42"/>
      <c r="Y23" s="42"/>
      <c r="Z23" s="42">
        <v>1</v>
      </c>
      <c r="AA23" s="42"/>
      <c r="AB23" s="42"/>
      <c r="AC23" s="42"/>
      <c r="AD23" s="42"/>
      <c r="AE23" s="42"/>
      <c r="AF23" s="42"/>
      <c r="AG23" s="496"/>
      <c r="AH23" s="367"/>
      <c r="AI23" s="367"/>
      <c r="AJ23" s="367"/>
      <c r="AK23" s="212"/>
      <c r="AL23" s="212"/>
      <c r="AM23" s="212"/>
      <c r="AN23" s="212"/>
      <c r="AO23" s="212"/>
      <c r="AP23" s="212"/>
    </row>
    <row r="24" spans="1:42" ht="133.5" customHeight="1" thickBot="1" x14ac:dyDescent="0.4">
      <c r="A24" s="481">
        <v>6</v>
      </c>
      <c r="B24" s="481" t="s">
        <v>219</v>
      </c>
      <c r="C24" s="481" t="s">
        <v>115</v>
      </c>
      <c r="D24" s="481" t="s">
        <v>116</v>
      </c>
      <c r="E24" s="481" t="s">
        <v>117</v>
      </c>
      <c r="F24" s="485" t="s">
        <v>959</v>
      </c>
      <c r="G24" s="481" t="s">
        <v>993</v>
      </c>
      <c r="H24" s="487" t="s">
        <v>994</v>
      </c>
      <c r="I24" s="483" t="s">
        <v>995</v>
      </c>
      <c r="J24" s="483" t="s">
        <v>29</v>
      </c>
      <c r="K24" s="483" t="s">
        <v>974</v>
      </c>
      <c r="L24" s="483" t="s">
        <v>965</v>
      </c>
      <c r="M24" s="483" t="s">
        <v>965</v>
      </c>
      <c r="N24" s="483" t="s">
        <v>984</v>
      </c>
      <c r="O24" s="483" t="s">
        <v>996</v>
      </c>
      <c r="P24" s="483" t="s">
        <v>997</v>
      </c>
      <c r="Q24" s="64" t="s">
        <v>86</v>
      </c>
      <c r="R24" s="53">
        <f>+(R25*S24)</f>
        <v>7.6923076923076927E-2</v>
      </c>
      <c r="S24" s="71">
        <f t="shared" si="1"/>
        <v>1</v>
      </c>
      <c r="T24" s="63"/>
      <c r="U24" s="63"/>
      <c r="V24" s="63"/>
      <c r="W24" s="43"/>
      <c r="X24" s="43"/>
      <c r="Y24" s="43"/>
      <c r="Z24" s="43">
        <v>1</v>
      </c>
      <c r="AA24" s="43"/>
      <c r="AB24" s="44"/>
      <c r="AC24" s="44"/>
      <c r="AD24" s="44"/>
      <c r="AE24" s="44"/>
      <c r="AF24" s="44"/>
      <c r="AG24" s="496"/>
      <c r="AH24" s="367" t="s">
        <v>969</v>
      </c>
      <c r="AI24" s="367"/>
      <c r="AJ24" s="367"/>
      <c r="AK24" s="212"/>
      <c r="AL24" s="212"/>
      <c r="AM24" s="212"/>
      <c r="AN24" s="212"/>
      <c r="AO24" s="212"/>
      <c r="AP24" s="212"/>
    </row>
    <row r="25" spans="1:42" ht="133.5" customHeight="1" thickBot="1" x14ac:dyDescent="0.4">
      <c r="A25" s="482"/>
      <c r="B25" s="482"/>
      <c r="C25" s="482"/>
      <c r="D25" s="482"/>
      <c r="E25" s="482"/>
      <c r="F25" s="486"/>
      <c r="G25" s="482" t="s">
        <v>993</v>
      </c>
      <c r="H25" s="488" t="s">
        <v>994</v>
      </c>
      <c r="I25" s="484" t="s">
        <v>995</v>
      </c>
      <c r="J25" s="484" t="s">
        <v>29</v>
      </c>
      <c r="K25" s="484" t="s">
        <v>974</v>
      </c>
      <c r="L25" s="484" t="s">
        <v>965</v>
      </c>
      <c r="M25" s="484" t="s">
        <v>965</v>
      </c>
      <c r="N25" s="484" t="s">
        <v>984</v>
      </c>
      <c r="O25" s="484" t="s">
        <v>996</v>
      </c>
      <c r="P25" s="484" t="s">
        <v>997</v>
      </c>
      <c r="Q25" s="64" t="s">
        <v>89</v>
      </c>
      <c r="R25" s="52">
        <f>100%/13</f>
        <v>7.6923076923076927E-2</v>
      </c>
      <c r="S25" s="71">
        <f t="shared" si="1"/>
        <v>1</v>
      </c>
      <c r="T25" s="42"/>
      <c r="U25" s="42"/>
      <c r="V25" s="42"/>
      <c r="W25" s="42"/>
      <c r="X25" s="42"/>
      <c r="Y25" s="42"/>
      <c r="Z25" s="42">
        <v>1</v>
      </c>
      <c r="AA25" s="42"/>
      <c r="AB25" s="42"/>
      <c r="AC25" s="42"/>
      <c r="AD25" s="42"/>
      <c r="AE25" s="42"/>
      <c r="AF25" s="42"/>
      <c r="AG25" s="496"/>
      <c r="AH25" s="367"/>
      <c r="AI25" s="367"/>
      <c r="AJ25" s="367"/>
      <c r="AK25" s="212"/>
      <c r="AL25" s="212"/>
      <c r="AM25" s="212"/>
      <c r="AN25" s="212"/>
      <c r="AO25" s="212"/>
      <c r="AP25" s="212"/>
    </row>
    <row r="26" spans="1:42" ht="118.5" customHeight="1" thickBot="1" x14ac:dyDescent="0.4">
      <c r="A26" s="481">
        <v>7</v>
      </c>
      <c r="B26" s="481" t="s">
        <v>219</v>
      </c>
      <c r="C26" s="481" t="s">
        <v>115</v>
      </c>
      <c r="D26" s="481" t="s">
        <v>116</v>
      </c>
      <c r="E26" s="481" t="s">
        <v>117</v>
      </c>
      <c r="F26" s="485" t="s">
        <v>959</v>
      </c>
      <c r="G26" s="481" t="s">
        <v>993</v>
      </c>
      <c r="H26" s="487" t="s">
        <v>998</v>
      </c>
      <c r="I26" s="483" t="s">
        <v>999</v>
      </c>
      <c r="J26" s="483" t="s">
        <v>29</v>
      </c>
      <c r="K26" s="483" t="s">
        <v>1000</v>
      </c>
      <c r="L26" s="483" t="s">
        <v>965</v>
      </c>
      <c r="M26" s="483" t="s">
        <v>965</v>
      </c>
      <c r="N26" s="483" t="s">
        <v>966</v>
      </c>
      <c r="O26" s="483" t="s">
        <v>967</v>
      </c>
      <c r="P26" s="483" t="s">
        <v>1001</v>
      </c>
      <c r="Q26" s="64" t="s">
        <v>86</v>
      </c>
      <c r="R26" s="53">
        <f>+(R27*S26)</f>
        <v>0</v>
      </c>
      <c r="S26" s="71">
        <f t="shared" si="1"/>
        <v>0</v>
      </c>
      <c r="T26" s="45"/>
      <c r="U26" s="45"/>
      <c r="V26" s="45"/>
      <c r="W26" s="45"/>
      <c r="X26" s="45"/>
      <c r="Y26" s="45"/>
      <c r="Z26" s="45"/>
      <c r="AA26" s="45"/>
      <c r="AB26" s="45"/>
      <c r="AC26" s="45"/>
      <c r="AD26" s="45"/>
      <c r="AE26" s="45"/>
      <c r="AF26" s="45"/>
      <c r="AG26" s="496"/>
      <c r="AH26" s="367" t="s">
        <v>1002</v>
      </c>
      <c r="AI26" s="367"/>
      <c r="AJ26" s="367"/>
      <c r="AK26" s="212"/>
      <c r="AL26" s="212"/>
      <c r="AM26" s="212"/>
      <c r="AN26" s="212"/>
      <c r="AO26" s="212"/>
      <c r="AP26" s="212"/>
    </row>
    <row r="27" spans="1:42" ht="118.5" customHeight="1" thickBot="1" x14ac:dyDescent="0.4">
      <c r="A27" s="482"/>
      <c r="B27" s="482"/>
      <c r="C27" s="482"/>
      <c r="D27" s="482"/>
      <c r="E27" s="482"/>
      <c r="F27" s="486"/>
      <c r="G27" s="482" t="s">
        <v>993</v>
      </c>
      <c r="H27" s="488"/>
      <c r="I27" s="484"/>
      <c r="J27" s="484" t="s">
        <v>29</v>
      </c>
      <c r="K27" s="484"/>
      <c r="L27" s="484"/>
      <c r="M27" s="484"/>
      <c r="N27" s="484"/>
      <c r="O27" s="484"/>
      <c r="P27" s="484"/>
      <c r="Q27" s="64" t="s">
        <v>89</v>
      </c>
      <c r="R27" s="52">
        <f>100%/13</f>
        <v>7.6923076923076927E-2</v>
      </c>
      <c r="S27" s="71">
        <f t="shared" si="1"/>
        <v>1</v>
      </c>
      <c r="T27" s="42"/>
      <c r="U27" s="42"/>
      <c r="V27" s="42"/>
      <c r="W27" s="42"/>
      <c r="X27" s="42"/>
      <c r="Y27" s="42"/>
      <c r="Z27" s="42"/>
      <c r="AA27" s="42"/>
      <c r="AB27" s="42"/>
      <c r="AC27" s="42"/>
      <c r="AD27" s="42"/>
      <c r="AE27" s="42"/>
      <c r="AF27" s="42">
        <v>1</v>
      </c>
      <c r="AG27" s="496"/>
      <c r="AH27" s="367"/>
      <c r="AI27" s="367"/>
      <c r="AJ27" s="367"/>
      <c r="AK27" s="212"/>
      <c r="AL27" s="212"/>
      <c r="AM27" s="212"/>
      <c r="AN27" s="212"/>
      <c r="AO27" s="212"/>
      <c r="AP27" s="212"/>
    </row>
    <row r="28" spans="1:42" ht="118.5" customHeight="1" thickBot="1" x14ac:dyDescent="0.4">
      <c r="A28" s="481">
        <v>8</v>
      </c>
      <c r="B28" s="481" t="s">
        <v>219</v>
      </c>
      <c r="C28" s="481" t="s">
        <v>115</v>
      </c>
      <c r="D28" s="481" t="s">
        <v>116</v>
      </c>
      <c r="E28" s="481" t="s">
        <v>117</v>
      </c>
      <c r="F28" s="485" t="s">
        <v>959</v>
      </c>
      <c r="G28" s="481" t="s">
        <v>993</v>
      </c>
      <c r="H28" s="487" t="s">
        <v>1003</v>
      </c>
      <c r="I28" s="483" t="s">
        <v>1004</v>
      </c>
      <c r="J28" s="483" t="s">
        <v>29</v>
      </c>
      <c r="K28" s="483" t="s">
        <v>1000</v>
      </c>
      <c r="L28" s="483" t="s">
        <v>965</v>
      </c>
      <c r="M28" s="483" t="s">
        <v>965</v>
      </c>
      <c r="N28" s="483" t="s">
        <v>1005</v>
      </c>
      <c r="O28" s="483" t="s">
        <v>1006</v>
      </c>
      <c r="P28" s="483" t="s">
        <v>1007</v>
      </c>
      <c r="Q28" s="64" t="s">
        <v>86</v>
      </c>
      <c r="R28" s="53">
        <f>+(R29*S28)</f>
        <v>0</v>
      </c>
      <c r="S28" s="71">
        <f t="shared" si="1"/>
        <v>0</v>
      </c>
      <c r="T28" s="45"/>
      <c r="U28" s="45"/>
      <c r="V28" s="45"/>
      <c r="W28" s="45"/>
      <c r="X28" s="45"/>
      <c r="Y28" s="45"/>
      <c r="Z28" s="45"/>
      <c r="AA28" s="45"/>
      <c r="AB28" s="45"/>
      <c r="AC28" s="45"/>
      <c r="AD28" s="45"/>
      <c r="AE28" s="45"/>
      <c r="AF28" s="45"/>
      <c r="AG28" s="496"/>
      <c r="AH28" s="367"/>
      <c r="AI28" s="367"/>
      <c r="AJ28" s="367"/>
      <c r="AK28" s="212"/>
      <c r="AL28" s="212"/>
      <c r="AM28" s="212"/>
      <c r="AN28" s="212"/>
      <c r="AO28" s="212"/>
      <c r="AP28" s="212"/>
    </row>
    <row r="29" spans="1:42" ht="118.5" customHeight="1" thickBot="1" x14ac:dyDescent="0.4">
      <c r="A29" s="482"/>
      <c r="B29" s="482"/>
      <c r="C29" s="482"/>
      <c r="D29" s="482"/>
      <c r="E29" s="482"/>
      <c r="F29" s="486"/>
      <c r="G29" s="482" t="s">
        <v>993</v>
      </c>
      <c r="H29" s="488" t="s">
        <v>1003</v>
      </c>
      <c r="I29" s="484"/>
      <c r="J29" s="484" t="s">
        <v>29</v>
      </c>
      <c r="K29" s="484"/>
      <c r="L29" s="484"/>
      <c r="M29" s="484"/>
      <c r="N29" s="484"/>
      <c r="O29" s="484"/>
      <c r="P29" s="484"/>
      <c r="Q29" s="64" t="s">
        <v>89</v>
      </c>
      <c r="R29" s="52">
        <f>100%/13</f>
        <v>7.6923076923076927E-2</v>
      </c>
      <c r="S29" s="71">
        <f t="shared" si="1"/>
        <v>1</v>
      </c>
      <c r="T29" s="42"/>
      <c r="U29" s="42"/>
      <c r="V29" s="42"/>
      <c r="W29" s="42"/>
      <c r="X29" s="42"/>
      <c r="Y29" s="42"/>
      <c r="Z29" s="42"/>
      <c r="AA29" s="42"/>
      <c r="AB29" s="42"/>
      <c r="AC29" s="42"/>
      <c r="AD29" s="42"/>
      <c r="AE29" s="42"/>
      <c r="AF29" s="42">
        <v>1</v>
      </c>
      <c r="AG29" s="496"/>
      <c r="AH29" s="367"/>
      <c r="AI29" s="367"/>
      <c r="AJ29" s="367"/>
      <c r="AK29" s="212"/>
      <c r="AL29" s="212"/>
      <c r="AM29" s="212"/>
      <c r="AN29" s="212"/>
      <c r="AO29" s="212"/>
      <c r="AP29" s="212"/>
    </row>
    <row r="30" spans="1:42" ht="118.5" customHeight="1" thickBot="1" x14ac:dyDescent="0.4">
      <c r="A30" s="481">
        <v>9</v>
      </c>
      <c r="B30" s="481" t="s">
        <v>219</v>
      </c>
      <c r="C30" s="481" t="s">
        <v>115</v>
      </c>
      <c r="D30" s="481" t="s">
        <v>116</v>
      </c>
      <c r="E30" s="481" t="s">
        <v>117</v>
      </c>
      <c r="F30" s="485" t="s">
        <v>959</v>
      </c>
      <c r="G30" s="481" t="s">
        <v>993</v>
      </c>
      <c r="H30" s="487" t="s">
        <v>1008</v>
      </c>
      <c r="I30" s="483" t="s">
        <v>1009</v>
      </c>
      <c r="J30" s="483" t="s">
        <v>1010</v>
      </c>
      <c r="K30" s="483" t="s">
        <v>1000</v>
      </c>
      <c r="L30" s="483" t="s">
        <v>965</v>
      </c>
      <c r="M30" s="483"/>
      <c r="N30" s="483" t="s">
        <v>1011</v>
      </c>
      <c r="O30" s="483" t="s">
        <v>996</v>
      </c>
      <c r="P30" s="493" t="s">
        <v>1012</v>
      </c>
      <c r="Q30" s="64" t="s">
        <v>86</v>
      </c>
      <c r="R30" s="53">
        <f>+(R31*S30)</f>
        <v>7.6923076923076927E-2</v>
      </c>
      <c r="S30" s="71">
        <f t="shared" si="1"/>
        <v>1</v>
      </c>
      <c r="T30" s="45"/>
      <c r="U30" s="45"/>
      <c r="V30" s="45"/>
      <c r="W30" s="45"/>
      <c r="X30" s="45"/>
      <c r="Y30" s="45"/>
      <c r="Z30" s="45">
        <v>1</v>
      </c>
      <c r="AA30" s="45"/>
      <c r="AB30" s="45"/>
      <c r="AC30" s="45"/>
      <c r="AD30" s="45"/>
      <c r="AE30" s="45"/>
      <c r="AF30" s="45"/>
      <c r="AG30" s="496"/>
      <c r="AH30" s="367" t="s">
        <v>969</v>
      </c>
      <c r="AI30" s="367"/>
      <c r="AJ30" s="367"/>
      <c r="AK30" s="212"/>
      <c r="AL30" s="212"/>
      <c r="AM30" s="212"/>
      <c r="AN30" s="212"/>
      <c r="AO30" s="212"/>
      <c r="AP30" s="212"/>
    </row>
    <row r="31" spans="1:42" ht="118.5" customHeight="1" thickBot="1" x14ac:dyDescent="0.4">
      <c r="A31" s="482"/>
      <c r="B31" s="482"/>
      <c r="C31" s="482"/>
      <c r="D31" s="482"/>
      <c r="E31" s="482"/>
      <c r="F31" s="486"/>
      <c r="G31" s="482" t="s">
        <v>993</v>
      </c>
      <c r="H31" s="488"/>
      <c r="I31" s="484"/>
      <c r="J31" s="484"/>
      <c r="K31" s="484"/>
      <c r="L31" s="484"/>
      <c r="M31" s="484"/>
      <c r="N31" s="484"/>
      <c r="O31" s="484"/>
      <c r="P31" s="494"/>
      <c r="Q31" s="64" t="s">
        <v>89</v>
      </c>
      <c r="R31" s="52">
        <f>100%/13</f>
        <v>7.6923076923076927E-2</v>
      </c>
      <c r="S31" s="71">
        <f t="shared" si="1"/>
        <v>1</v>
      </c>
      <c r="T31" s="42"/>
      <c r="U31" s="42"/>
      <c r="V31" s="42"/>
      <c r="W31" s="42"/>
      <c r="X31" s="42"/>
      <c r="Y31" s="42"/>
      <c r="Z31" s="42">
        <v>1</v>
      </c>
      <c r="AA31" s="42"/>
      <c r="AB31" s="42"/>
      <c r="AC31" s="42"/>
      <c r="AD31" s="42"/>
      <c r="AE31" s="42"/>
      <c r="AF31" s="42"/>
      <c r="AG31" s="496"/>
      <c r="AH31" s="367"/>
      <c r="AI31" s="367"/>
      <c r="AJ31" s="367"/>
      <c r="AK31" s="212"/>
      <c r="AL31" s="212"/>
      <c r="AM31" s="212"/>
      <c r="AN31" s="212"/>
      <c r="AO31" s="212"/>
      <c r="AP31" s="212"/>
    </row>
    <row r="32" spans="1:42" ht="118.5" customHeight="1" thickBot="1" x14ac:dyDescent="0.4">
      <c r="A32" s="481">
        <v>10</v>
      </c>
      <c r="B32" s="481" t="s">
        <v>219</v>
      </c>
      <c r="C32" s="481" t="s">
        <v>115</v>
      </c>
      <c r="D32" s="481" t="s">
        <v>116</v>
      </c>
      <c r="E32" s="481" t="s">
        <v>117</v>
      </c>
      <c r="F32" s="485" t="s">
        <v>959</v>
      </c>
      <c r="G32" s="481" t="s">
        <v>1013</v>
      </c>
      <c r="H32" s="487" t="s">
        <v>1014</v>
      </c>
      <c r="I32" s="483" t="s">
        <v>1015</v>
      </c>
      <c r="J32" s="483" t="s">
        <v>1016</v>
      </c>
      <c r="K32" s="483" t="s">
        <v>1000</v>
      </c>
      <c r="L32" s="483" t="s">
        <v>965</v>
      </c>
      <c r="M32" s="483" t="s">
        <v>965</v>
      </c>
      <c r="N32" s="483" t="s">
        <v>1017</v>
      </c>
      <c r="O32" s="483" t="s">
        <v>1018</v>
      </c>
      <c r="P32" s="483" t="s">
        <v>1019</v>
      </c>
      <c r="Q32" s="64" t="s">
        <v>86</v>
      </c>
      <c r="R32" s="53">
        <f>+(R33*S32)</f>
        <v>0</v>
      </c>
      <c r="S32" s="71">
        <f t="shared" si="1"/>
        <v>0</v>
      </c>
      <c r="T32" s="45"/>
      <c r="U32" s="45"/>
      <c r="V32" s="45"/>
      <c r="W32" s="45"/>
      <c r="X32" s="45"/>
      <c r="Y32" s="45"/>
      <c r="Z32" s="45"/>
      <c r="AA32" s="45"/>
      <c r="AB32" s="45"/>
      <c r="AC32" s="45"/>
      <c r="AD32" s="45"/>
      <c r="AE32" s="45"/>
      <c r="AF32" s="45"/>
      <c r="AG32" s="496"/>
      <c r="AH32" s="367" t="s">
        <v>1002</v>
      </c>
      <c r="AI32" s="367"/>
      <c r="AJ32" s="367"/>
      <c r="AK32" s="212"/>
      <c r="AL32" s="212"/>
      <c r="AM32" s="212"/>
      <c r="AN32" s="212"/>
      <c r="AO32" s="212"/>
      <c r="AP32" s="212"/>
    </row>
    <row r="33" spans="1:42" ht="118.5" customHeight="1" thickBot="1" x14ac:dyDescent="0.4">
      <c r="A33" s="482"/>
      <c r="B33" s="482"/>
      <c r="C33" s="482"/>
      <c r="D33" s="482"/>
      <c r="E33" s="482"/>
      <c r="F33" s="486"/>
      <c r="G33" s="482"/>
      <c r="H33" s="488"/>
      <c r="I33" s="484"/>
      <c r="J33" s="484"/>
      <c r="K33" s="484"/>
      <c r="L33" s="484"/>
      <c r="M33" s="484"/>
      <c r="N33" s="484"/>
      <c r="O33" s="484"/>
      <c r="P33" s="484"/>
      <c r="Q33" s="64" t="s">
        <v>89</v>
      </c>
      <c r="R33" s="52">
        <f>100%/13</f>
        <v>7.6923076923076927E-2</v>
      </c>
      <c r="S33" s="71">
        <f t="shared" si="1"/>
        <v>1</v>
      </c>
      <c r="T33" s="42"/>
      <c r="U33" s="42"/>
      <c r="V33" s="42"/>
      <c r="W33" s="42"/>
      <c r="X33" s="42"/>
      <c r="Y33" s="42"/>
      <c r="Z33" s="42"/>
      <c r="AA33" s="42"/>
      <c r="AB33" s="42"/>
      <c r="AC33" s="42"/>
      <c r="AD33" s="42"/>
      <c r="AE33" s="42"/>
      <c r="AF33" s="42">
        <v>1</v>
      </c>
      <c r="AG33" s="496"/>
      <c r="AH33" s="367"/>
      <c r="AI33" s="367"/>
      <c r="AJ33" s="367"/>
      <c r="AK33" s="212"/>
      <c r="AL33" s="212"/>
      <c r="AM33" s="212"/>
      <c r="AN33" s="212"/>
      <c r="AO33" s="212"/>
      <c r="AP33" s="212"/>
    </row>
    <row r="34" spans="1:42" ht="118.5" customHeight="1" thickBot="1" x14ac:dyDescent="0.4">
      <c r="A34" s="481">
        <v>11</v>
      </c>
      <c r="B34" s="481" t="s">
        <v>219</v>
      </c>
      <c r="C34" s="481" t="s">
        <v>115</v>
      </c>
      <c r="D34" s="481" t="s">
        <v>116</v>
      </c>
      <c r="E34" s="481" t="s">
        <v>117</v>
      </c>
      <c r="F34" s="485" t="s">
        <v>959</v>
      </c>
      <c r="G34" s="481" t="s">
        <v>1013</v>
      </c>
      <c r="H34" s="487" t="s">
        <v>1020</v>
      </c>
      <c r="I34" s="483" t="s">
        <v>1021</v>
      </c>
      <c r="J34" s="483" t="s">
        <v>1022</v>
      </c>
      <c r="K34" s="483" t="s">
        <v>1000</v>
      </c>
      <c r="L34" s="483" t="s">
        <v>965</v>
      </c>
      <c r="M34" s="483"/>
      <c r="N34" s="483" t="s">
        <v>1023</v>
      </c>
      <c r="O34" s="483" t="s">
        <v>966</v>
      </c>
      <c r="P34" s="483" t="s">
        <v>1024</v>
      </c>
      <c r="Q34" s="64" t="s">
        <v>86</v>
      </c>
      <c r="R34" s="53">
        <f>+(R35*S34)</f>
        <v>7.6923076923076927E-2</v>
      </c>
      <c r="S34" s="71">
        <f t="shared" si="1"/>
        <v>1</v>
      </c>
      <c r="T34" s="45"/>
      <c r="U34" s="45"/>
      <c r="V34" s="45"/>
      <c r="W34" s="45"/>
      <c r="X34" s="45"/>
      <c r="Y34" s="45"/>
      <c r="Z34" s="45">
        <v>1</v>
      </c>
      <c r="AA34" s="45"/>
      <c r="AB34" s="45"/>
      <c r="AC34" s="45"/>
      <c r="AD34" s="45"/>
      <c r="AE34" s="45"/>
      <c r="AF34" s="45"/>
      <c r="AG34" s="496"/>
      <c r="AH34" s="367" t="s">
        <v>969</v>
      </c>
      <c r="AI34" s="367"/>
      <c r="AJ34" s="367"/>
      <c r="AK34" s="212"/>
      <c r="AL34" s="212"/>
      <c r="AM34" s="212"/>
      <c r="AN34" s="212"/>
      <c r="AO34" s="212"/>
      <c r="AP34" s="212"/>
    </row>
    <row r="35" spans="1:42" ht="118.5" customHeight="1" thickBot="1" x14ac:dyDescent="0.4">
      <c r="A35" s="482"/>
      <c r="B35" s="482"/>
      <c r="C35" s="482"/>
      <c r="D35" s="482"/>
      <c r="E35" s="482"/>
      <c r="F35" s="486"/>
      <c r="G35" s="482"/>
      <c r="H35" s="488"/>
      <c r="I35" s="484"/>
      <c r="J35" s="484"/>
      <c r="K35" s="484"/>
      <c r="L35" s="484"/>
      <c r="M35" s="484"/>
      <c r="N35" s="484"/>
      <c r="O35" s="484"/>
      <c r="P35" s="484"/>
      <c r="Q35" s="64" t="s">
        <v>89</v>
      </c>
      <c r="R35" s="52">
        <f>100%/13</f>
        <v>7.6923076923076927E-2</v>
      </c>
      <c r="S35" s="71">
        <f t="shared" si="1"/>
        <v>1</v>
      </c>
      <c r="T35" s="42"/>
      <c r="U35" s="42"/>
      <c r="V35" s="42"/>
      <c r="W35" s="42"/>
      <c r="X35" s="42"/>
      <c r="Y35" s="42"/>
      <c r="Z35" s="42">
        <v>1</v>
      </c>
      <c r="AA35" s="42"/>
      <c r="AB35" s="42"/>
      <c r="AC35" s="42"/>
      <c r="AD35" s="42"/>
      <c r="AE35" s="42"/>
      <c r="AF35" s="42"/>
      <c r="AG35" s="496"/>
      <c r="AH35" s="367"/>
      <c r="AI35" s="367"/>
      <c r="AJ35" s="367"/>
      <c r="AK35" s="212"/>
      <c r="AL35" s="212"/>
      <c r="AM35" s="212"/>
      <c r="AN35" s="212"/>
      <c r="AO35" s="212"/>
      <c r="AP35" s="212"/>
    </row>
    <row r="36" spans="1:42" ht="118.5" customHeight="1" thickBot="1" x14ac:dyDescent="0.4">
      <c r="A36" s="481">
        <v>12</v>
      </c>
      <c r="B36" s="481" t="s">
        <v>219</v>
      </c>
      <c r="C36" s="481" t="s">
        <v>115</v>
      </c>
      <c r="D36" s="481" t="s">
        <v>116</v>
      </c>
      <c r="E36" s="481" t="s">
        <v>117</v>
      </c>
      <c r="F36" s="485" t="s">
        <v>959</v>
      </c>
      <c r="G36" s="495" t="s">
        <v>1013</v>
      </c>
      <c r="H36" s="491" t="s">
        <v>1025</v>
      </c>
      <c r="I36" s="492" t="s">
        <v>1026</v>
      </c>
      <c r="J36" s="492" t="s">
        <v>1027</v>
      </c>
      <c r="K36" s="492" t="s">
        <v>1000</v>
      </c>
      <c r="L36" s="492"/>
      <c r="M36" s="492" t="s">
        <v>965</v>
      </c>
      <c r="N36" s="492" t="s">
        <v>1028</v>
      </c>
      <c r="O36" s="492" t="s">
        <v>996</v>
      </c>
      <c r="P36" s="483" t="s">
        <v>1029</v>
      </c>
      <c r="Q36" s="64" t="s">
        <v>86</v>
      </c>
      <c r="R36" s="53">
        <f>+(R37*S36)</f>
        <v>7.6923076923076927E-2</v>
      </c>
      <c r="S36" s="71">
        <f t="shared" si="1"/>
        <v>1</v>
      </c>
      <c r="T36" s="45"/>
      <c r="U36" s="45"/>
      <c r="V36" s="45"/>
      <c r="W36" s="45"/>
      <c r="X36" s="45"/>
      <c r="Y36" s="45"/>
      <c r="Z36" s="45">
        <v>1</v>
      </c>
      <c r="AA36" s="45"/>
      <c r="AB36" s="45"/>
      <c r="AC36" s="45"/>
      <c r="AD36" s="45"/>
      <c r="AE36" s="45"/>
      <c r="AF36" s="45"/>
      <c r="AG36" s="496"/>
      <c r="AH36" s="367" t="s">
        <v>969</v>
      </c>
      <c r="AI36" s="367"/>
      <c r="AJ36" s="367"/>
      <c r="AK36" s="212"/>
      <c r="AL36" s="212"/>
      <c r="AM36" s="212"/>
      <c r="AN36" s="212"/>
      <c r="AO36" s="212"/>
      <c r="AP36" s="212"/>
    </row>
    <row r="37" spans="1:42" ht="118.5" customHeight="1" thickBot="1" x14ac:dyDescent="0.4">
      <c r="A37" s="482"/>
      <c r="B37" s="482"/>
      <c r="C37" s="482"/>
      <c r="D37" s="482"/>
      <c r="E37" s="482"/>
      <c r="F37" s="486"/>
      <c r="G37" s="495"/>
      <c r="H37" s="491"/>
      <c r="I37" s="492"/>
      <c r="J37" s="492"/>
      <c r="K37" s="492"/>
      <c r="L37" s="492"/>
      <c r="M37" s="492"/>
      <c r="N37" s="492"/>
      <c r="O37" s="492"/>
      <c r="P37" s="484"/>
      <c r="Q37" s="64" t="s">
        <v>89</v>
      </c>
      <c r="R37" s="52">
        <f>100%/13</f>
        <v>7.6923076923076927E-2</v>
      </c>
      <c r="S37" s="71">
        <f t="shared" si="1"/>
        <v>1</v>
      </c>
      <c r="T37" s="42"/>
      <c r="U37" s="42"/>
      <c r="V37" s="42"/>
      <c r="W37" s="42"/>
      <c r="X37" s="42"/>
      <c r="Y37" s="42"/>
      <c r="Z37" s="42">
        <v>1</v>
      </c>
      <c r="AA37" s="42"/>
      <c r="AB37" s="42"/>
      <c r="AC37" s="42"/>
      <c r="AD37" s="42"/>
      <c r="AE37" s="42"/>
      <c r="AF37" s="42"/>
      <c r="AG37" s="496"/>
      <c r="AH37" s="367"/>
      <c r="AI37" s="367"/>
      <c r="AJ37" s="367"/>
      <c r="AK37" s="212"/>
      <c r="AL37" s="212"/>
      <c r="AM37" s="212"/>
      <c r="AN37" s="212"/>
      <c r="AO37" s="212"/>
      <c r="AP37" s="212"/>
    </row>
    <row r="38" spans="1:42" ht="118.5" customHeight="1" thickBot="1" x14ac:dyDescent="0.4">
      <c r="A38" s="481">
        <v>13</v>
      </c>
      <c r="B38" s="481" t="s">
        <v>219</v>
      </c>
      <c r="C38" s="481" t="s">
        <v>115</v>
      </c>
      <c r="D38" s="481" t="s">
        <v>116</v>
      </c>
      <c r="E38" s="481" t="s">
        <v>117</v>
      </c>
      <c r="F38" s="485" t="s">
        <v>959</v>
      </c>
      <c r="G38" s="490" t="s">
        <v>1030</v>
      </c>
      <c r="H38" s="491" t="s">
        <v>1031</v>
      </c>
      <c r="I38" s="492" t="s">
        <v>1032</v>
      </c>
      <c r="J38" s="492" t="s">
        <v>1033</v>
      </c>
      <c r="K38" s="492" t="s">
        <v>983</v>
      </c>
      <c r="L38" s="492" t="s">
        <v>965</v>
      </c>
      <c r="M38" s="492" t="s">
        <v>965</v>
      </c>
      <c r="N38" s="492" t="s">
        <v>1034</v>
      </c>
      <c r="O38" s="492" t="s">
        <v>1035</v>
      </c>
      <c r="P38" s="483" t="s">
        <v>1036</v>
      </c>
      <c r="Q38" s="64" t="s">
        <v>86</v>
      </c>
      <c r="R38" s="53">
        <f>+(R39*S38)</f>
        <v>0</v>
      </c>
      <c r="S38" s="71">
        <f t="shared" si="1"/>
        <v>0</v>
      </c>
      <c r="T38" s="45"/>
      <c r="U38" s="45"/>
      <c r="V38" s="45"/>
      <c r="W38" s="45"/>
      <c r="X38" s="45"/>
      <c r="Y38" s="45"/>
      <c r="Z38" s="45"/>
      <c r="AA38" s="45"/>
      <c r="AB38" s="45"/>
      <c r="AC38" s="45"/>
      <c r="AD38" s="45"/>
      <c r="AE38" s="45"/>
      <c r="AF38" s="45"/>
      <c r="AG38" s="496"/>
      <c r="AH38" s="367" t="s">
        <v>1002</v>
      </c>
      <c r="AI38" s="367"/>
      <c r="AJ38" s="367"/>
      <c r="AK38" s="212"/>
      <c r="AL38" s="212"/>
      <c r="AM38" s="212"/>
      <c r="AN38" s="212"/>
      <c r="AO38" s="212"/>
      <c r="AP38" s="212"/>
    </row>
    <row r="39" spans="1:42" ht="118.5" customHeight="1" x14ac:dyDescent="0.35">
      <c r="A39" s="482"/>
      <c r="B39" s="482"/>
      <c r="C39" s="482"/>
      <c r="D39" s="482"/>
      <c r="E39" s="482"/>
      <c r="F39" s="486"/>
      <c r="G39" s="490"/>
      <c r="H39" s="491"/>
      <c r="I39" s="492"/>
      <c r="J39" s="492"/>
      <c r="K39" s="492"/>
      <c r="L39" s="492"/>
      <c r="M39" s="492"/>
      <c r="N39" s="492"/>
      <c r="O39" s="492"/>
      <c r="P39" s="484"/>
      <c r="Q39" s="64" t="s">
        <v>89</v>
      </c>
      <c r="R39" s="52">
        <f>100%/13</f>
        <v>7.6923076923076927E-2</v>
      </c>
      <c r="S39" s="71">
        <f t="shared" si="1"/>
        <v>1</v>
      </c>
      <c r="T39" s="42"/>
      <c r="U39" s="42"/>
      <c r="V39" s="42"/>
      <c r="W39" s="42"/>
      <c r="X39" s="42"/>
      <c r="Y39" s="42"/>
      <c r="Z39" s="42"/>
      <c r="AA39" s="42"/>
      <c r="AB39" s="42"/>
      <c r="AC39" s="42"/>
      <c r="AD39" s="42"/>
      <c r="AE39" s="42"/>
      <c r="AF39" s="42">
        <v>1</v>
      </c>
      <c r="AG39" s="496"/>
      <c r="AH39" s="367"/>
      <c r="AI39" s="367"/>
      <c r="AJ39" s="367"/>
      <c r="AK39" s="212"/>
      <c r="AL39" s="212"/>
      <c r="AM39" s="212"/>
      <c r="AN39" s="212"/>
      <c r="AO39" s="212"/>
      <c r="AP39" s="212"/>
    </row>
  </sheetData>
  <mergeCells count="316">
    <mergeCell ref="AG38:AG39"/>
    <mergeCell ref="AH38:AH39"/>
    <mergeCell ref="AI38:AI39"/>
    <mergeCell ref="AJ38:AJ39"/>
    <mergeCell ref="D1:AJ3"/>
    <mergeCell ref="S6:V10"/>
    <mergeCell ref="W6:AB10"/>
    <mergeCell ref="AC6:AJ10"/>
    <mergeCell ref="AG32:AG33"/>
    <mergeCell ref="AH32:AH33"/>
    <mergeCell ref="AI32:AI33"/>
    <mergeCell ref="AJ32:AJ33"/>
    <mergeCell ref="AG34:AG35"/>
    <mergeCell ref="AH34:AH35"/>
    <mergeCell ref="AI34:AI35"/>
    <mergeCell ref="AJ34:AJ35"/>
    <mergeCell ref="AG36:AG37"/>
    <mergeCell ref="AH36:AH37"/>
    <mergeCell ref="AI36:AI37"/>
    <mergeCell ref="AJ36:AJ37"/>
    <mergeCell ref="AG28:AG29"/>
    <mergeCell ref="AH28:AH29"/>
    <mergeCell ref="AI28:AI29"/>
    <mergeCell ref="AJ28:AJ29"/>
    <mergeCell ref="AG30:AG31"/>
    <mergeCell ref="AH30:AH31"/>
    <mergeCell ref="AI30:AI31"/>
    <mergeCell ref="AJ30:AJ31"/>
    <mergeCell ref="AG22:AG23"/>
    <mergeCell ref="AH22:AH23"/>
    <mergeCell ref="AI22:AI23"/>
    <mergeCell ref="AJ22:AJ23"/>
    <mergeCell ref="AG24:AG25"/>
    <mergeCell ref="AH24:AH25"/>
    <mergeCell ref="AI24:AI25"/>
    <mergeCell ref="AJ24:AJ25"/>
    <mergeCell ref="AG26:AG27"/>
    <mergeCell ref="AH26:AH27"/>
    <mergeCell ref="AI26:AI27"/>
    <mergeCell ref="AJ26:AJ27"/>
    <mergeCell ref="AG16:AG17"/>
    <mergeCell ref="AH16:AH17"/>
    <mergeCell ref="AI16:AI17"/>
    <mergeCell ref="AJ16:AJ17"/>
    <mergeCell ref="AG18:AG19"/>
    <mergeCell ref="AH18:AH19"/>
    <mergeCell ref="AI18:AI19"/>
    <mergeCell ref="AJ18:AJ19"/>
    <mergeCell ref="AG20:AG21"/>
    <mergeCell ref="AH20:AH21"/>
    <mergeCell ref="AI20:AI21"/>
    <mergeCell ref="AJ20:AJ21"/>
    <mergeCell ref="AE12:AE13"/>
    <mergeCell ref="AF12:AF13"/>
    <mergeCell ref="AG12:AG13"/>
    <mergeCell ref="AH12:AH13"/>
    <mergeCell ref="AI12:AI13"/>
    <mergeCell ref="AJ12:AJ13"/>
    <mergeCell ref="AG14:AG15"/>
    <mergeCell ref="AH14:AH15"/>
    <mergeCell ref="AI14:AI15"/>
    <mergeCell ref="AJ14:AJ15"/>
    <mergeCell ref="V12:V13"/>
    <mergeCell ref="W12:W13"/>
    <mergeCell ref="X12:X13"/>
    <mergeCell ref="Y12:Y13"/>
    <mergeCell ref="Z12:Z13"/>
    <mergeCell ref="AA12:AA13"/>
    <mergeCell ref="AB12:AB13"/>
    <mergeCell ref="AC12:AC13"/>
    <mergeCell ref="AD12:AD13"/>
    <mergeCell ref="A36:A37"/>
    <mergeCell ref="B36:B37"/>
    <mergeCell ref="C36:C37"/>
    <mergeCell ref="D36:D37"/>
    <mergeCell ref="E36:E37"/>
    <mergeCell ref="G34:G35"/>
    <mergeCell ref="G36:G37"/>
    <mergeCell ref="T12:T13"/>
    <mergeCell ref="U12:U13"/>
    <mergeCell ref="P34:P35"/>
    <mergeCell ref="P36:P37"/>
    <mergeCell ref="I34:I35"/>
    <mergeCell ref="I36:I37"/>
    <mergeCell ref="P26:P27"/>
    <mergeCell ref="H28:H29"/>
    <mergeCell ref="H30:H31"/>
    <mergeCell ref="H32:H33"/>
    <mergeCell ref="H24:H25"/>
    <mergeCell ref="J20:J21"/>
    <mergeCell ref="K20:K21"/>
    <mergeCell ref="L20:L21"/>
    <mergeCell ref="B20:B21"/>
    <mergeCell ref="C20:C21"/>
    <mergeCell ref="D20:D21"/>
    <mergeCell ref="A1:C3"/>
    <mergeCell ref="A4:A5"/>
    <mergeCell ref="G4:G5"/>
    <mergeCell ref="A6:B10"/>
    <mergeCell ref="C6:D10"/>
    <mergeCell ref="E6:F10"/>
    <mergeCell ref="G6:G10"/>
    <mergeCell ref="A34:A35"/>
    <mergeCell ref="B34:B35"/>
    <mergeCell ref="C34:C35"/>
    <mergeCell ref="D34:D35"/>
    <mergeCell ref="E34:E35"/>
    <mergeCell ref="G32:G33"/>
    <mergeCell ref="G28:G29"/>
    <mergeCell ref="G30:G31"/>
    <mergeCell ref="G26:G27"/>
    <mergeCell ref="A24:A25"/>
    <mergeCell ref="B24:B25"/>
    <mergeCell ref="C24:C25"/>
    <mergeCell ref="D24:D25"/>
    <mergeCell ref="E24:E25"/>
    <mergeCell ref="F24:F25"/>
    <mergeCell ref="G24:G25"/>
    <mergeCell ref="A20:A21"/>
    <mergeCell ref="H6:I10"/>
    <mergeCell ref="J6:J10"/>
    <mergeCell ref="K6:L10"/>
    <mergeCell ref="M6:M10"/>
    <mergeCell ref="N6:O10"/>
    <mergeCell ref="P6:R10"/>
    <mergeCell ref="Q11:AF11"/>
    <mergeCell ref="AG11:AJ11"/>
    <mergeCell ref="D32:D33"/>
    <mergeCell ref="E32:E33"/>
    <mergeCell ref="P28:P29"/>
    <mergeCell ref="P30:P31"/>
    <mergeCell ref="P32:P33"/>
    <mergeCell ref="H26:H27"/>
    <mergeCell ref="I26:I27"/>
    <mergeCell ref="J26:J27"/>
    <mergeCell ref="K26:K27"/>
    <mergeCell ref="L26:L27"/>
    <mergeCell ref="M26:M27"/>
    <mergeCell ref="N26:N27"/>
    <mergeCell ref="O26:O27"/>
    <mergeCell ref="O24:O25"/>
    <mergeCell ref="P24:P25"/>
    <mergeCell ref="I24:I25"/>
    <mergeCell ref="P38:P39"/>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M32:M33"/>
    <mergeCell ref="L34:L35"/>
    <mergeCell ref="M34:M35"/>
    <mergeCell ref="L36:L37"/>
    <mergeCell ref="M36:M37"/>
    <mergeCell ref="L38:L39"/>
    <mergeCell ref="M38:M39"/>
    <mergeCell ref="N28:N29"/>
    <mergeCell ref="O28:O29"/>
    <mergeCell ref="N30:N31"/>
    <mergeCell ref="O30:O31"/>
    <mergeCell ref="N32:N33"/>
    <mergeCell ref="O32:O33"/>
    <mergeCell ref="N34:N35"/>
    <mergeCell ref="O34:O35"/>
    <mergeCell ref="N36:N37"/>
    <mergeCell ref="O36:O37"/>
    <mergeCell ref="N38:N39"/>
    <mergeCell ref="O38:O39"/>
    <mergeCell ref="L28:L29"/>
    <mergeCell ref="M28:M29"/>
    <mergeCell ref="L30:L31"/>
    <mergeCell ref="M30:M31"/>
    <mergeCell ref="L32:L33"/>
    <mergeCell ref="I38:I39"/>
    <mergeCell ref="J34:J35"/>
    <mergeCell ref="J36:J37"/>
    <mergeCell ref="J38:J39"/>
    <mergeCell ref="K28:K29"/>
    <mergeCell ref="K30:K31"/>
    <mergeCell ref="K32:K33"/>
    <mergeCell ref="K34:K35"/>
    <mergeCell ref="K36:K37"/>
    <mergeCell ref="K38:K39"/>
    <mergeCell ref="J28:J29"/>
    <mergeCell ref="J30:J31"/>
    <mergeCell ref="J32:J33"/>
    <mergeCell ref="I28:I29"/>
    <mergeCell ref="I30:I31"/>
    <mergeCell ref="I32:I33"/>
    <mergeCell ref="G38:G39"/>
    <mergeCell ref="F26:F27"/>
    <mergeCell ref="F28:F29"/>
    <mergeCell ref="F30:F31"/>
    <mergeCell ref="F32:F33"/>
    <mergeCell ref="F34:F35"/>
    <mergeCell ref="F36:F37"/>
    <mergeCell ref="F38:F39"/>
    <mergeCell ref="H34:H35"/>
    <mergeCell ref="H36:H37"/>
    <mergeCell ref="H38:H39"/>
    <mergeCell ref="A38:A39"/>
    <mergeCell ref="B38:B39"/>
    <mergeCell ref="C38:C39"/>
    <mergeCell ref="D38:D39"/>
    <mergeCell ref="E38:E39"/>
    <mergeCell ref="O20:O21"/>
    <mergeCell ref="P20:P21"/>
    <mergeCell ref="M20:M21"/>
    <mergeCell ref="N20:N21"/>
    <mergeCell ref="M22:M23"/>
    <mergeCell ref="N22:N23"/>
    <mergeCell ref="O22:O23"/>
    <mergeCell ref="P22:P23"/>
    <mergeCell ref="J24:J25"/>
    <mergeCell ref="K24:K25"/>
    <mergeCell ref="L24:L25"/>
    <mergeCell ref="M24:M25"/>
    <mergeCell ref="N24:N25"/>
    <mergeCell ref="A22:A23"/>
    <mergeCell ref="B22:B23"/>
    <mergeCell ref="C22:C23"/>
    <mergeCell ref="D22:D23"/>
    <mergeCell ref="E22:E23"/>
    <mergeCell ref="I20:I21"/>
    <mergeCell ref="E20:E21"/>
    <mergeCell ref="F20:F21"/>
    <mergeCell ref="G20:G21"/>
    <mergeCell ref="H20:H21"/>
    <mergeCell ref="L22:L23"/>
    <mergeCell ref="F22:F23"/>
    <mergeCell ref="G22:G23"/>
    <mergeCell ref="H22:H23"/>
    <mergeCell ref="I22:I23"/>
    <mergeCell ref="J22:J23"/>
    <mergeCell ref="K22:K23"/>
    <mergeCell ref="F18:F19"/>
    <mergeCell ref="G18:G19"/>
    <mergeCell ref="H18:H19"/>
    <mergeCell ref="I18:I19"/>
    <mergeCell ref="J18:J19"/>
    <mergeCell ref="K18:K19"/>
    <mergeCell ref="A18:A19"/>
    <mergeCell ref="B18:B19"/>
    <mergeCell ref="C18:C19"/>
    <mergeCell ref="D18:D19"/>
    <mergeCell ref="E18:E19"/>
    <mergeCell ref="I16:I17"/>
    <mergeCell ref="J16:J17"/>
    <mergeCell ref="K16:K17"/>
    <mergeCell ref="L16:L17"/>
    <mergeCell ref="M16:M17"/>
    <mergeCell ref="N16:N17"/>
    <mergeCell ref="M18:M19"/>
    <mergeCell ref="N18:N19"/>
    <mergeCell ref="O18:O19"/>
    <mergeCell ref="L18:L19"/>
    <mergeCell ref="P18:P19"/>
    <mergeCell ref="Q12:Q13"/>
    <mergeCell ref="R12:R13"/>
    <mergeCell ref="S12:S13"/>
    <mergeCell ref="A16:A17"/>
    <mergeCell ref="B16:B17"/>
    <mergeCell ref="C16:C17"/>
    <mergeCell ref="D16:D17"/>
    <mergeCell ref="E16:E17"/>
    <mergeCell ref="F16:F17"/>
    <mergeCell ref="G16:G17"/>
    <mergeCell ref="H16:H17"/>
    <mergeCell ref="L14:L15"/>
    <mergeCell ref="M14:M15"/>
    <mergeCell ref="N14:N15"/>
    <mergeCell ref="O14:O15"/>
    <mergeCell ref="P14:P15"/>
    <mergeCell ref="F14:F15"/>
    <mergeCell ref="G14:G15"/>
    <mergeCell ref="H14:H15"/>
    <mergeCell ref="J14:J15"/>
    <mergeCell ref="K14:K15"/>
    <mergeCell ref="O16:O17"/>
    <mergeCell ref="P16:P17"/>
    <mergeCell ref="A14:A15"/>
    <mergeCell ref="B14:B15"/>
    <mergeCell ref="C14:C15"/>
    <mergeCell ref="D14:D15"/>
    <mergeCell ref="E14:E15"/>
    <mergeCell ref="G12:G13"/>
    <mergeCell ref="H12:H13"/>
    <mergeCell ref="I12:I13"/>
    <mergeCell ref="J12:J13"/>
    <mergeCell ref="A11:F11"/>
    <mergeCell ref="G11:P11"/>
    <mergeCell ref="A12:A13"/>
    <mergeCell ref="B12:B13"/>
    <mergeCell ref="C12:C13"/>
    <mergeCell ref="D12:D13"/>
    <mergeCell ref="E12:E13"/>
    <mergeCell ref="F12:F13"/>
    <mergeCell ref="M12:M13"/>
    <mergeCell ref="N12:N13"/>
    <mergeCell ref="O12:O13"/>
    <mergeCell ref="P12:P13"/>
    <mergeCell ref="K12:K13"/>
    <mergeCell ref="L12:L13"/>
  </mergeCells>
  <conditionalFormatting sqref="I4">
    <cfRule type="cellIs" dxfId="79" priority="10" operator="lessThanOrEqual">
      <formula>$C$4</formula>
    </cfRule>
  </conditionalFormatting>
  <conditionalFormatting sqref="J6">
    <cfRule type="cellIs" dxfId="78" priority="11" operator="greaterThanOrEqual">
      <formula>$C$5</formula>
    </cfRule>
    <cfRule type="cellIs" dxfId="77" priority="12" operator="lessThanOrEqual">
      <formula>$C$4</formula>
    </cfRule>
    <cfRule type="cellIs" dxfId="76" priority="13" operator="between">
      <formula>$C$5</formula>
      <formula>$C$4</formula>
    </cfRule>
  </conditionalFormatting>
  <conditionalFormatting sqref="P6">
    <cfRule type="cellIs" dxfId="75" priority="7" operator="greaterThanOrEqual">
      <formula>$I$5</formula>
    </cfRule>
    <cfRule type="cellIs" dxfId="74" priority="8" operator="lessThanOrEqual">
      <formula>$I$4</formula>
    </cfRule>
    <cfRule type="cellIs" dxfId="73" priority="9" operator="between">
      <formula>$I$5</formula>
      <formula>$I$4</formula>
    </cfRule>
  </conditionalFormatting>
  <conditionalFormatting sqref="S14:S39">
    <cfRule type="cellIs" dxfId="72" priority="1" operator="greaterThanOrEqual">
      <formula>$C$5</formula>
    </cfRule>
    <cfRule type="cellIs" dxfId="71" priority="2" operator="lessThanOrEqual">
      <formula>$C$4</formula>
    </cfRule>
    <cfRule type="cellIs" dxfId="70" priority="3" operator="between">
      <formula>$C$5</formula>
      <formula>$C$4</formula>
    </cfRule>
  </conditionalFormatting>
  <conditionalFormatting sqref="W6">
    <cfRule type="cellIs" dxfId="69" priority="4" operator="greaterThanOrEqual">
      <formula>$I$5</formula>
    </cfRule>
    <cfRule type="cellIs" dxfId="68" priority="5" operator="lessThanOrEqual">
      <formula>$I$4</formula>
    </cfRule>
    <cfRule type="cellIs" dxfId="67" priority="6" operator="between">
      <formula>$I$5</formula>
      <formula>$I$4</formula>
    </cfRule>
  </conditionalFormatting>
  <dataValidations count="4">
    <dataValidation allowBlank="1" showErrorMessage="1" sqref="S14:S39" xr:uid="{CC0EC8F5-D1EA-420F-8704-C2E7ED3E82D0}"/>
    <dataValidation type="decimal" allowBlank="1" showInputMessage="1" showErrorMessage="1" prompt="% de avance en la actividad - indique el % programado de avance durante esta semana_x000a_" sqref="T14:V23 T25:V39 W14:AF39" xr:uid="{4C90E57F-CB82-4253-A451-5016AFC29FF7}">
      <formula1>0</formula1>
      <formula2>1</formula2>
    </dataValidation>
    <dataValidation type="decimal" allowBlank="1" showInputMessage="1" showErrorMessage="1" prompt="campo calculado  - indica el % de avance  que aporta la activadad a todo el proyecto" sqref="R21 R19 R17 R15 R37 R25 R23 R27 R29 R31 R33 R35 R39" xr:uid="{2447D415-5599-4092-BBC6-D698A98D98DF}">
      <formula1>0</formula1>
      <formula2>1</formula2>
    </dataValidation>
    <dataValidation type="decimal" allowBlank="1" showInputMessage="1" showErrorMessage="1" prompt="valor porcentual de la activida - Indique el peso porcentual de la actividad dentro del proyecto" sqref="R14 R20 R16 R36 R18 R24 R22 R26 R28 R30 R32 R34 R38" xr:uid="{659EA557-69C8-45BC-8FFE-AA6FF3BA4A43}">
      <formula1>0</formula1>
      <formula2>1</formula2>
    </dataValidation>
  </dataValidations>
  <pageMargins left="0.7" right="0.7" top="0.75" bottom="0.75" header="0.3" footer="0.3"/>
  <pageSetup orientation="portrait" r:id="rId1"/>
  <headerFooter>
    <oddFooter>&amp;C_x000D_&amp;1#&amp;"Calibri"&amp;10&amp;K008000 DOCUMENTO PÚBLICO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9BB54355EBC0479588B58EF1646E9D" ma:contentTypeVersion="16" ma:contentTypeDescription="Crear nuevo documento." ma:contentTypeScope="" ma:versionID="e1b8a30383f2ed980fe92a7178bd93c3">
  <xsd:schema xmlns:xsd="http://www.w3.org/2001/XMLSchema" xmlns:xs="http://www.w3.org/2001/XMLSchema" xmlns:p="http://schemas.microsoft.com/office/2006/metadata/properties" xmlns:ns2="c8f692e2-7f23-4b51-918d-31b649eae9bb" xmlns:ns3="e6cd777c-5c62-468f-8590-df061bf39fc1" targetNamespace="http://schemas.microsoft.com/office/2006/metadata/properties" ma:root="true" ma:fieldsID="f8d57d854d68d37d26ef7532f07ef91b" ns2:_="" ns3:_="">
    <xsd:import namespace="c8f692e2-7f23-4b51-918d-31b649eae9bb"/>
    <xsd:import namespace="e6cd777c-5c62-468f-8590-df061bf39f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692e2-7f23-4b51-918d-31b649eae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cd777c-5c62-468f-8590-df061bf39fc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e088b56-7797-45fb-887d-01e35945cbb8}" ma:internalName="TaxCatchAll" ma:showField="CatchAllData" ma:web="e6cd777c-5c62-468f-8590-df061bf39f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8f692e2-7f23-4b51-918d-31b649eae9bb">
      <Terms xmlns="http://schemas.microsoft.com/office/infopath/2007/PartnerControls"/>
    </lcf76f155ced4ddcb4097134ff3c332f>
    <TaxCatchAll xmlns="e6cd777c-5c62-468f-8590-df061bf39f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2FCF9-7D5B-473F-927F-B12096615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692e2-7f23-4b51-918d-31b649eae9bb"/>
    <ds:schemaRef ds:uri="e6cd777c-5c62-468f-8590-df061bf39f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943B97-CD7A-42ED-8C75-1A37F9160914}">
  <ds:schemaRefs>
    <ds:schemaRef ds:uri="http://schemas.microsoft.com/office/2006/documentManagement/types"/>
    <ds:schemaRef ds:uri="http://purl.org/dc/terms/"/>
    <ds:schemaRef ds:uri="c8f692e2-7f23-4b51-918d-31b649eae9bb"/>
    <ds:schemaRef ds:uri="http://schemas.microsoft.com/office/2006/metadata/properties"/>
    <ds:schemaRef ds:uri="http://www.w3.org/XML/1998/namespace"/>
    <ds:schemaRef ds:uri="http://purl.org/dc/elements/1.1/"/>
    <ds:schemaRef ds:uri="e6cd777c-5c62-468f-8590-df061bf39fc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17C027B-CA08-4A2D-9F02-677C7EA94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INICIO</vt:lpstr>
      <vt:lpstr>TABLERO DE CONTROL</vt:lpstr>
      <vt:lpstr>01. SECTORIAL</vt:lpstr>
      <vt:lpstr>03. PINAR</vt:lpstr>
      <vt:lpstr>02. INSTITUCIONAL</vt:lpstr>
      <vt:lpstr>05. PETH</vt:lpstr>
      <vt:lpstr>04. PAA</vt:lpstr>
      <vt:lpstr>06. PIC</vt:lpstr>
      <vt:lpstr>07. PII</vt:lpstr>
      <vt:lpstr>08. PSST</vt:lpstr>
      <vt:lpstr>09. PAAC</vt:lpstr>
      <vt:lpstr>10.PETI</vt:lpstr>
      <vt:lpstr>11. PTRSPI</vt:lpstr>
      <vt:lpstr>Hoja1</vt:lpstr>
      <vt:lpstr>12.PSPI</vt:lpstr>
      <vt:lpstr>'10.PETI'!Área_de_impresión</vt:lpstr>
      <vt:lpstr>INICIO!Área_de_impresión</vt:lpstr>
      <vt:lpstr>'TABLERO DE CONTROL'!Área_de_impresión</vt:lpstr>
      <vt:lpstr>fuente</vt:lpstr>
      <vt:lpstr>inversión</vt:lpstr>
      <vt:lpstr>objetivo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Diaz ariza</dc:creator>
  <cp:keywords/>
  <dc:description/>
  <cp:lastModifiedBy>JASON ARMANDO REYES</cp:lastModifiedBy>
  <cp:revision/>
  <dcterms:created xsi:type="dcterms:W3CDTF">2017-07-17T22:09:40Z</dcterms:created>
  <dcterms:modified xsi:type="dcterms:W3CDTF">2023-09-28T15:36:39Z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0x010100849BB54355EBC0479588B58EF1646E9D</vt:lpwstr>
  </property>
  <property fmtid="{D5CDD505-2E9C-101B-9397-08002B2CF9AE}" pid="3" name="MSIP_Label_4d7dcfcf-2f13-416d-bd85-85e5cda1e908_Enabled">
    <vt:lpwstr>true</vt:lpwstr>
  </property>
  <property fmtid="{D5CDD505-2E9C-101B-9397-08002B2CF9AE}" pid="4" name="MSIP_Label_4d7dcfcf-2f13-416d-bd85-85e5cda1e908_SetDate">
    <vt:lpwstr>2023-01-31T01:19:19Z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c0ec5559-fd95-4dfc-98a7-4f38b6a791dd</vt:lpwstr>
  </property>
  <property fmtid="{D5CDD505-2E9C-101B-9397-08002B2CF9AE}" pid="9" name="MSIP_Label_4d7dcfcf-2f13-416d-bd85-85e5cda1e908_ContentBits">
    <vt:lpwstr>2</vt:lpwstr>
  </property>
  <property fmtid="{D5CDD505-2E9C-101B-9397-08002B2CF9AE}" pid="10" name="MediaServiceImageTags">
    <vt:lpwstr/>
  </property>
</Properties>
</file>