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4"/>
  <workbookPr/>
  <mc:AlternateContent xmlns:mc="http://schemas.openxmlformats.org/markup-compatibility/2006">
    <mc:Choice Requires="x15">
      <x15ac:absPath xmlns:x15ac="http://schemas.microsoft.com/office/spreadsheetml/2010/11/ac" url="https://laprevisora-my.sharepoint.com/personal/jason_reyes_previsora_gov_co/Documents/Backup Jason/2023/"/>
    </mc:Choice>
  </mc:AlternateContent>
  <xr:revisionPtr revIDLastSave="0" documentId="8_{4F02F0A5-798A-4951-A791-58FBEF7BF17E}" xr6:coauthVersionLast="47" xr6:coauthVersionMax="47" xr10:uidLastSave="{00000000-0000-0000-0000-000000000000}"/>
  <bookViews>
    <workbookView xWindow="-110" yWindow="-110" windowWidth="19420" windowHeight="10420" xr2:uid="{00000000-000D-0000-FFFF-FFFF00000000}"/>
  </bookViews>
  <sheets>
    <sheet name="INICIO" sheetId="18" r:id="rId1"/>
    <sheet name="01. SECTORIAL" sheetId="2" r:id="rId2"/>
    <sheet name="02. INTITUCIONAL" sheetId="13" r:id="rId3"/>
    <sheet name="03. PINAR" sheetId="12" r:id="rId4"/>
    <sheet name="04. PAA" sheetId="15" r:id="rId5"/>
    <sheet name="05. PETH" sheetId="16" r:id="rId6"/>
    <sheet name="06. PIC" sheetId="9" r:id="rId7"/>
    <sheet name="07. PII" sheetId="19" r:id="rId8"/>
    <sheet name="08. PSST" sheetId="7" r:id="rId9"/>
    <sheet name="09. PAAC" sheetId="17" r:id="rId10"/>
    <sheet name="10.PETI" sheetId="4" r:id="rId11"/>
    <sheet name="11. PTRSPI" sheetId="6" r:id="rId12"/>
    <sheet name="11.PSPI" sheetId="8" r:id="rId13"/>
    <sheet name="Hoja1" sheetId="3" state="hidden" r:id="rId14"/>
  </sheets>
  <externalReferences>
    <externalReference r:id="rId15"/>
    <externalReference r:id="rId16"/>
    <externalReference r:id="rId17"/>
    <externalReference r:id="rId18"/>
    <externalReference r:id="rId19"/>
    <externalReference r:id="rId20"/>
  </externalReferences>
  <definedNames>
    <definedName name="Acciones_Categoría_3">'[1]Ponderaciones y parámetros'!$K$6:$N$6</definedName>
    <definedName name="Admin">[2]TABLA!$Q$2:$Q$3</definedName>
    <definedName name="Agricultura" localSheetId="0">[2]TABLA!#REF!</definedName>
    <definedName name="Agricultura">[2]TABLA!#REF!</definedName>
    <definedName name="Agricultura_y_Desarrollo_Rural" localSheetId="0">[2]TABLA!#REF!</definedName>
    <definedName name="Agricultura_y_Desarrollo_Rural">[2]TABLA!#REF!</definedName>
    <definedName name="Ambiental">'[2]Tablas instituciones'!$D$2:$D$9</definedName>
    <definedName name="ambiente" localSheetId="0">[2]TABLA!#REF!</definedName>
    <definedName name="ambiente">[2]TABLA!#REF!</definedName>
    <definedName name="Ambiente_y_Desarrollo_Sostenible" localSheetId="0">[2]TABLA!#REF!</definedName>
    <definedName name="Ambiente_y_Desarrollo_Sostenible">[2]TABLA!#REF!</definedName>
    <definedName name="_xlnm.Print_Area" localSheetId="10">'10.PETI'!$A$1:$AJ$39</definedName>
    <definedName name="_xlnm.Print_Area" localSheetId="0">INICIO!$A$1:$EI$82</definedName>
    <definedName name="Ciencia__Tecnología_e_innovación" localSheetId="0">[2]TABLA!#REF!</definedName>
    <definedName name="Ciencia__Tecnología_e_innovación">[2]TABLA!#REF!</definedName>
    <definedName name="clases1">[3]TABLA!$G$2:$G$5</definedName>
    <definedName name="Comercio__Industria_y_Turismo" localSheetId="0">[2]TABLA!#REF!</definedName>
    <definedName name="Comercio__Industria_y_Turismo">[2]TABLA!#REF!</definedName>
    <definedName name="fuente">Hoja1!$C$4:$C$6</definedName>
    <definedName name="inversión">Hoja1!$F$4:$F$11</definedName>
    <definedName name="nindicador">[4]FICHA_DEL_INDICADOR!$AN$60:$AQ$60</definedName>
    <definedName name="nivel">[2]TABLA!$C$2:$C$3</definedName>
    <definedName name="Nombre" localSheetId="0">#REF!</definedName>
    <definedName name="Nombre">#REF!</definedName>
    <definedName name="objetivo">Hoja1!$I$4:$I$13</definedName>
    <definedName name="PF" localSheetId="0">#REF!</definedName>
    <definedName name="PF">#REF!</definedName>
    <definedName name="Simulador">[1]Listas!$B$2:$B$4</definedName>
    <definedName name="Tipo_acumulación">[5]Hoja2!$D$8:$D$10</definedName>
    <definedName name="Tipo_indicador">[5]Hoja2!$A$8:$A$10</definedName>
    <definedName name="Tipos">[2]TABLA!$G$2:$G$4</definedName>
    <definedName name="vice">'[6]referencia 2018'!$A$1:$A$8</definedName>
    <definedName name="vpauto" localSheetId="0">#REF!</definedName>
    <definedName name="vpaut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 i="8" l="1"/>
  <c r="AD6" i="8"/>
  <c r="V6" i="8"/>
  <c r="O6" i="8"/>
  <c r="J6" i="8"/>
  <c r="G6" i="8"/>
  <c r="Q25" i="8"/>
  <c r="P25" i="8"/>
  <c r="Q24" i="8"/>
  <c r="P24" i="8"/>
  <c r="Q23" i="8"/>
  <c r="P23" i="8"/>
  <c r="Q22" i="8"/>
  <c r="P22" i="8"/>
  <c r="Q21" i="8"/>
  <c r="P21" i="8"/>
  <c r="P20" i="8" s="1"/>
  <c r="Q20" i="8"/>
  <c r="Q19" i="8"/>
  <c r="P19" i="8"/>
  <c r="P18" i="8" s="1"/>
  <c r="Q18" i="8"/>
  <c r="Q17" i="8"/>
  <c r="P17" i="8"/>
  <c r="P16" i="8" s="1"/>
  <c r="Q16" i="8"/>
  <c r="P15" i="8"/>
  <c r="P6" i="6"/>
  <c r="Q19" i="6"/>
  <c r="P19" i="6"/>
  <c r="Q18" i="6"/>
  <c r="P18" i="6"/>
  <c r="Q17" i="6"/>
  <c r="P17" i="6"/>
  <c r="Q16" i="6"/>
  <c r="P16" i="6"/>
  <c r="P15" i="6"/>
  <c r="G6" i="6"/>
  <c r="AI6" i="4"/>
  <c r="AF6" i="4"/>
  <c r="X6" i="4"/>
  <c r="Q6" i="4"/>
  <c r="J6" i="4"/>
  <c r="G6" i="4"/>
  <c r="S27" i="4"/>
  <c r="R27" i="4"/>
  <c r="R26" i="4" s="1"/>
  <c r="S26" i="4"/>
  <c r="S25" i="4"/>
  <c r="R25" i="4"/>
  <c r="S24" i="4"/>
  <c r="R24" i="4"/>
  <c r="S23" i="4"/>
  <c r="R23" i="4"/>
  <c r="S22" i="4"/>
  <c r="R22" i="4"/>
  <c r="S21" i="4"/>
  <c r="R21" i="4"/>
  <c r="R20" i="4" s="1"/>
  <c r="S20" i="4"/>
  <c r="S19" i="4"/>
  <c r="R19" i="4"/>
  <c r="S18" i="4"/>
  <c r="R18" i="4"/>
  <c r="S17" i="4"/>
  <c r="R17" i="4"/>
  <c r="S16" i="4"/>
  <c r="R16" i="4"/>
  <c r="Y6" i="7"/>
  <c r="AJ6" i="7"/>
  <c r="AG6" i="7"/>
  <c r="R6" i="7"/>
  <c r="J6" i="7"/>
  <c r="G6" i="7"/>
  <c r="T113" i="7"/>
  <c r="S113" i="7"/>
  <c r="T112" i="7"/>
  <c r="S112" i="7"/>
  <c r="T111" i="7"/>
  <c r="S111" i="7"/>
  <c r="T110" i="7"/>
  <c r="S110" i="7"/>
  <c r="T109" i="7"/>
  <c r="S109" i="7"/>
  <c r="T108" i="7"/>
  <c r="S108" i="7"/>
  <c r="T107" i="7"/>
  <c r="S107" i="7"/>
  <c r="S106" i="7" s="1"/>
  <c r="T106" i="7"/>
  <c r="T105" i="7"/>
  <c r="S105" i="7"/>
  <c r="S104" i="7" s="1"/>
  <c r="T104" i="7"/>
  <c r="T103" i="7"/>
  <c r="S103" i="7"/>
  <c r="S102" i="7" s="1"/>
  <c r="T102" i="7"/>
  <c r="T101" i="7"/>
  <c r="S101" i="7"/>
  <c r="S100" i="7" s="1"/>
  <c r="T100" i="7"/>
  <c r="T99" i="7"/>
  <c r="S99" i="7"/>
  <c r="T98" i="7"/>
  <c r="S98" i="7"/>
  <c r="T97" i="7"/>
  <c r="S97" i="7"/>
  <c r="T96" i="7"/>
  <c r="S96" i="7"/>
  <c r="T95" i="7"/>
  <c r="S95" i="7"/>
  <c r="S94" i="7" s="1"/>
  <c r="T94" i="7"/>
  <c r="T93" i="7"/>
  <c r="S93" i="7"/>
  <c r="S92" i="7" s="1"/>
  <c r="T92" i="7"/>
  <c r="T91" i="7"/>
  <c r="S91" i="7"/>
  <c r="T90" i="7"/>
  <c r="S90" i="7"/>
  <c r="T89" i="7"/>
  <c r="S89" i="7"/>
  <c r="S88" i="7" s="1"/>
  <c r="T88" i="7"/>
  <c r="T87" i="7"/>
  <c r="S87" i="7"/>
  <c r="S86" i="7" s="1"/>
  <c r="T86" i="7"/>
  <c r="T85" i="7"/>
  <c r="S85" i="7"/>
  <c r="T84" i="7"/>
  <c r="S84" i="7"/>
  <c r="T83" i="7"/>
  <c r="S83" i="7"/>
  <c r="T82" i="7"/>
  <c r="S82" i="7"/>
  <c r="T81" i="7"/>
  <c r="S81" i="7"/>
  <c r="T80" i="7"/>
  <c r="S80" i="7"/>
  <c r="T79" i="7"/>
  <c r="S79" i="7"/>
  <c r="T78" i="7"/>
  <c r="S78" i="7"/>
  <c r="T77" i="7"/>
  <c r="S77" i="7"/>
  <c r="T76" i="7"/>
  <c r="S76" i="7"/>
  <c r="T75" i="7"/>
  <c r="S75" i="7"/>
  <c r="T74" i="7"/>
  <c r="S74" i="7"/>
  <c r="T73" i="7"/>
  <c r="S73" i="7"/>
  <c r="T72" i="7"/>
  <c r="S72" i="7"/>
  <c r="T71" i="7"/>
  <c r="S71" i="7"/>
  <c r="S70" i="7" s="1"/>
  <c r="T70" i="7"/>
  <c r="T69" i="7"/>
  <c r="S69" i="7"/>
  <c r="T68" i="7"/>
  <c r="S68" i="7"/>
  <c r="T67" i="7"/>
  <c r="S67" i="7"/>
  <c r="T66" i="7"/>
  <c r="S66" i="7"/>
  <c r="T65" i="7"/>
  <c r="S65" i="7"/>
  <c r="T64" i="7"/>
  <c r="S64" i="7"/>
  <c r="T63" i="7"/>
  <c r="S63" i="7"/>
  <c r="S62" i="7" s="1"/>
  <c r="T62" i="7"/>
  <c r="T61" i="7"/>
  <c r="S61" i="7"/>
  <c r="T60" i="7"/>
  <c r="S60" i="7"/>
  <c r="T59" i="7"/>
  <c r="S59" i="7"/>
  <c r="T58" i="7"/>
  <c r="S58" i="7"/>
  <c r="T57" i="7"/>
  <c r="S57" i="7"/>
  <c r="T56" i="7"/>
  <c r="S56" i="7"/>
  <c r="T55" i="7"/>
  <c r="S55" i="7"/>
  <c r="S54" i="7" s="1"/>
  <c r="T54" i="7"/>
  <c r="T53" i="7"/>
  <c r="S53" i="7"/>
  <c r="T52" i="7"/>
  <c r="S52" i="7"/>
  <c r="T51" i="7"/>
  <c r="S51" i="7"/>
  <c r="S50" i="7" s="1"/>
  <c r="T50" i="7"/>
  <c r="T49" i="7"/>
  <c r="S49" i="7"/>
  <c r="T48" i="7"/>
  <c r="S48" i="7"/>
  <c r="T47" i="7"/>
  <c r="S47" i="7"/>
  <c r="S46" i="7" s="1"/>
  <c r="T46" i="7"/>
  <c r="T45" i="7"/>
  <c r="S45" i="7"/>
  <c r="T44" i="7"/>
  <c r="S44" i="7"/>
  <c r="T43" i="7"/>
  <c r="S43" i="7"/>
  <c r="S42" i="7" s="1"/>
  <c r="T42" i="7"/>
  <c r="T41" i="7"/>
  <c r="S41" i="7"/>
  <c r="T40" i="7"/>
  <c r="S40" i="7"/>
  <c r="T39" i="7"/>
  <c r="S39" i="7"/>
  <c r="T38" i="7"/>
  <c r="S38" i="7"/>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S15" i="7"/>
  <c r="P6" i="9"/>
  <c r="J6" i="9"/>
  <c r="X29" i="9"/>
  <c r="W29" i="9"/>
  <c r="X28" i="9"/>
  <c r="W28" i="9"/>
  <c r="X27" i="9"/>
  <c r="W27" i="9"/>
  <c r="X26" i="9"/>
  <c r="W26" i="9"/>
  <c r="X25" i="9"/>
  <c r="W25" i="9"/>
  <c r="X24" i="9"/>
  <c r="X23" i="9"/>
  <c r="W23" i="9"/>
  <c r="X22" i="9"/>
  <c r="W22" i="9"/>
  <c r="X21" i="9"/>
  <c r="W21" i="9"/>
  <c r="X20" i="9"/>
  <c r="W20" i="9" s="1"/>
  <c r="X19" i="9"/>
  <c r="W19" i="9"/>
  <c r="X18" i="9"/>
  <c r="X17" i="9"/>
  <c r="W17" i="9"/>
  <c r="X16" i="9"/>
  <c r="W16" i="9" s="1"/>
  <c r="W15" i="9"/>
  <c r="G6" i="9" s="1"/>
  <c r="V6" i="16"/>
  <c r="P6" i="16"/>
  <c r="G6" i="16"/>
  <c r="Q21" i="16"/>
  <c r="P21" i="16"/>
  <c r="Q20" i="16"/>
  <c r="P20" i="16"/>
  <c r="Q19" i="16"/>
  <c r="P19" i="16"/>
  <c r="Q18" i="16"/>
  <c r="P18" i="16"/>
  <c r="Q17" i="16"/>
  <c r="P17" i="16"/>
  <c r="Q16" i="16"/>
  <c r="P16" i="16" s="1"/>
  <c r="J6" i="16" s="1"/>
  <c r="P15" i="16"/>
  <c r="J39" i="16"/>
  <c r="J38" i="16"/>
  <c r="J40" i="16" s="1"/>
  <c r="Q15" i="16"/>
  <c r="Q14" i="16"/>
  <c r="P14" i="16" s="1"/>
  <c r="AH6" i="12"/>
  <c r="AE6" i="12"/>
  <c r="W6" i="12"/>
  <c r="P6" i="12"/>
  <c r="J6" i="12"/>
  <c r="R25" i="12"/>
  <c r="Q25" i="12"/>
  <c r="R24" i="12"/>
  <c r="Q24" i="12"/>
  <c r="R23" i="12"/>
  <c r="Q23" i="12"/>
  <c r="Q22" i="12" s="1"/>
  <c r="R22" i="12"/>
  <c r="R21" i="12"/>
  <c r="Q21" i="12"/>
  <c r="O27" i="12" s="1"/>
  <c r="R20" i="12"/>
  <c r="Q20" i="12"/>
  <c r="R19" i="12"/>
  <c r="Q19" i="12"/>
  <c r="R18" i="12"/>
  <c r="Q18" i="12"/>
  <c r="R17" i="12"/>
  <c r="Q17" i="12"/>
  <c r="Q16" i="12" s="1"/>
  <c r="R16" i="12"/>
  <c r="Q15" i="12"/>
  <c r="AH6" i="13"/>
  <c r="AE6" i="13"/>
  <c r="W6" i="13"/>
  <c r="P6" i="13"/>
  <c r="R35" i="13"/>
  <c r="Q35" i="13"/>
  <c r="R34" i="13"/>
  <c r="R33" i="13"/>
  <c r="Q33" i="13"/>
  <c r="R32" i="13"/>
  <c r="R31" i="13"/>
  <c r="Q31" i="13"/>
  <c r="R30" i="13"/>
  <c r="R29" i="13"/>
  <c r="Q29" i="13"/>
  <c r="R28" i="13"/>
  <c r="R27" i="13"/>
  <c r="Q27" i="13"/>
  <c r="R26" i="13"/>
  <c r="Q26" i="13"/>
  <c r="R25" i="13"/>
  <c r="Q25" i="13"/>
  <c r="R24" i="13"/>
  <c r="Q24" i="13" s="1"/>
  <c r="R23" i="13"/>
  <c r="Q23" i="13"/>
  <c r="R22" i="13"/>
  <c r="Q22" i="13" s="1"/>
  <c r="R21" i="13"/>
  <c r="Q21" i="13"/>
  <c r="R20" i="13"/>
  <c r="Q20" i="13"/>
  <c r="R19" i="13"/>
  <c r="Q19" i="13"/>
  <c r="R18" i="13"/>
  <c r="Q18" i="13" s="1"/>
  <c r="R17" i="13"/>
  <c r="Q17" i="13"/>
  <c r="R16" i="13"/>
  <c r="Q16" i="13"/>
  <c r="Q15" i="13"/>
  <c r="R15" i="13"/>
  <c r="R14" i="13"/>
  <c r="J43" i="12"/>
  <c r="J44" i="12" s="1"/>
  <c r="J42" i="12"/>
  <c r="R15" i="12"/>
  <c r="R14" i="12"/>
  <c r="J45" i="9"/>
  <c r="J44" i="9"/>
  <c r="AH30" i="9"/>
  <c r="X15" i="9"/>
  <c r="X14" i="9"/>
  <c r="U6" i="9"/>
  <c r="J43" i="8"/>
  <c r="J42" i="8"/>
  <c r="Q15" i="8"/>
  <c r="Q14" i="8"/>
  <c r="T15" i="7"/>
  <c r="T14" i="7"/>
  <c r="J37" i="6"/>
  <c r="J36" i="6"/>
  <c r="Q15" i="6"/>
  <c r="P14" i="6"/>
  <c r="Q14" i="6"/>
  <c r="J37" i="4"/>
  <c r="J36" i="4"/>
  <c r="S15" i="4"/>
  <c r="R15" i="4"/>
  <c r="S14" i="4"/>
  <c r="AE6" i="2"/>
  <c r="W6" i="2"/>
  <c r="P6" i="2"/>
  <c r="R16" i="2"/>
  <c r="Q16" i="2" s="1"/>
  <c r="R17" i="2"/>
  <c r="R18" i="2"/>
  <c r="R19" i="2"/>
  <c r="R20" i="2"/>
  <c r="Q20" i="2" s="1"/>
  <c r="R21" i="2"/>
  <c r="R22" i="2"/>
  <c r="Q22" i="2" s="1"/>
  <c r="R23" i="2"/>
  <c r="R24" i="2"/>
  <c r="Q24" i="2" s="1"/>
  <c r="R25" i="2"/>
  <c r="R26" i="2"/>
  <c r="R27" i="2"/>
  <c r="R14" i="2"/>
  <c r="Q14" i="2" s="1"/>
  <c r="R15" i="2"/>
  <c r="Q27" i="2"/>
  <c r="Q25" i="2"/>
  <c r="Q23" i="2"/>
  <c r="Q21" i="2"/>
  <c r="Q19" i="2"/>
  <c r="Q18" i="2"/>
  <c r="Q17" i="2"/>
  <c r="X31" i="8" l="1"/>
  <c r="AA32" i="8" s="1"/>
  <c r="R27" i="8"/>
  <c r="X27" i="8"/>
  <c r="AA28" i="8" s="1"/>
  <c r="AA37" i="8" s="1"/>
  <c r="R31" i="8"/>
  <c r="AC31" i="8"/>
  <c r="P14" i="8"/>
  <c r="J44" i="8"/>
  <c r="J6" i="6"/>
  <c r="J38" i="6"/>
  <c r="AB25" i="6"/>
  <c r="X21" i="6"/>
  <c r="AA22" i="6" s="1"/>
  <c r="AC25" i="6"/>
  <c r="X25" i="6"/>
  <c r="AA26" i="6" s="1"/>
  <c r="AA31" i="6" s="1"/>
  <c r="R25" i="6"/>
  <c r="R21" i="6"/>
  <c r="R14" i="4"/>
  <c r="J38" i="4"/>
  <c r="S14" i="7"/>
  <c r="W24" i="9"/>
  <c r="W18" i="9"/>
  <c r="W14" i="9"/>
  <c r="AH33" i="9"/>
  <c r="AJ33" i="9"/>
  <c r="AE33" i="9"/>
  <c r="AH34" i="9" s="1"/>
  <c r="AH39" i="9" s="1"/>
  <c r="Y33" i="9"/>
  <c r="J46" i="9"/>
  <c r="AC27" i="16"/>
  <c r="AC23" i="16"/>
  <c r="R23" i="16"/>
  <c r="X23" i="16"/>
  <c r="AA24" i="16" s="1"/>
  <c r="X27" i="16"/>
  <c r="AA28" i="16" s="1"/>
  <c r="AA33" i="16" s="1"/>
  <c r="S23" i="16"/>
  <c r="Y23" i="16"/>
  <c r="S27" i="16"/>
  <c r="Y27" i="16"/>
  <c r="T23" i="16"/>
  <c r="W24" i="16" s="1"/>
  <c r="Z23" i="16"/>
  <c r="T27" i="16"/>
  <c r="W28" i="16" s="1"/>
  <c r="Z27" i="16"/>
  <c r="AA23" i="16"/>
  <c r="R27" i="16"/>
  <c r="O23" i="16"/>
  <c r="O24" i="16" s="1"/>
  <c r="U23" i="16"/>
  <c r="O27" i="16"/>
  <c r="O28" i="16" s="1"/>
  <c r="O29" i="16" s="1"/>
  <c r="U27" i="16"/>
  <c r="AA27" i="16"/>
  <c r="P23" i="16"/>
  <c r="S24" i="16" s="1"/>
  <c r="V23" i="16"/>
  <c r="AB23" i="16"/>
  <c r="P27" i="16"/>
  <c r="S28" i="16" s="1"/>
  <c r="V27" i="16"/>
  <c r="AB27" i="16"/>
  <c r="Q23" i="16"/>
  <c r="W23" i="16"/>
  <c r="Q27" i="16"/>
  <c r="W27" i="16"/>
  <c r="U27" i="12"/>
  <c r="X28" i="12" s="1"/>
  <c r="AD31" i="12"/>
  <c r="AA27" i="12"/>
  <c r="Y31" i="12"/>
  <c r="AB32" i="12" s="1"/>
  <c r="G6" i="12"/>
  <c r="S31" i="12"/>
  <c r="P27" i="12"/>
  <c r="P28" i="12" s="1"/>
  <c r="P40" i="12" s="1"/>
  <c r="V27" i="12"/>
  <c r="T31" i="12"/>
  <c r="Z31" i="12"/>
  <c r="W27" i="12"/>
  <c r="O31" i="12"/>
  <c r="J31" i="12" s="1"/>
  <c r="R27" i="12"/>
  <c r="X27" i="12"/>
  <c r="AD27" i="12"/>
  <c r="P31" i="12"/>
  <c r="P32" i="12" s="1"/>
  <c r="P33" i="12" s="1"/>
  <c r="V31" i="12"/>
  <c r="AB31" i="12"/>
  <c r="S27" i="12"/>
  <c r="Y27" i="12"/>
  <c r="AB28" i="12" s="1"/>
  <c r="Q31" i="12"/>
  <c r="T32" i="12" s="1"/>
  <c r="W31" i="12"/>
  <c r="AC31" i="12"/>
  <c r="AB27" i="12"/>
  <c r="Q27" i="12"/>
  <c r="T28" i="12" s="1"/>
  <c r="AB29" i="12" s="1"/>
  <c r="AC27" i="12"/>
  <c r="U31" i="12"/>
  <c r="X32" i="12" s="1"/>
  <c r="X37" i="12" s="1"/>
  <c r="AA31" i="12"/>
  <c r="Q14" i="12"/>
  <c r="J27" i="12"/>
  <c r="T27" i="12"/>
  <c r="Z27" i="12"/>
  <c r="R31" i="12"/>
  <c r="X31" i="12"/>
  <c r="Q32" i="13"/>
  <c r="Q28" i="13"/>
  <c r="Q34" i="13"/>
  <c r="Q30" i="13"/>
  <c r="G6" i="13"/>
  <c r="Q14" i="13"/>
  <c r="O36" i="12"/>
  <c r="Z33" i="9"/>
  <c r="AF33" i="9"/>
  <c r="O33" i="9"/>
  <c r="J33" i="9" s="1"/>
  <c r="AA33" i="9"/>
  <c r="AD34" i="9" s="1"/>
  <c r="AG33" i="9"/>
  <c r="V30" i="9"/>
  <c r="V33" i="9"/>
  <c r="V34" i="9" s="1"/>
  <c r="V35" i="9" s="1"/>
  <c r="AB33" i="9"/>
  <c r="Z30" i="9"/>
  <c r="W33" i="9"/>
  <c r="Z34" i="9" s="1"/>
  <c r="AC33" i="9"/>
  <c r="AI33" i="9"/>
  <c r="AD30" i="9"/>
  <c r="X33" i="9"/>
  <c r="AD33" i="9"/>
  <c r="S27" i="8"/>
  <c r="Y27" i="8"/>
  <c r="S31" i="8"/>
  <c r="Y31" i="8"/>
  <c r="N27" i="8"/>
  <c r="T27" i="8"/>
  <c r="W28" i="8" s="1"/>
  <c r="Z27" i="8"/>
  <c r="N31" i="8"/>
  <c r="J31" i="8" s="1"/>
  <c r="T31" i="8"/>
  <c r="W32" i="8" s="1"/>
  <c r="Z31" i="8"/>
  <c r="O27" i="8"/>
  <c r="O28" i="8" s="1"/>
  <c r="U27" i="8"/>
  <c r="AA27" i="8"/>
  <c r="O31" i="8"/>
  <c r="O32" i="8" s="1"/>
  <c r="O33" i="8" s="1"/>
  <c r="U31" i="8"/>
  <c r="AA31" i="8"/>
  <c r="P27" i="8"/>
  <c r="S28" i="8" s="1"/>
  <c r="V27" i="8"/>
  <c r="AB27" i="8"/>
  <c r="P31" i="8"/>
  <c r="S32" i="8" s="1"/>
  <c r="V31" i="8"/>
  <c r="AB31" i="8"/>
  <c r="Q27" i="8"/>
  <c r="W27" i="8"/>
  <c r="AC27" i="8"/>
  <c r="Q31" i="8"/>
  <c r="W31" i="8"/>
  <c r="S21" i="6"/>
  <c r="S25" i="6"/>
  <c r="Y25" i="6"/>
  <c r="T21" i="6"/>
  <c r="W22" i="6" s="1"/>
  <c r="Z21" i="6"/>
  <c r="T25" i="6"/>
  <c r="W26" i="6" s="1"/>
  <c r="Z25" i="6"/>
  <c r="O21" i="6"/>
  <c r="O22" i="6" s="1"/>
  <c r="U21" i="6"/>
  <c r="AA21" i="6"/>
  <c r="O25" i="6"/>
  <c r="O26" i="6" s="1"/>
  <c r="O27" i="6" s="1"/>
  <c r="U25" i="6"/>
  <c r="AA25" i="6"/>
  <c r="P21" i="6"/>
  <c r="S22" i="6" s="1"/>
  <c r="V21" i="6"/>
  <c r="AB21" i="6"/>
  <c r="P25" i="6"/>
  <c r="S26" i="6" s="1"/>
  <c r="V25" i="6"/>
  <c r="Y21" i="6"/>
  <c r="Q21" i="6"/>
  <c r="W21" i="6"/>
  <c r="AC21" i="6"/>
  <c r="Q25" i="6"/>
  <c r="W25" i="6"/>
  <c r="Q26" i="2"/>
  <c r="J6" i="2" s="1"/>
  <c r="AA33" i="8" l="1"/>
  <c r="W31" i="6"/>
  <c r="J25" i="6"/>
  <c r="AA27" i="6"/>
  <c r="AC31" i="4"/>
  <c r="AH35" i="9"/>
  <c r="AD39" i="9"/>
  <c r="J27" i="16"/>
  <c r="AA29" i="16"/>
  <c r="O35" i="16"/>
  <c r="AA34" i="16"/>
  <c r="O25" i="16"/>
  <c r="W34" i="16"/>
  <c r="O33" i="16"/>
  <c r="AA35" i="16"/>
  <c r="AA36" i="16"/>
  <c r="S34" i="16"/>
  <c r="O36" i="16"/>
  <c r="O34" i="16"/>
  <c r="AA25" i="16"/>
  <c r="S33" i="16"/>
  <c r="W33" i="16"/>
  <c r="Z32" i="16"/>
  <c r="T32" i="16"/>
  <c r="X31" i="16"/>
  <c r="R31" i="16"/>
  <c r="Y32" i="16"/>
  <c r="S32" i="16"/>
  <c r="AC31" i="16"/>
  <c r="W31" i="16"/>
  <c r="Q31" i="16"/>
  <c r="X32" i="16"/>
  <c r="R32" i="16"/>
  <c r="AB31" i="16"/>
  <c r="P31" i="16"/>
  <c r="U32" i="16"/>
  <c r="S31" i="16"/>
  <c r="V31" i="16"/>
  <c r="AC32" i="16"/>
  <c r="W32" i="16"/>
  <c r="Q32" i="16"/>
  <c r="AA31" i="16"/>
  <c r="U31" i="16"/>
  <c r="O31" i="16"/>
  <c r="AB32" i="16"/>
  <c r="V32" i="16"/>
  <c r="P32" i="16"/>
  <c r="Z31" i="16"/>
  <c r="T31" i="16"/>
  <c r="J23" i="16"/>
  <c r="AA32" i="16"/>
  <c r="O32" i="16"/>
  <c r="Y31" i="16"/>
  <c r="AA30" i="16"/>
  <c r="AB33" i="12"/>
  <c r="AB34" i="12" s="1"/>
  <c r="R35" i="12"/>
  <c r="AB37" i="12"/>
  <c r="P38" i="12"/>
  <c r="Q36" i="12"/>
  <c r="P36" i="12"/>
  <c r="X38" i="12"/>
  <c r="R36" i="12"/>
  <c r="W36" i="12"/>
  <c r="P29" i="12"/>
  <c r="T38" i="12"/>
  <c r="Y35" i="12"/>
  <c r="AB39" i="12"/>
  <c r="Q35" i="12"/>
  <c r="P37" i="12"/>
  <c r="S35" i="12"/>
  <c r="AB38" i="12"/>
  <c r="Z35" i="12"/>
  <c r="X36" i="12"/>
  <c r="AA36" i="12"/>
  <c r="Y36" i="12"/>
  <c r="V35" i="12"/>
  <c r="T37" i="12"/>
  <c r="AB30" i="12"/>
  <c r="AB35" i="12"/>
  <c r="O35" i="12"/>
  <c r="AD36" i="12"/>
  <c r="X35" i="12"/>
  <c r="AB36" i="12"/>
  <c r="U36" i="12"/>
  <c r="AC35" i="12"/>
  <c r="Z36" i="12"/>
  <c r="P35" i="12"/>
  <c r="V36" i="12"/>
  <c r="P39" i="12"/>
  <c r="AA35" i="12"/>
  <c r="T36" i="12"/>
  <c r="S36" i="12"/>
  <c r="AB40" i="12"/>
  <c r="U35" i="12"/>
  <c r="AD35" i="12"/>
  <c r="W35" i="12"/>
  <c r="AC36" i="12"/>
  <c r="T35" i="12"/>
  <c r="J6" i="13"/>
  <c r="AG38" i="9"/>
  <c r="AA38" i="9"/>
  <c r="O38" i="9"/>
  <c r="AE37" i="9"/>
  <c r="Y37" i="9"/>
  <c r="AB37" i="9"/>
  <c r="AH38" i="9"/>
  <c r="AB38" i="9"/>
  <c r="AF37" i="9"/>
  <c r="AF38" i="9"/>
  <c r="Z38" i="9"/>
  <c r="AJ37" i="9"/>
  <c r="AD37" i="9"/>
  <c r="X37" i="9"/>
  <c r="AA37" i="9"/>
  <c r="AE38" i="9"/>
  <c r="Y38" i="9"/>
  <c r="AI37" i="9"/>
  <c r="AC37" i="9"/>
  <c r="W37" i="9"/>
  <c r="AJ38" i="9"/>
  <c r="AD38" i="9"/>
  <c r="X38" i="9"/>
  <c r="AH37" i="9"/>
  <c r="V37" i="9"/>
  <c r="AI38" i="9"/>
  <c r="AC38" i="9"/>
  <c r="W38" i="9"/>
  <c r="AG37" i="9"/>
  <c r="O37" i="9"/>
  <c r="V38" i="9"/>
  <c r="Z37" i="9"/>
  <c r="AH31" i="9"/>
  <c r="Z39" i="9"/>
  <c r="V41" i="9"/>
  <c r="Z40" i="9"/>
  <c r="AH40" i="9"/>
  <c r="V31" i="9"/>
  <c r="AD40" i="9"/>
  <c r="V39" i="9"/>
  <c r="AH42" i="9"/>
  <c r="V42" i="9"/>
  <c r="V40" i="9"/>
  <c r="AH41" i="9"/>
  <c r="AH36" i="9"/>
  <c r="AA34" i="8"/>
  <c r="W37" i="8"/>
  <c r="AA29" i="8"/>
  <c r="S37" i="8"/>
  <c r="O39" i="8"/>
  <c r="AA38" i="8"/>
  <c r="O29" i="8"/>
  <c r="W38" i="8"/>
  <c r="O37" i="8"/>
  <c r="AA40" i="8"/>
  <c r="S38" i="8"/>
  <c r="O40" i="8"/>
  <c r="O38" i="8"/>
  <c r="AA39" i="8"/>
  <c r="Z36" i="8"/>
  <c r="T36" i="8"/>
  <c r="N36" i="8"/>
  <c r="X35" i="8"/>
  <c r="R35" i="8"/>
  <c r="U36" i="8"/>
  <c r="S35" i="8"/>
  <c r="Y36" i="8"/>
  <c r="S36" i="8"/>
  <c r="AC35" i="8"/>
  <c r="W35" i="8"/>
  <c r="Q35" i="8"/>
  <c r="O36" i="8"/>
  <c r="X36" i="8"/>
  <c r="R36" i="8"/>
  <c r="AB35" i="8"/>
  <c r="V35" i="8"/>
  <c r="P35" i="8"/>
  <c r="AA36" i="8"/>
  <c r="AC36" i="8"/>
  <c r="W36" i="8"/>
  <c r="Q36" i="8"/>
  <c r="AA35" i="8"/>
  <c r="U35" i="8"/>
  <c r="O35" i="8"/>
  <c r="AB36" i="8"/>
  <c r="V36" i="8"/>
  <c r="P36" i="8"/>
  <c r="Z35" i="8"/>
  <c r="T35" i="8"/>
  <c r="N35" i="8"/>
  <c r="J27" i="8"/>
  <c r="Y35" i="8"/>
  <c r="O33" i="6"/>
  <c r="AA32" i="6"/>
  <c r="O23" i="6"/>
  <c r="W32" i="6"/>
  <c r="O31" i="6"/>
  <c r="AA34" i="6"/>
  <c r="S32" i="6"/>
  <c r="O34" i="6"/>
  <c r="O32" i="6"/>
  <c r="AA33" i="6"/>
  <c r="Z30" i="6"/>
  <c r="T30" i="6"/>
  <c r="X29" i="6"/>
  <c r="R29" i="6"/>
  <c r="Y30" i="6"/>
  <c r="S30" i="6"/>
  <c r="AC29" i="6"/>
  <c r="W29" i="6"/>
  <c r="Q29" i="6"/>
  <c r="Y29" i="6"/>
  <c r="X30" i="6"/>
  <c r="R30" i="6"/>
  <c r="AB29" i="6"/>
  <c r="V29" i="6"/>
  <c r="P29" i="6"/>
  <c r="O30" i="6"/>
  <c r="AC30" i="6"/>
  <c r="W30" i="6"/>
  <c r="Q30" i="6"/>
  <c r="AA29" i="6"/>
  <c r="U29" i="6"/>
  <c r="O29" i="6"/>
  <c r="AB30" i="6"/>
  <c r="V30" i="6"/>
  <c r="P30" i="6"/>
  <c r="Z29" i="6"/>
  <c r="T29" i="6"/>
  <c r="J21" i="6"/>
  <c r="AA30" i="6"/>
  <c r="U30" i="6"/>
  <c r="S29" i="6"/>
  <c r="AA23" i="6"/>
  <c r="S31" i="6"/>
  <c r="AA28" i="6"/>
  <c r="AC28" i="4"/>
  <c r="Q33" i="4"/>
  <c r="AC32" i="4"/>
  <c r="AC33" i="4"/>
  <c r="Y32" i="4"/>
  <c r="Q31" i="4"/>
  <c r="Q32" i="4"/>
  <c r="AC34" i="4"/>
  <c r="U32" i="4"/>
  <c r="Q34" i="4"/>
  <c r="Y31" i="4"/>
  <c r="AB30" i="4"/>
  <c r="V30" i="4"/>
  <c r="P30" i="4"/>
  <c r="Z29" i="4"/>
  <c r="T29" i="4"/>
  <c r="AA30" i="4"/>
  <c r="U30" i="4"/>
  <c r="AE29" i="4"/>
  <c r="Y29" i="4"/>
  <c r="S29" i="4"/>
  <c r="AD30" i="4"/>
  <c r="AB29" i="4"/>
  <c r="P29" i="4"/>
  <c r="AC30" i="4"/>
  <c r="W30" i="4"/>
  <c r="Q30" i="4"/>
  <c r="AA29" i="4"/>
  <c r="U29" i="4"/>
  <c r="Z30" i="4"/>
  <c r="T30" i="4"/>
  <c r="AD29" i="4"/>
  <c r="X29" i="4"/>
  <c r="R29" i="4"/>
  <c r="X30" i="4"/>
  <c r="R30" i="4"/>
  <c r="V29" i="4"/>
  <c r="AE30" i="4"/>
  <c r="Y30" i="4"/>
  <c r="S30" i="4"/>
  <c r="AC29" i="4"/>
  <c r="W29" i="4"/>
  <c r="Q29" i="4"/>
  <c r="U31" i="4"/>
  <c r="AH32" i="9" l="1"/>
  <c r="AA26" i="16"/>
  <c r="AA30" i="8"/>
  <c r="AA24" i="6"/>
  <c r="Q15" i="2" l="1"/>
  <c r="G6" i="2" l="1"/>
  <c r="J45" i="2" l="1"/>
  <c r="P29" i="2" l="1"/>
  <c r="Q29" i="2"/>
  <c r="R29" i="2"/>
  <c r="S29" i="2"/>
  <c r="T29" i="2"/>
  <c r="U29" i="2"/>
  <c r="V29" i="2"/>
  <c r="W29" i="2"/>
  <c r="X29" i="2"/>
  <c r="Y29" i="2"/>
  <c r="Z29" i="2"/>
  <c r="AA29" i="2"/>
  <c r="AB29" i="2"/>
  <c r="AC29" i="2"/>
  <c r="AD29" i="2"/>
  <c r="O29" i="2"/>
  <c r="P33" i="2"/>
  <c r="Q33" i="2"/>
  <c r="R33" i="2"/>
  <c r="S33" i="2"/>
  <c r="T33" i="2"/>
  <c r="U33" i="2"/>
  <c r="V33" i="2"/>
  <c r="W33" i="2"/>
  <c r="X33" i="2"/>
  <c r="Y33" i="2"/>
  <c r="Z33" i="2"/>
  <c r="AA33" i="2"/>
  <c r="AB33" i="2"/>
  <c r="AC33" i="2"/>
  <c r="AD33" i="2"/>
  <c r="O33" i="2"/>
  <c r="O38" i="2" l="1"/>
  <c r="U38" i="2"/>
  <c r="AA38" i="2"/>
  <c r="P38" i="2"/>
  <c r="V38" i="2"/>
  <c r="AB38" i="2"/>
  <c r="Q38" i="2"/>
  <c r="W38" i="2"/>
  <c r="AC38" i="2"/>
  <c r="X38" i="2"/>
  <c r="R38" i="2"/>
  <c r="S38" i="2"/>
  <c r="Y38" i="2"/>
  <c r="T38" i="2"/>
  <c r="Z38" i="2"/>
  <c r="AD38" i="2"/>
  <c r="P37" i="2"/>
  <c r="AA37" i="2"/>
  <c r="T37" i="2"/>
  <c r="Q37" i="2"/>
  <c r="Z37" i="2"/>
  <c r="S37" i="2"/>
  <c r="Y37" i="2"/>
  <c r="AD37" i="2"/>
  <c r="W37" i="2"/>
  <c r="X37" i="2"/>
  <c r="AC37" i="2"/>
  <c r="V37" i="2"/>
  <c r="J44" i="2"/>
  <c r="AB37" i="2"/>
  <c r="U37" i="2"/>
  <c r="R37" i="2"/>
  <c r="AB30" i="2"/>
  <c r="O37" i="2"/>
  <c r="J33" i="2"/>
  <c r="P30" i="2"/>
  <c r="J29" i="2"/>
  <c r="AB34" i="2"/>
  <c r="P34" i="2"/>
  <c r="X30" i="2"/>
  <c r="X34" i="2"/>
  <c r="T30" i="2"/>
  <c r="T34" i="2"/>
  <c r="X39" i="2" l="1"/>
  <c r="AB39" i="2"/>
  <c r="T39" i="2"/>
  <c r="AB35" i="2"/>
  <c r="P41" i="2"/>
  <c r="AB41" i="2"/>
  <c r="P40" i="2"/>
  <c r="P39" i="2"/>
  <c r="T40" i="2"/>
  <c r="X40" i="2"/>
  <c r="P42" i="2"/>
  <c r="AB40" i="2"/>
  <c r="AB42" i="2"/>
  <c r="P31" i="2"/>
  <c r="P35" i="2"/>
  <c r="AB31" i="2"/>
  <c r="AB36" i="2" l="1"/>
  <c r="AB32" i="2"/>
  <c r="J4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4D9DC69F-7EB3-4696-BE27-E0F425318050}">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AF431877-75D8-4A23-9B3A-C66557AC66FE}">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C98FFED6-8369-45D4-AB13-1E4AB8BA67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9828359-41D4-4E1C-AC3A-E25A026F3A3B}">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D11F7AD5-A3D1-4F9F-89FE-EFE3503623F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A61195D2-8BA1-4283-BC65-E3556E5D7879}">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9EA6EFD7-4582-4B1A-A655-072523D09FF3}">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AACC9175-C3CF-411C-976C-E144C29FBCB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FC534883-0E6C-4C66-B50E-7A9F1E03621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<sst xmlns="http://schemas.openxmlformats.org/spreadsheetml/2006/main" count="7587" uniqueCount="1281">
  <si>
    <r>
      <rPr>
        <b/>
        <sz val="20"/>
        <color theme="1"/>
        <rFont val="Calibri Light"/>
        <family val="2"/>
        <scheme val="major"/>
      </rPr>
      <t>NOTA:</t>
    </r>
    <r>
      <rPr>
        <sz val="20"/>
        <color theme="1"/>
        <rFont val="Calibri Light"/>
        <family val="2"/>
        <scheme val="major"/>
      </rPr>
      <t xml:space="preserve"> Los Planes No. 04 y No. 05, no aplican a la Compañía.</t>
    </r>
  </si>
  <si>
    <t>CONTROL DE CAMBIOS</t>
  </si>
  <si>
    <t>VERSIÓN</t>
  </si>
  <si>
    <t>FECHA</t>
  </si>
  <si>
    <t>CAMBIOS REALIZADOS</t>
  </si>
  <si>
    <t>CREACIÓN DEL DOCUMENTO</t>
  </si>
  <si>
    <t xml:space="preserve">PLAN INTEGRADO DE ACCIÓN ANUAL 2023 - SECTORIAL </t>
  </si>
  <si>
    <t>CONTROL EJECUCIÓN</t>
  </si>
  <si>
    <t>ROJO</t>
  </si>
  <si>
    <t>CONTROL CUMPLIMIENTO</t>
  </si>
  <si>
    <t>VERDE</t>
  </si>
  <si>
    <t>RESPONSABLE SEGUIMIENTO:</t>
  </si>
  <si>
    <t>GERENCIA DE INNOVACIÓN Y PROCESOS</t>
  </si>
  <si>
    <t>TOTAL PROGRAMADO:</t>
  </si>
  <si>
    <t>TOTAL EJECUTADO GLOBAL:</t>
  </si>
  <si>
    <t>META</t>
  </si>
  <si>
    <t xml:space="preserve">TOTAL CUMPLIMIENTO I TRIMESTRE </t>
  </si>
  <si>
    <t>TOTAL CUMPLIMIENTO II TRIMESTRE</t>
  </si>
  <si>
    <t>TOTAL CUMPLIMIENTO III TRIMESTRE</t>
  </si>
  <si>
    <t>TOTAL CUMPLIMIENTO IV TRIMESTRE</t>
  </si>
  <si>
    <t>PARTE 1. ALINEACIÓN PLANEACIÓN ESTRATÉGICA</t>
  </si>
  <si>
    <t>PARTE 2. PLANIFICACIÓN ACTIVIDADES 2023</t>
  </si>
  <si>
    <t>PARTE 3. SEGUIMIENTO CUANTITATIVO</t>
  </si>
  <si>
    <t>PARTE 4. SEGUIMIENTO CUALITATIVO</t>
  </si>
  <si>
    <t xml:space="preserve">No. </t>
  </si>
  <si>
    <t>OBJETIVO ESTRATÉGICO  SECTORIAL</t>
  </si>
  <si>
    <t>OBJETIVO ESTRATEGICO PREVISORA</t>
  </si>
  <si>
    <t>DIMENSIÓN MIPG</t>
  </si>
  <si>
    <t>POLÍTICA MIPG</t>
  </si>
  <si>
    <t>PLAN</t>
  </si>
  <si>
    <t>RESPONSABLE</t>
  </si>
  <si>
    <t>INICIATIVA</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</si>
  <si>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</si>
  <si>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</si>
  <si>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</si>
  <si>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</si>
  <si>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</si>
  <si>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</si>
  <si>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</si>
  <si>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</si>
  <si>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</si>
  <si>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</si>
  <si>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</si>
  <si>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</si>
  <si>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</si>
  <si>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</si>
  <si>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</si>
  <si>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</si>
  <si>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AGOSTO</t>
  </si>
  <si>
    <t>SEPTIEMBRE</t>
  </si>
  <si>
    <t>OCTUBRE</t>
  </si>
  <si>
    <t>NOVIEMBRE</t>
  </si>
  <si>
    <t>DICIEMBRE</t>
  </si>
  <si>
    <t>ENERO 2024</t>
  </si>
  <si>
    <t>SEGUIMIENTO I TRIMESTRE</t>
  </si>
  <si>
    <t>SEGUIMIENTO II TRIMESTRE</t>
  </si>
  <si>
    <t>SEGUIMIENTO III TRIMESTRE</t>
  </si>
  <si>
    <t>SEGUIMIENTO IV TRIMESTRE</t>
  </si>
  <si>
    <t xml:space="preserve">GR1. Fortalecer los mecanismos para una cultura de transparencia y participación ciudadana en las entidades del Sector Hacienda. </t>
  </si>
  <si>
    <t>Crear valor de manera apropiada, diferencial y continua para los clientes objetivo de Previsora</t>
  </si>
  <si>
    <t>DIMENSIÓN 3. GESTIÓN CON VALORES PARA RESULTADOS</t>
  </si>
  <si>
    <t>D3. SERVICIO AL CIUDADANO</t>
  </si>
  <si>
    <t xml:space="preserve">PLAN SECTORIAL </t>
  </si>
  <si>
    <t>GERENCIA DE SERVICIO</t>
  </si>
  <si>
    <t>Diseñar e implementar estrategias para la divulgación de información y relacionamiento con el ciudadano</t>
  </si>
  <si>
    <t>Participar en las actividades que se definan en las mesas sectoriales de relacionamiento ciudadano</t>
  </si>
  <si>
    <t>Evidencia de asistencia
Insumos producto de mesas de trabajo,
Registro SMGI</t>
  </si>
  <si>
    <t>RECURSOS HUMANOS</t>
  </si>
  <si>
    <t>N/A</t>
  </si>
  <si>
    <t>Trimestral</t>
  </si>
  <si>
    <t>Ejecutado</t>
  </si>
  <si>
    <t>Programado</t>
  </si>
  <si>
    <t>DIMENSIÓN 5. INFORMACIÓN Y COMUNICACIÓN</t>
  </si>
  <si>
    <t>D5. TRANSPARENCIA, ACCESO A LA INFORMACIÓN PÚBLICA Y LUCHA CONTRA LA CORRUPCIÓN</t>
  </si>
  <si>
    <t>OFICINA DE CONTROL INTERNO DISCIPLINARIO</t>
  </si>
  <si>
    <t>Coadyuvar en el mejoramiento del ejercicio de la función disciplinaria, mediante la implementación de buenas prácticas, herramientas y contenido de transferencia de conocimiento</t>
  </si>
  <si>
    <t>Participar de las sesiones del colectivo y de las actividades que se deriven de las mesas de trabajo</t>
  </si>
  <si>
    <t>Asistencia y participación entidades del Sector Hacienda.</t>
  </si>
  <si>
    <t>RECURSOS HUMANOS - TÉCNOLOGICOS</t>
  </si>
  <si>
    <t>GR2. Fortalecer  la gestión de conocimiento e innovación  en las entidades del Sector Hacienda.</t>
  </si>
  <si>
    <t>Fortalecer la innovación para crear y mejorar productos y servicios, promover la eficiencia de la compañía y consolidar los factores de competitividad</t>
  </si>
  <si>
    <t>DIMENSIÓN 6. GESTIÓN DEL CONOCIMIENTO</t>
  </si>
  <si>
    <t>D6. GESTIÓN DEL CONOCIMIENTO Y LA INNOVACIÓN</t>
  </si>
  <si>
    <t>Desarrollar espacios encaminados al fortalecimiento sectorial de la Política de Gestión del Conocimiento y la Innovación, de acuerdo con lo lineamientos del Modelo Integrado de Planeación y Gestión - MIPG.</t>
  </si>
  <si>
    <t>Participar en las actividades definidas en la política de gestión de conocimiento e innovación</t>
  </si>
  <si>
    <t>Optimizar el modelo operativo con procesos transversales para ser más ágiles, flexibles y eficaces</t>
  </si>
  <si>
    <t>D5. GESTIÓN DOCUMENTAL</t>
  </si>
  <si>
    <t>SUBGERENCIA DE RECURSOS FÍSICOS</t>
  </si>
  <si>
    <t>Fortalecer la  Gestión Documental en las entidades del Sector Hacienda</t>
  </si>
  <si>
    <t>Participar en las mesas y actividades sectoriales de gestión documental</t>
  </si>
  <si>
    <t>GR3. Promover la transformación digital en las entidades del sector para contribuir a la modernización de los procesos de entrega productos y Servicios de cada entidad,</t>
  </si>
  <si>
    <t>Implementar la transformación digital de Previsora y asegurar las capacidades, infraestructura tecnológica y procesos eficientes para lograr una experiencia empática y ágil con los clientes e intermediarios</t>
  </si>
  <si>
    <t>D3. GOBIERNO DIGITAL</t>
  </si>
  <si>
    <t>OFICINA DE ARQUITECTURA EMPRESARIAL</t>
  </si>
  <si>
    <t xml:space="preserve">Realizar el seguimiento a la apropiación de tecnologías emergentes por parte de las entidades del sector </t>
  </si>
  <si>
    <t>Participar en las actividades que convoque el lider temartico de Gobierno Digital y Seguridad Digital</t>
  </si>
  <si>
    <t>GC1. Fortalecer las capacidades del Talento Humano y promover la cultura de integridad del Sector Hacienda.</t>
  </si>
  <si>
    <t>Integrar y potenciar las capacidades de la organización, competencias y valores del equipo humano requeridas para ser una organización colaborativa y flexible que cumple su misión</t>
  </si>
  <si>
    <t>DIMENSIÓN 1. TALENTO HUMANO</t>
  </si>
  <si>
    <t>D1. TALENTO HUMANO</t>
  </si>
  <si>
    <t>GERENCIA DE TALENTO HUMANO</t>
  </si>
  <si>
    <t>Desarrollar espacios encaminados al fortalecimiento sectorial de la Política de Gestión Estratégica de Talento Humano y Política de Integridad, de acuerdo con lo lineamientos del Modelo Integrado de Planeación y Gestión - MIPG.</t>
  </si>
  <si>
    <t>Participar en las mesas sectoriales de la política de integridad</t>
  </si>
  <si>
    <t>GC2. Fortalecer la gestion pública  a través de procesos administrativos, financieros y jurídicos del Sector Hacienda.</t>
  </si>
  <si>
    <t>D3. DEFENSA JURÍDICA</t>
  </si>
  <si>
    <t>GERENCIA DE LITIGIOS</t>
  </si>
  <si>
    <t>Desarrollar mecanismos para un adecuado ejercicio de defensa jurídica de las Entidades del Sector Hacienda</t>
  </si>
  <si>
    <t xml:space="preserve">Participar en las mesas sectoriales de la política de Defensa Jurídica del Sector Hacienda </t>
  </si>
  <si>
    <t>Actas de subcomité y listas de asistencia Dos veces al año</t>
  </si>
  <si>
    <t>Semestral</t>
  </si>
  <si>
    <t>EJECUTADO</t>
  </si>
  <si>
    <t>Ejecutado por semana</t>
  </si>
  <si>
    <t>Ejecutado por mes</t>
  </si>
  <si>
    <t>Ejecutado por trimestre</t>
  </si>
  <si>
    <t>Ejecutado por año acumulado</t>
  </si>
  <si>
    <t>PROGRAMADO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</si>
  <si>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</si>
  <si>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</si>
  <si>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</si>
  <si>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</si>
  <si>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</si>
  <si>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</si>
  <si>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</si>
  <si>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</si>
  <si>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</si>
  <si>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</si>
  <si>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 DE AVANCE PW  </t>
  </si>
  <si>
    <t xml:space="preserve">% META PROGRAMADA  </t>
  </si>
  <si>
    <t xml:space="preserve">% CUMPLIMIENTO  </t>
  </si>
  <si>
    <t>PLAN INTEGRADO DE ACCIÓN ANUAL 2023 - INSTITUCIONAL</t>
  </si>
  <si>
    <t>GERENCIA DE INNOVACIÓN Y PROCESOS
GERENCIA DE PLANEACIÓN</t>
  </si>
  <si>
    <t>GR3. Fortalecer la gestión organizacional y por procesos  de las entidades del Sector Hacienda</t>
  </si>
  <si>
    <t>D3. FORTALECIMIENTO ORGANIZACIONAL Y SIMPLIFICACIÓN DE PROCESOS</t>
  </si>
  <si>
    <t xml:space="preserve">PLAN INSTITUCIONAL </t>
  </si>
  <si>
    <t>Optimizar los procesos misionales propios y tercerizados mediante un esquema de automatización</t>
  </si>
  <si>
    <t>Cumplimiento del plan de automatización (Contrato Marco de Automatización); medición bajo el esquema de gestión de proyectos.</t>
  </si>
  <si>
    <t>Cumplimiento gestión del proyecto: (% Avance Real / % Planeado).
Nota: Basado en un cronograma definido para alcanzar el 100% del alcance</t>
  </si>
  <si>
    <t>Gastos de Operación - Recursos Propios</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</si>
  <si>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</si>
  <si>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</si>
  <si>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</si>
  <si>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</si>
  <si>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Lograr sostenibilidad económica, social, ambiental y de buen gobierno buscando rentabilidad para los accionistas</t>
  </si>
  <si>
    <t>D7. CONTROL INTERNO</t>
  </si>
  <si>
    <t>Ejecutar actividades de Mantenimiento del Sistema de Control Interno de la compañía de conformidad con las brechas identificadas en la medición del MECI y FURAG.</t>
  </si>
  <si>
    <t>Realizar la actualización de la Circular 338 - Políticas relacionadas con el Sistema de Control Interno, de acuerdo con el análisis de la evaluación al Sistema de Control Interno realizado por la Oficina de Control Interno</t>
  </si>
  <si>
    <t>Meta: una (1) Cicrular actualizada y publicada en ISOLUCIÓN</t>
  </si>
  <si>
    <t xml:space="preserve">GR1. Fortalecer las relaciones de las entidades del Sector Hacienda con sus grupos de valor </t>
  </si>
  <si>
    <t>D3. PARTICIPACIÓN CIUDADANA EN LA GESTIÓN PÚBLICA</t>
  </si>
  <si>
    <t>Fortalecer la implementación de la política Participación Ciudadana</t>
  </si>
  <si>
    <t>Publicar para retroalimentación de la ciudadania el PAAC y PIAA 2023 antes de su publicación en pagina web</t>
  </si>
  <si>
    <t>Banner y acceso a borrador planes</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</si>
  <si>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</si>
  <si>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</si>
  <si>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Implementar un modelo de alianzas estratégicas para potenciar la propuesta de valor</t>
  </si>
  <si>
    <t>GERENCIA DE PLANEACIÓN</t>
  </si>
  <si>
    <t>Diseñar Modelo de alianzas estratégicas a partir de ecosistema de actores que ayuden a apalancar la propuesta de valor</t>
  </si>
  <si>
    <t>Gestión proyecto Modelo de Alianzas Estratégicas: Implementación Fase l y Gestión Preliminar Fases ll y lll</t>
  </si>
  <si>
    <t>Cumplimiento gestión del proyecto: (% Avance Real / % Planeado).
Nota: Basado en un cronograma definido para alcanzar el 100% del alcance</t>
  </si>
  <si>
    <t>RECURSOS HUMANOS
RECURSOS FINANCIEROS
RECURSOS FINANCIEROS
RECURSOS TECNOLÓGICOS</t>
  </si>
  <si>
    <t>Mensual</t>
  </si>
  <si>
    <t>GR2. Fortalecer la Gestión TIC y de la Información en las Entidades del Sector Hacienda</t>
  </si>
  <si>
    <t xml:space="preserve">Alcanzar el índice colaborador horizontal en la medición de madurez digital  </t>
  </si>
  <si>
    <t>Medición utilizando el instrumento de madurez digital establecido por la PWC y ajustado por Previsora.</t>
  </si>
  <si>
    <t>Índice de madurez digital: Media geométrica de los resultados de cada dimensión</t>
  </si>
  <si>
    <t>Adoptar decisiones apalancadas en un modelo de analítica de datos que trasciendan a toda la organización</t>
  </si>
  <si>
    <t>Alcanzar el coeficiente capacidades analíticas de la Compañía</t>
  </si>
  <si>
    <t>Alcanzar al 2025 el nivel de colaborador horizontal bajo el esquema de madurez digital en la dimensión de datos y analítica establecido por la PWC y ajustado por Previsora.</t>
  </si>
  <si>
    <t>Coeficiente capacidades analíticas: % promedio de la evaluación en la dimensión de datos y analítica.</t>
  </si>
  <si>
    <t>Implementar un Modelo de gobierno y analítica de datos</t>
  </si>
  <si>
    <t>Cumplimiento gestión del proyecto estratégico de ingesta y centralización de información</t>
  </si>
  <si>
    <t>Cumplimiento gestión del proyecto: (% Avance Real / % Planeado).
Nota: Basado en un cronograma definido para alcanzar el 100% del alcance.</t>
  </si>
  <si>
    <t>GM1. Contribuir al logro de los pactos del Plan Nacional  de Desarrollo en los cuales participa el Sector Hacienda</t>
  </si>
  <si>
    <t>DIMENSIÓN 4. EVALUACIÓN DE RESULTADOS</t>
  </si>
  <si>
    <t>D2. GESTIÓN PRESUPUESTAL Y EFICIENCIA DEL GASTO PÚBLICO</t>
  </si>
  <si>
    <t>Cumplimiento del presupuesto del ramo agropecuario</t>
  </si>
  <si>
    <t>Cumplir el presupuesto de primas emitidas del producto agropecuario.</t>
  </si>
  <si>
    <t>(primas emitidas ramo/  presupuesto ramo) x 100.</t>
  </si>
  <si>
    <t>GERENCIA DE INVERSIONES</t>
  </si>
  <si>
    <t xml:space="preserve">Participación de inversiones verdes dentro del portafolio </t>
  </si>
  <si>
    <t>Porcentaje del portafolio de inversión cuyos emisores cuentan con actividades de taxonomía verde.</t>
  </si>
  <si>
    <t>PLAN INTEGRADO DE ACCIÓN ANUAL 2023 - PLAN INSTITUCIONAL DE ARCHIVO</t>
  </si>
  <si>
    <t>OBJETIVO PINAR</t>
  </si>
  <si>
    <t>ACTIVIDAD ANUAL</t>
  </si>
  <si>
    <t>GCI1. Fortalecer las capacidades del talento humano y la innovación en las entidades del Sector Hacienda</t>
  </si>
  <si>
    <t xml:space="preserve">Subgerencia de Recursos Físicos </t>
  </si>
  <si>
    <t>Elaborar, implementar y hacer seguimiento a los instrumentos archivisticos que contempla la normatividad vigente</t>
  </si>
  <si>
    <t>Actualización Instrumentos archivísticos (Programa de gestión documental PGD - Plan Institucional de Archivos PINAR) Elaboración de Tablas de control de Acceso TCA</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</si>
  <si>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</si>
  <si>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</si>
  <si>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</si>
  <si>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Subgerencia de Recursos Físicos</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</si>
  <si>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</si>
  <si>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</si>
  <si>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Organizar el Fondo Documental Acumulado de la compañía con el fin de racionalizar recursos de custodia y almacenamiento, garantizando el ciclo vital de los documentos. </t>
  </si>
  <si>
    <t>Elaboración Tablas de valoración Documental</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</si>
  <si>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</si>
  <si>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</si>
  <si>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</si>
  <si>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</si>
  <si>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</si>
  <si>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</si>
  <si>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PLAN INTEGRADO DE ACCIÓN ANUAL 2023 - PLAN ANUAL DE ADQUISICIONES</t>
  </si>
  <si>
    <t>Responsable Seguimiento</t>
  </si>
  <si>
    <t>GERENCIA DE CONTRATACIÓN</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</si>
  <si>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</si>
  <si>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</si>
  <si>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</si>
  <si>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</si>
  <si>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</si>
  <si>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</si>
  <si>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</si>
  <si>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</si>
  <si>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</si>
  <si>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</si>
  <si>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</si>
  <si>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</si>
  <si>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</si>
  <si>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</si>
  <si>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</si>
  <si>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</si>
  <si>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</si>
  <si>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</si>
  <si>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</si>
  <si>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52141502</t>
  </si>
  <si>
    <t>Para uso de los funcionarios, calentar almuerzos</t>
  </si>
  <si>
    <t>2</t>
  </si>
  <si>
    <t>15</t>
  </si>
  <si>
    <t>0</t>
  </si>
  <si>
    <t>CCE-11||03</t>
  </si>
  <si>
    <t>1</t>
  </si>
  <si>
    <t>CO-CAL-17001</t>
  </si>
  <si>
    <t>YULIANA LARA</t>
  </si>
  <si>
    <t>3485757</t>
  </si>
  <si>
    <t>contratacion@previsora.gov.co</t>
  </si>
  <si>
    <t>56101522</t>
  </si>
  <si>
    <t>Para uso de los funcionarios</t>
  </si>
  <si>
    <t>72101511</t>
  </si>
  <si>
    <t>Mantenimiento de Aires Acondicionados</t>
  </si>
  <si>
    <t>365</t>
  </si>
  <si>
    <t>80131500</t>
  </si>
  <si>
    <t>arrendamiento de la oficina</t>
  </si>
  <si>
    <t>6</t>
  </si>
  <si>
    <t>Administracion oficina</t>
  </si>
  <si>
    <t>80131502</t>
  </si>
  <si>
    <t>Arrendamiento parqueaderos para funcionarios de la sucursal</t>
  </si>
  <si>
    <t>40101900</t>
  </si>
  <si>
    <t>Reparaciones locativas en sala de ventas por humedad</t>
  </si>
  <si>
    <t>4</t>
  </si>
  <si>
    <t>CO-QUI-63001</t>
  </si>
  <si>
    <t>DARIO MARIN</t>
  </si>
  <si>
    <t>72101510</t>
  </si>
  <si>
    <t>Arreglo plomeria en cocina sucursal</t>
  </si>
  <si>
    <t>CO-SUC-70001</t>
  </si>
  <si>
    <t>JUAN CARLOS BEJARANO</t>
  </si>
  <si>
    <t>Reposicion de sillas funcionarios Sucursal</t>
  </si>
  <si>
    <t>3</t>
  </si>
  <si>
    <t>30</t>
  </si>
  <si>
    <t>72151302</t>
  </si>
  <si>
    <t>Servicio de Pintura oficina</t>
  </si>
  <si>
    <t>CO-VAC-76001</t>
  </si>
  <si>
    <t xml:space="preserve">CARMEN CHARRIA </t>
  </si>
  <si>
    <t>Reposicion de sillas para funcionario por deterioro</t>
  </si>
  <si>
    <t>56112102</t>
  </si>
  <si>
    <t xml:space="preserve">Reposicion de sillas para sala de juntas </t>
  </si>
  <si>
    <t>48101909</t>
  </si>
  <si>
    <t>Compra de grecca para hacer el café a servicio de funcionarios de la sucursal</t>
  </si>
  <si>
    <t>10</t>
  </si>
  <si>
    <t>CO-BOL-13001</t>
  </si>
  <si>
    <t xml:space="preserve">JUAN CAMILO VILLEGAS </t>
  </si>
  <si>
    <t>Contratar servicio de Mantenimiento de aires acondicionados de la Suc. Cartagena</t>
  </si>
  <si>
    <t>73152108</t>
  </si>
  <si>
    <t>Contratar Servicio de Mantenimiento de Planta electrica</t>
  </si>
  <si>
    <t>72102900</t>
  </si>
  <si>
    <t>Servicio de pintura oficina Suc. Cartagena</t>
  </si>
  <si>
    <t>72153613</t>
  </si>
  <si>
    <t>Contratar servicio de mantenimiento de Sillas de oficina</t>
  </si>
  <si>
    <t>40101701</t>
  </si>
  <si>
    <t>compra de condensadoras de aires acondicionados</t>
  </si>
  <si>
    <t>82121503</t>
  </si>
  <si>
    <t>Contratar servicio de marcacion de carnets para asegurados de polizas AP</t>
  </si>
  <si>
    <t>78181703</t>
  </si>
  <si>
    <t>Contratar alquiler de parqueaderos de automoviles para funcionarios de la sucursal</t>
  </si>
  <si>
    <t>90</t>
  </si>
  <si>
    <t>CO-DC-11001</t>
  </si>
  <si>
    <t>JORGE ANDRES GIL</t>
  </si>
  <si>
    <t>48102001</t>
  </si>
  <si>
    <t>Compra de sillas para el comedor sucursal</t>
  </si>
  <si>
    <t>56101538</t>
  </si>
  <si>
    <t>Mesas para el comerdor sucursal</t>
  </si>
  <si>
    <t>CO-RIS-66001</t>
  </si>
  <si>
    <t>JOSE ELIAS OVIEDO</t>
  </si>
  <si>
    <t>72151300</t>
  </si>
  <si>
    <t>Pintura y Vinilos oficina</t>
  </si>
  <si>
    <t>72121103</t>
  </si>
  <si>
    <t>Adecuacion de recepacion oficina</t>
  </si>
  <si>
    <t>Arrendamiento oficina</t>
  </si>
  <si>
    <t>adquisicion silla tecnico de emision</t>
  </si>
  <si>
    <t>CO-PUT-86001</t>
  </si>
  <si>
    <t>ANA BELEN GUTIERREZ</t>
  </si>
  <si>
    <t>52141501</t>
  </si>
  <si>
    <t>Adquisicion de nevera para los funcionario de la sucursal</t>
  </si>
  <si>
    <t>Pintura de la oficina</t>
  </si>
  <si>
    <t>56101510</t>
  </si>
  <si>
    <t>division en vidrio segundo piso</t>
  </si>
  <si>
    <t>72151207</t>
  </si>
  <si>
    <t>Contratar el servicio de mantenimiento trimestral de los aires acondicionados para la sucursal florencia</t>
  </si>
  <si>
    <t>364</t>
  </si>
  <si>
    <t>CO-CAQ-18001</t>
  </si>
  <si>
    <t>DANIELA CUESTA PARRA</t>
  </si>
  <si>
    <t>80101510</t>
  </si>
  <si>
    <t>contratar el servicio de  inspecciones de riesgos para suscripcion de la sucursal florencia.</t>
  </si>
  <si>
    <t>Compra de greca para hacer el café para los funcionarios y clientes de la sucursal</t>
  </si>
  <si>
    <t>Mantenimiento sillas sucursal</t>
  </si>
  <si>
    <t>Compra sillas ergonimicas para funcionarios con el fin de reemplazar las deterioradas</t>
  </si>
  <si>
    <t>Mantenimiento pintura paredes sucursal</t>
  </si>
  <si>
    <t>Cambio cielo raso sucursal</t>
  </si>
  <si>
    <t>30191601</t>
  </si>
  <si>
    <t>Compra pasamanos para la escalera de la oficina de la gerencia</t>
  </si>
  <si>
    <t>30191600</t>
  </si>
  <si>
    <t>Compra escalera de 5 pies para la limpieza de los ventanales de la sucursal</t>
  </si>
  <si>
    <t>81112200</t>
  </si>
  <si>
    <t>Soporte SalesForce</t>
  </si>
  <si>
    <t>240</t>
  </si>
  <si>
    <t>PEDRO LUIS BERNAL SIERRA</t>
  </si>
  <si>
    <t>80151503</t>
  </si>
  <si>
    <t>PUBLICACIONES, SUSCRIPCIONES Y BIBLIOTECA</t>
  </si>
  <si>
    <t>NIDIA EMMA VELASQUEZ CORTES</t>
  </si>
  <si>
    <t>80141500</t>
  </si>
  <si>
    <t>INVESTIGACIÓN DE MERCADOS</t>
  </si>
  <si>
    <t>82111902</t>
  </si>
  <si>
    <t xml:space="preserve">Suscripcion al servicio de informacion juridica www.contratacionenlinea.co para el suministro de informacion especializada en contratacion y procedimiento administrativo estatal </t>
  </si>
  <si>
    <t>Carlos Javier Sua Forero</t>
  </si>
  <si>
    <t>Grabación y personalización carnet´s AP</t>
  </si>
  <si>
    <t>5</t>
  </si>
  <si>
    <t>200</t>
  </si>
  <si>
    <t>MARLY JOHANA PINEDA MEDINA</t>
  </si>
  <si>
    <t>50202301</t>
  </si>
  <si>
    <t>Suministro agua en botellón</t>
  </si>
  <si>
    <t>360</t>
  </si>
  <si>
    <t>Impresión de carnets para pólizas de AP y vida</t>
  </si>
  <si>
    <t>CLAUDIA ROCIO BOHORQUEZ FIGUEROA</t>
  </si>
  <si>
    <t>30 Sillas interlocutoras</t>
  </si>
  <si>
    <t>60</t>
  </si>
  <si>
    <t>82101800</t>
  </si>
  <si>
    <t>Contratacion proveedor mercadeo 360° y Comunicaciones externas y PR</t>
  </si>
  <si>
    <t>Natalia Orrego Quintero</t>
  </si>
  <si>
    <t>82101500</t>
  </si>
  <si>
    <t>Suministro de piezas gráficas impresas correspondientes al material publicitario y merchandising.</t>
  </si>
  <si>
    <t>80141600</t>
  </si>
  <si>
    <t>Comites de Gestion</t>
  </si>
  <si>
    <t>82101600</t>
  </si>
  <si>
    <t>Promocionales</t>
  </si>
  <si>
    <t>compra de 2 aires acondicionados</t>
  </si>
  <si>
    <t>CO-MET-50001</t>
  </si>
  <si>
    <t>ANGELA JIMENA GUERRERO PARRADO</t>
  </si>
  <si>
    <t>Compra de nevera para la oficina</t>
  </si>
  <si>
    <t>Mantenimiento Aires Acondicionados</t>
  </si>
  <si>
    <t>administración de riesgos en ramos</t>
  </si>
  <si>
    <t>39131709</t>
  </si>
  <si>
    <t>mantenimiento de cableado y tomas corrientes en la sucursal</t>
  </si>
  <si>
    <t>7</t>
  </si>
  <si>
    <t>72154028</t>
  </si>
  <si>
    <t>Mantenimiento del aviso de la sucursal</t>
  </si>
  <si>
    <t>46191601</t>
  </si>
  <si>
    <t>Mantenimiento Extintores</t>
  </si>
  <si>
    <t>9</t>
  </si>
  <si>
    <t>86131502</t>
  </si>
  <si>
    <t>Pintura escritorio y sillas de madera de la gerencia sucursal</t>
  </si>
  <si>
    <t>78102203</t>
  </si>
  <si>
    <t>Servicio de correo intermunicipal</t>
  </si>
  <si>
    <t>ARRIENDO OFICINA SUCURSAL</t>
  </si>
  <si>
    <t>Mantenimiento de sillas giratorias de los   funcionarios</t>
  </si>
  <si>
    <t>CO-NSA-54001</t>
  </si>
  <si>
    <t>CARMEN CECILIA LAVERDE</t>
  </si>
  <si>
    <t>Arriendo oficina</t>
  </si>
  <si>
    <t>Mantenimiento de Aire Acondicionado</t>
  </si>
  <si>
    <t>Recarga extintores</t>
  </si>
  <si>
    <t>Pintura de las instalaciones de la oficina</t>
  </si>
  <si>
    <t xml:space="preserve">Cambio de cableado eléctrico que distribuye energía a los puestos de trabajo  de la sucursal </t>
  </si>
  <si>
    <t>72151605</t>
  </si>
  <si>
    <t>Cambio del cableado estructurado de red a 6A y organización del RACK de comunicaciones</t>
  </si>
  <si>
    <t>Adecuacion y redistribución módulos de puestos de trabajo- reubicación archivo</t>
  </si>
  <si>
    <t>86121700</t>
  </si>
  <si>
    <t>Capacitaciones a intermediarios de seguros</t>
  </si>
  <si>
    <t>120</t>
  </si>
  <si>
    <t>MILENA LUCIA ACOSTA</t>
  </si>
  <si>
    <t>84121806</t>
  </si>
  <si>
    <t>Administrar los pagarés para la vinculación de intermediarios</t>
  </si>
  <si>
    <t>11</t>
  </si>
  <si>
    <t>730</t>
  </si>
  <si>
    <t>JOSE IGNACIO MARTINEZ</t>
  </si>
  <si>
    <t>86132000</t>
  </si>
  <si>
    <t>Capacitaciones a intermediarios para certificar idoneidad</t>
  </si>
  <si>
    <t>JUAN CARLOS CABALLERO</t>
  </si>
  <si>
    <t>84141701</t>
  </si>
  <si>
    <t>Servicios de consulta en línea y en batch de datos personales, información comercial y gestión de cobranza de personas naturales y/o jurídicas, que se encuentren en procesos de vinculación y/o vinculadas comercialmente</t>
  </si>
  <si>
    <t>1095</t>
  </si>
  <si>
    <t>NUBIA YOLANDA ROCHA</t>
  </si>
  <si>
    <t>43232300</t>
  </si>
  <si>
    <t>Sistema de consulta de intermediarios de seguros SUCIS</t>
  </si>
  <si>
    <t>AMINTA PUYO</t>
  </si>
  <si>
    <t>83111507</t>
  </si>
  <si>
    <t>Contratación de los servicios de operación y administración del contact center de la Compañía</t>
  </si>
  <si>
    <t>Diana Paola Aragón</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</si>
  <si>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</si>
  <si>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93151514</t>
  </si>
  <si>
    <t>Prestar los servicios profesionales como Defensor del consumidor financiero, principal y suplente, para ejercer con autonomia e independencia y garantizar que se atienda de forma eficaz, eficiente y oportuna a los Consumidores Financieros.</t>
  </si>
  <si>
    <t>52131600</t>
  </si>
  <si>
    <t xml:space="preserve">Compra persiana </t>
  </si>
  <si>
    <t>CO-TOL-73001</t>
  </si>
  <si>
    <t>LELIA ROSA LOPEZ HERNANDEZ</t>
  </si>
  <si>
    <t>30161707</t>
  </si>
  <si>
    <t xml:space="preserve">Cambio de Pisos oficinas Sucursal área local propio </t>
  </si>
  <si>
    <t>45</t>
  </si>
  <si>
    <t>56111511</t>
  </si>
  <si>
    <t>Cambio  escritorios oficina sucursal proyección traslado de Sucursal</t>
  </si>
  <si>
    <t>8</t>
  </si>
  <si>
    <t>30171613</t>
  </si>
  <si>
    <t>División Vidrio Templado salón de reuniones y área de archivo</t>
  </si>
  <si>
    <t>lELIA ROSA LOPEZ HERNANDEZ</t>
  </si>
  <si>
    <t xml:space="preserve">Peinado del cableado estructurado y eléctrico </t>
  </si>
  <si>
    <t>20</t>
  </si>
  <si>
    <t>Compra e instalación de un Aire Acondicionado para el CAD</t>
  </si>
  <si>
    <t>44103107</t>
  </si>
  <si>
    <t xml:space="preserve">No definido </t>
  </si>
  <si>
    <t>Recarga Extintores</t>
  </si>
  <si>
    <t>LELIAROSA LOPEZ HERNANDEZ</t>
  </si>
  <si>
    <t>72151200</t>
  </si>
  <si>
    <t>Contratar servicio de mantenimiento aire acondicionado</t>
  </si>
  <si>
    <t>300</t>
  </si>
  <si>
    <t>CO-BOY-15001</t>
  </si>
  <si>
    <t>MARIA LEONOR MONTOYA AVELLA</t>
  </si>
  <si>
    <t>Contratar servicio de correo de enero a diciembre de la sucursal</t>
  </si>
  <si>
    <t>Contratar oficina para archivo</t>
  </si>
  <si>
    <t>40101843</t>
  </si>
  <si>
    <t>Compra horno para servicio de funcionarios</t>
  </si>
  <si>
    <t>Compra sillas giratorias para funcionarios y gerente</t>
  </si>
  <si>
    <t>72153605</t>
  </si>
  <si>
    <t>Servicio para remodelar cocina de la Sucursal</t>
  </si>
  <si>
    <t>72153600</t>
  </si>
  <si>
    <t>Contratar empresa para arreglos, pintura y cambios de mobiliario requeridos por daño/deterioro</t>
  </si>
  <si>
    <t>contratación servicio de correo intermunicipal</t>
  </si>
  <si>
    <t>335</t>
  </si>
  <si>
    <t>CO-HUI-41001</t>
  </si>
  <si>
    <t>GINA PAOLA OSORIO RODRÍGUEZ</t>
  </si>
  <si>
    <t xml:space="preserve">contratación el servicio de mantenimiento de aires acondicionados </t>
  </si>
  <si>
    <t>308</t>
  </si>
  <si>
    <t>72154300</t>
  </si>
  <si>
    <t>Contración servicio de mantenimiento planta electrica</t>
  </si>
  <si>
    <t>CONTRATAR EL SERVICIO DE MANTENIMIENTO DE LOS AIRES ACONDCIONADOS DE LA SUCURSAL BUCARA</t>
  </si>
  <si>
    <t>350</t>
  </si>
  <si>
    <t>CO-SAN-68001</t>
  </si>
  <si>
    <t>MIGUEL ANGEL CEPEDA RUEDA</t>
  </si>
  <si>
    <t>80161801</t>
  </si>
  <si>
    <t xml:space="preserve">CONTRATAR EL SERVICIO DE ALQUILER DE LA FOTOCOPIADORA </t>
  </si>
  <si>
    <t>72101516</t>
  </si>
  <si>
    <t>CONTRATAR EL SERVICIO DE MANTENIMIENTO Y RECARGA DE EXTINTORES DE LA SUCURSAL</t>
  </si>
  <si>
    <t>CONTRATAR EL SERVICIO DE MANTENIMIENTO DE LAS SILLAS DE LA SUCURSAL BUCARAMANGA</t>
  </si>
  <si>
    <t>CONTRATAR LA ADQUISICION DE UNA CAFETERA O GRECA PARA LA SUCURSAL</t>
  </si>
  <si>
    <t>56121400</t>
  </si>
  <si>
    <t>CONTRATAR LA INSTALACION Y COMPRA DE GABINETE MUEBLE FLOTANTE DE COCINA</t>
  </si>
  <si>
    <t>CONTRATAR EL SERVICIO DE CORREO PARA LA SUCURSAL BUCARAMANGA</t>
  </si>
  <si>
    <t>333</t>
  </si>
  <si>
    <t>CONTRATAR EL SERVICIO DE PINTURA FACHADA EXTERNA E INSTALACIONES INTERNA 3 PISOS PREVISORA</t>
  </si>
  <si>
    <t>CONTRATAR LA ADQUISICION E INSTALACION Y PUESTA EN MARCHA DE AIRES ACONDICIONADOS EN LA SUCURSAL</t>
  </si>
  <si>
    <t>CO-VAC-76109</t>
  </si>
  <si>
    <t>82121512</t>
  </si>
  <si>
    <t>ELABORACION DE CARNETS PARA LAS POLIZAS DE ACCIDENTES PERSONALES DE LA SUCURSAL POPAYAN</t>
  </si>
  <si>
    <t>CO-CAU-19001</t>
  </si>
  <si>
    <t>GERMAN ELIAS PARRA GUACANEME</t>
  </si>
  <si>
    <t>82121700</t>
  </si>
  <si>
    <t xml:space="preserve">SUMINISTRO DE FOTOCOPIAS PARA LICITACIONES </t>
  </si>
  <si>
    <t>MANTENIMIENTO DE AIRE ACONDICIONADO</t>
  </si>
  <si>
    <t>275</t>
  </si>
  <si>
    <t>72151511</t>
  </si>
  <si>
    <t>MANTENIMIENTO, SUMINISTRO E INSTALACION TUBOS LED</t>
  </si>
  <si>
    <t>Realizar mantenimiento preventivo o correctivo con suministro de repuestos  de los aires acondicionados de la sucursal Yopal, con una periodicidad trimestral.</t>
  </si>
  <si>
    <t>330</t>
  </si>
  <si>
    <t>CO-CAS-85001</t>
  </si>
  <si>
    <t>KARENN YELITZA CRUZ GOYENECHE</t>
  </si>
  <si>
    <t>52101508</t>
  </si>
  <si>
    <t>Compra de tapete para la entrada de la oficina</t>
  </si>
  <si>
    <t>Contratar la impresión de carnets para los asegurados de las pólizas de accidentes personales y vida grupo</t>
  </si>
  <si>
    <t>MANTENIMIENTO AIRE</t>
  </si>
  <si>
    <t>CO-NAR-52001</t>
  </si>
  <si>
    <t>OSCAR IVAN ESTRADA</t>
  </si>
  <si>
    <t>MANTENIMIENTO PLANTA ELECTRICA</t>
  </si>
  <si>
    <t>44101501</t>
  </si>
  <si>
    <t>MANTENIMIENTO FOTOCOPIADORA</t>
  </si>
  <si>
    <t>Cambio de sillas funcionarios de la sucursal</t>
  </si>
  <si>
    <t xml:space="preserve">Mantenimiento Aire Acondicionado </t>
  </si>
  <si>
    <t>CO-ANT-05001</t>
  </si>
  <si>
    <t xml:space="preserve">ANA CRISTINA ARBOLEDA </t>
  </si>
  <si>
    <t xml:space="preserve">ADECUACION (PINTURA Y DEMAS PENDIENTES) OFICINA FRONT MEDELLIN </t>
  </si>
  <si>
    <t>72101509</t>
  </si>
  <si>
    <t xml:space="preserve">MANTENIMIENTO CUARTOS TECNICOS </t>
  </si>
  <si>
    <t xml:space="preserve">MANTENIMIENTO DE MUEBLES Y SILLAS,  BLACKOUT </t>
  </si>
  <si>
    <t>72154066</t>
  </si>
  <si>
    <t xml:space="preserve">Mantenimiento general equipos de oficina, como planta y sistema de ingreso con huella , sistema de cableado </t>
  </si>
  <si>
    <t>49101609</t>
  </si>
  <si>
    <t xml:space="preserve">Decoracion navidad para el 2023 pues la sucursal cuenta con elementos ya deteriorados </t>
  </si>
  <si>
    <t>MANTENIMIENTO DE LOS DOS AIRES ACONDICIONADO CENTRAL Y DOS MINI SPLIT</t>
  </si>
  <si>
    <t>CO-COR-23001</t>
  </si>
  <si>
    <t>PATRICIA MORALES ESTRELLA</t>
  </si>
  <si>
    <t>SERVICIO DE PARQUEADERO PARA LOS VEHICULOS DE LOS FUNCIONARIOS DE LA SUCURSAL MONTERIA</t>
  </si>
  <si>
    <t>82121507</t>
  </si>
  <si>
    <t>SERVICIO DE IMPRESION DE LOS CARNETS ESTUDIANTILES</t>
  </si>
  <si>
    <t>77101501</t>
  </si>
  <si>
    <t xml:space="preserve">INSPECCIONES DE RIESGO PARA SUSCRIPCION </t>
  </si>
  <si>
    <t xml:space="preserve">MANTENIMIENTO, RECARGA  Y COMPRA DE UN EXTINTOR </t>
  </si>
  <si>
    <t>Ordenamiento del cableado y adquisición nuevo mueble de rack</t>
  </si>
  <si>
    <t>CO-ARA</t>
  </si>
  <si>
    <t>PEDRO ARMANDO PEÑA TOLOZA</t>
  </si>
  <si>
    <t>MANTENIMIENTO Y CAMBIO DE LUMINARIAS</t>
  </si>
  <si>
    <t xml:space="preserve">MANTENIMIENTO, RECARGA DE TRES EXTINTORES </t>
  </si>
  <si>
    <t>84131602</t>
  </si>
  <si>
    <t>Poliza de hospitalizacion y cirugia para los funcionarios convencionados según convencion colectiva de trabajo 2020-2023 durante la vigencia 2024</t>
  </si>
  <si>
    <t>VERONICA TATIANA URRUTIA AGUIRRE</t>
  </si>
  <si>
    <t>84131601</t>
  </si>
  <si>
    <t>Poliza de vida grupo y exequias para los funcionarios convencionados según convencion colectiva de trabaja 2020-2023 durante la vigencia 2024</t>
  </si>
  <si>
    <t>84131501</t>
  </si>
  <si>
    <t>Poliza de incendio y terremoto para los inmuebles que se encuentran hipotecados a favor de la compañía por el prestamo otorgado a las funcionarios según la convencion colectiva de trabajo 2020-2023 durante la vigencia 2024</t>
  </si>
  <si>
    <t>Poliza vida grupo deudor para los prestamos hipotecarios que han sido otorgados a los funcionarios según lo defino en la convencion colectiva de trabajo 2020-2023 durante la vigencia 2024</t>
  </si>
  <si>
    <t>70171708</t>
  </si>
  <si>
    <t>Intermediacion de seguros para realizar la asesoría necesaria para obtener el cubrimiento de los riesgos derivados de la póliza de hospitalización y cirugía.</t>
  </si>
  <si>
    <t>84121804</t>
  </si>
  <si>
    <t>Suministro de bonos canastaSuministro de bonos dotaciónSuministro de bonos regalo</t>
  </si>
  <si>
    <t>720</t>
  </si>
  <si>
    <t>VERÓNICA TATIANA URRUTIA AGUIRRE</t>
  </si>
  <si>
    <t>80111600</t>
  </si>
  <si>
    <t xml:space="preserve">Suministro de personal temporal </t>
  </si>
  <si>
    <t>80121706</t>
  </si>
  <si>
    <t>Asesor laboral y de seguridad social integral</t>
  </si>
  <si>
    <t>Asesor laboral y de seguridad social integral, para la negociación de la Convencion colectiva de trabajo</t>
  </si>
  <si>
    <t>180</t>
  </si>
  <si>
    <t>Contratacion Poliza de Vida Grupo plan de beneficios directivos</t>
  </si>
  <si>
    <t>84111600</t>
  </si>
  <si>
    <t>Auditoria externa EFR -Icontec</t>
  </si>
  <si>
    <t xml:space="preserve">Derechos utilización de Marca -  EFR </t>
  </si>
  <si>
    <t>80141607</t>
  </si>
  <si>
    <t>Plan de bienestar que incluye organizacion de eventos  programados en el plan de bienestar</t>
  </si>
  <si>
    <t>93141808</t>
  </si>
  <si>
    <t>Realizacion examenes ocupacionales compra elementos de botiquin y elementos de planes de emergencia</t>
  </si>
  <si>
    <t>81161801</t>
  </si>
  <si>
    <t>Contratar el servicio de uso y administración de plataforma virtual para pruebas de conocimientos de ingreso a LA PREVISORA S.A. así como el diseño de preguntas para los cargos que esta requiera.</t>
  </si>
  <si>
    <t>12</t>
  </si>
  <si>
    <t>LIANA ABRIL</t>
  </si>
  <si>
    <t>Suministrar por medio de la plataforma a la PREVISORA S.A un stock de pruebas psicológicas especializadas en evaluación de competencias y personalidad</t>
  </si>
  <si>
    <t xml:space="preserve">Contratar la suscripción al portal El Empleo para la publicación de ofertas de empleo que La Previsora considere necesarioas asi como la consecucion de hojas de vida. </t>
  </si>
  <si>
    <t>80111702</t>
  </si>
  <si>
    <t>Contratar un proveedor que se encargue de realizar los estudios de seguridad a cada uno de los candidatos que sean seleccionados para cubrir las diferentes vacantes de LA PREVISORA S.A.</t>
  </si>
  <si>
    <t>80111508</t>
  </si>
  <si>
    <t>Contratar el servicio de una plataforma web para uso ilimitado de los módulos de competencias desempeño por objetivos tareas análisis de potencial volatilidad planes de desarrollo clima organizacional organigrama perfiles de cargo criticidad de cargos y planes de sucesión incluido el servicio de hosting.</t>
  </si>
  <si>
    <t>80111703</t>
  </si>
  <si>
    <t>Contratar un proveedor que preste los servicios especializados en busca de talentos (head hunter) para suplir las vacantes  de cargos directivos</t>
  </si>
  <si>
    <t>80111504</t>
  </si>
  <si>
    <t xml:space="preserve">Contratar un proveedorque preste los servicios para el diseño e implementacion  de los programas que hacen parte de la oferta de formacion anual de la Universidad Corporativa </t>
  </si>
  <si>
    <t xml:space="preserve">Contratar un aliado que brinde el  servicio del Plan de Formación en habilidades informáticas de Excel dirigida a los funcionarios de la Compañia </t>
  </si>
  <si>
    <t>Contratar proveedores especializados para los procesos de formación definidos en el Plan Anual 2022</t>
  </si>
  <si>
    <t>Contratar proveedores especializados  que brinde de acuerdo a las necesidades de capacitación entrenamiento y/o desarrollo de los colaboradores de La Previsora en diferentes cursos congresos foros y seminarios</t>
  </si>
  <si>
    <t>Contratar un proveedor que se encargue de implementar estrategias y herramientas necesarias para afianzar la cultura organizacional basado en un proceso de integridad gestión del cambio y liderazgo así como la implementación del modelo de competencias</t>
  </si>
  <si>
    <t>Contrato Arriendo Sintraprevi</t>
  </si>
  <si>
    <t>Sandra Patricia González Bello</t>
  </si>
  <si>
    <t>80131802</t>
  </si>
  <si>
    <t>Contratar saneamiento administrativo  de los inmuebles de las compañía</t>
  </si>
  <si>
    <t>731</t>
  </si>
  <si>
    <t>Contrato arriendo Local 26 Dreszer</t>
  </si>
  <si>
    <t>Contrato arriendo Local 20 Kusguen</t>
  </si>
  <si>
    <t>Contrato arriendo Almacén</t>
  </si>
  <si>
    <t xml:space="preserve">Contrato Arriendo Fimprevi. </t>
  </si>
  <si>
    <t xml:space="preserve">Contrato Arriendo Fep </t>
  </si>
  <si>
    <t>Contrato Arriendo Asoprevi</t>
  </si>
  <si>
    <t>Contrato Arriendo Asdecos</t>
  </si>
  <si>
    <t>78101801</t>
  </si>
  <si>
    <t>Contratación ACARREOS</t>
  </si>
  <si>
    <t>334</t>
  </si>
  <si>
    <t>Nancy Patricia Puentes / Jennifer Gutiérrez</t>
  </si>
  <si>
    <t>15101506</t>
  </si>
  <si>
    <t xml:space="preserve">Gasolina planta eléctrica y vehículos. Colombia Compra Eficiente. </t>
  </si>
  <si>
    <t>Martha Puerto</t>
  </si>
  <si>
    <t>73131505</t>
  </si>
  <si>
    <t>Contratar el suministro para  los funcionarios y visitantes de Casa Matriz las bebidas hidratantes.</t>
  </si>
  <si>
    <t>Contratar el servicio de fotocopias para todas las dependencias de Casa Matriz</t>
  </si>
  <si>
    <t>77101802</t>
  </si>
  <si>
    <t>Contratar la recertificación del transporte vertical y puertas electricas de Casa Matriz</t>
  </si>
  <si>
    <t>46171604</t>
  </si>
  <si>
    <t>Contratacion mantenimiento preventivo y correctivo sistema de deteccion de incendio y cambio de agente limpio centro de computo</t>
  </si>
  <si>
    <t>39121105</t>
  </si>
  <si>
    <t>Contratar el mantenimiento preventivo y correctivo del conmutador</t>
  </si>
  <si>
    <t>95122401</t>
  </si>
  <si>
    <t>Contratar el mantenimiento preventivo y correctivo de los vehiculos de la Compañía</t>
  </si>
  <si>
    <t>48101705</t>
  </si>
  <si>
    <t>Contratar el mantenimiento de las maquinas de café y la compra de termos</t>
  </si>
  <si>
    <t>55121621</t>
  </si>
  <si>
    <t>Contratar los gasto notariales para las diferentes dependencias de casa matriz</t>
  </si>
  <si>
    <t>Contratar el mantenimiento preventivo y correctivo de los aires acondicionados de casa matriz y la "L"</t>
  </si>
  <si>
    <t>Contratar el intermediario para la renovacion del programa de seguros</t>
  </si>
  <si>
    <t>72154043</t>
  </si>
  <si>
    <t>Contratar el servicio de fumigacion para las instalaciones de casa matriz. aparcadero las palmas. oficinas edificio vima y bodega tequendama</t>
  </si>
  <si>
    <t>48101505</t>
  </si>
  <si>
    <t>Contratar la compra de los termos para el servicio de cafeteria de casa matriz</t>
  </si>
  <si>
    <t>55101506</t>
  </si>
  <si>
    <t>Contratar la el periodico diario La Republica</t>
  </si>
  <si>
    <t>39121613</t>
  </si>
  <si>
    <t>Mantenimiento polo a tierra y para rayos - Casa Matriz y oficinas de la "L "</t>
  </si>
  <si>
    <t>THELMIRA NUÑEZ</t>
  </si>
  <si>
    <t>43211507</t>
  </si>
  <si>
    <t xml:space="preserve">Adquisicion equipo de computo para recepciones de Casa Matriz y oficinas de la L </t>
  </si>
  <si>
    <t>77101700</t>
  </si>
  <si>
    <t>se hace necesaria la contratación de una persona mediante modalidad de prestación de servicios, experta en temas de RSE, con el fin de fortalecer algunos componentes fundamentales que apuntan a la meta de contribuir al desarrollo sostenible, comportamientos socialmente responsables que producen mejoras en aspectos clave en la organización como ventaja competitiva, reputación, capacidad para atraer y retener trabajadores, clientes y usuarios, así como productividad y la percepción de las partes interesadas.</t>
  </si>
  <si>
    <t>LEYDY VIVIANA MOJICA</t>
  </si>
  <si>
    <t>70141803</t>
  </si>
  <si>
    <t>Contratar una herramienta de emisión de pólizas del ramo Agropecuario</t>
  </si>
  <si>
    <t>Andrés Felipe Guerra</t>
  </si>
  <si>
    <t>Desarrollar el módulo de integración por parte de SISTRAN en SISE 2g para pólizas del ramo Agropecuario</t>
  </si>
  <si>
    <t>80161506</t>
  </si>
  <si>
    <t xml:space="preserve">Contratar el servicio de Recopilación de la información sobre las características físicas de los bienes inmuebles de ciertas pólizas y/o carteras. para poder georreferenciar dichos bienes o riesgos. </t>
  </si>
  <si>
    <t>Misael Sierra Salgado</t>
  </si>
  <si>
    <t>Prestar el servicio de administración de riesgos de Responsabilidad Civil Profesional de Clínicas y Hospitales para las instituciones Hospitalarias asignadas por LA PREVISORA S.A. a través de las Oficinas de Prevención de Riesgos y de Responsabilidad Civil</t>
  </si>
  <si>
    <t>Alonso Blanco Medina</t>
  </si>
  <si>
    <t xml:space="preserve">Prestar los servicios de administración de riesgos, control de pérdidas y procedimientos especializados para los diferentes riesgos amparados en negocios nuevos o vigentes del ramo de automóviles. </t>
  </si>
  <si>
    <t>Prestar el servicio de diagnóstico para transformadores mediante el análisis de aceites dieléctricos a los transformadores de los asegurados distribuidos a nivel nacional y que determine LA PREVISORA S.A, para disminuir la probabilidad de ocurrencia y minimizar las pérdidas en caso de siniestros por rotura de maquinaria y su respectivo lucro cesante</t>
  </si>
  <si>
    <t>Prestar el servicio de administración de riesgos y control de pérdidas, inspecciones y conceptos procedimientos especializados para la suscripción de riesgos de seguros del ramo de transportes</t>
  </si>
  <si>
    <t>prestar los servicios de inspección de los bienes asegurables y/o asegurados y/o servicios de administración de riesgos y control de pérdidas, de riesgos en curso y/o por suscribir asignados por LA PREVISORA S.A. que permita establecer si el riesgo es asegurable y de serlo las actividades necesarias para lograr un mejoramiento de los riesgos identificados, disminuyendo la probabilidad y severidad de pérdidas para los asegurados y la compañía</t>
  </si>
  <si>
    <t>80161500</t>
  </si>
  <si>
    <t>La Previsora S.A. Compañía de Seguros requiere contratar la prestación de servicios especializados para la operación del Ramo SOAT.</t>
  </si>
  <si>
    <t>JUAN PABLO MORA TRUJILLO</t>
  </si>
  <si>
    <t>81102702</t>
  </si>
  <si>
    <t>realización de los trabajos de control técnico de las construcciones que vayan a asegurarse frente a daños materiales con el fin de facilitar la contratación del Seguro Decenal.</t>
  </si>
  <si>
    <t>Carlos Eduardo González Triviño</t>
  </si>
  <si>
    <t>81112001</t>
  </si>
  <si>
    <t>Prestar los servicios de consulta en línea y en batch de datos personales, información comercial y gestión de cobranza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</si>
  <si>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Maria Isabel Wilches Segovia</t>
  </si>
  <si>
    <t>Servicio administración, emisión y custodia pagarés desmaterializados seguros de cumplimiento y manejo</t>
  </si>
  <si>
    <t>84131503</t>
  </si>
  <si>
    <t>Permitir el acceso para la consulta de información a las bases de datos de los sistemas informáticos denominados SISA y CEXPER.</t>
  </si>
  <si>
    <t>1080</t>
  </si>
  <si>
    <t>Wilson Orlando Parra Núñez</t>
  </si>
  <si>
    <t>Prestación de servicio de vehículo de reemplazo</t>
  </si>
  <si>
    <t>Prestación de servicios de asistencia vehícular</t>
  </si>
  <si>
    <t>78141602</t>
  </si>
  <si>
    <t>Inspección de mercancías en puerto</t>
  </si>
  <si>
    <t>Jorge Beltrán Rendón</t>
  </si>
  <si>
    <t>80111610</t>
  </si>
  <si>
    <t>Captura de información de despachos para producción</t>
  </si>
  <si>
    <t>84131701</t>
  </si>
  <si>
    <t>Realizar el calculo actuarial de pensiones bajo las normas NIF y norma local colombiana, además del cálculo de beneficios post empleo, diligenciamiento de la proforma respectiva de la SFC, detalle del cálculo para informes contables de la compañía y respuestas a posibles requerimientos a que haya lugar relacionados con los cálculos.</t>
  </si>
  <si>
    <t>Maryori Paola García</t>
  </si>
  <si>
    <t>43231512</t>
  </si>
  <si>
    <t>Renovación del licenciamiento del software SAS, del paquete SAS OFFICE ANALYTICS, compra de una liciencia adicional, la prestación del servicio de soporte técnicoespecializado e integral a la plataforma y copacitación para los funcionarios asignados.</t>
  </si>
  <si>
    <t>Soporte y mantenimiento de la plataforma para la adminsitración y emision del ramo SOAT</t>
  </si>
  <si>
    <t>Consulta al web services de RUNT</t>
  </si>
  <si>
    <t>80121609</t>
  </si>
  <si>
    <t xml:space="preserve">Investigación Estudio de bienes </t>
  </si>
  <si>
    <t>DANIEL PALACIOS</t>
  </si>
  <si>
    <t>80101500</t>
  </si>
  <si>
    <t>Servicio de asesoría y otros a demanda para la Vicepresidencia</t>
  </si>
  <si>
    <t>AMANDA LOPEZ</t>
  </si>
  <si>
    <t>80121704</t>
  </si>
  <si>
    <t xml:space="preserve">PRESTACION DE SERVICIOS PROFESIONALES ESPECIALIZADOS </t>
  </si>
  <si>
    <t>SANDRA CECILIA REY</t>
  </si>
  <si>
    <t>80121604</t>
  </si>
  <si>
    <t>Prestación de servicios profesionales para asesorías jurídicas en contratación estatal y privada con el fin de brindar asistencia y ejercer la representación de la Compañía en los procesos licitatorios y/o concursos de selección, en los cuales la Compañía participe como oferente, proponente y/o tenga algún interés; así como asesoría jurídica en propiedad intelectual, marcas y los demás asuntos que le sean asignados.</t>
  </si>
  <si>
    <t>JULIANA BARRERA</t>
  </si>
  <si>
    <t>80121600</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</si>
  <si>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</si>
  <si>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94131603</t>
  </si>
  <si>
    <t>Atención de asesorias y conceptos jurídicos especializados a demanda</t>
  </si>
  <si>
    <t>86101705</t>
  </si>
  <si>
    <t>Evento capacitacion anual abogados internos y externos de la Vicepresidencia Jurídica</t>
  </si>
  <si>
    <t>Representación y defensa judicial en los litigios de la compañía para zona Bogotá y Cundinamarca</t>
  </si>
  <si>
    <t>Representación y defensa judicial en los litigios de la compañía para zona Antioquia</t>
  </si>
  <si>
    <t>Representación y defensa judicial en los litigios de la compañía (a demanda de la necesidad por zona geográfica)</t>
  </si>
  <si>
    <t>EL ABOGADO se obliga en su condición de apoderado especial o general según anexos 1, 2 y/o 3 del  contrato a  representar  en calidad tanto activa como pasiva a LA PREVISORA S.A. en los procesos judiciales, prejudiciales, de responsabilidad fiscal, procedimientos administrativos, arbitramentos, acciones constitucionales de tutela y en general en todo tipo de litigio o procedimiento que le sean asignados, dentro del marco de las actividades relacionadas con la Vicepresidencia Jurídica - Gerencia de Litigios.</t>
  </si>
  <si>
    <t>SCARLETT BAENA</t>
  </si>
  <si>
    <t>76121501</t>
  </si>
  <si>
    <t>Recoleccion de sobrantes, piezas y salvamentos.</t>
  </si>
  <si>
    <t>ADRIANA ORJUELA MARTINEZ</t>
  </si>
  <si>
    <t>81101600</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</si>
  <si>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</si>
  <si>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PAOLA ANDREA GOMEZ MESA</t>
  </si>
  <si>
    <t>81111700</t>
  </si>
  <si>
    <t>Se requiere contratar herramienta tecnologica para realizar todo el proceso de gestión de la atención integral a los siniestros derivados de las  pólizas expedidas bajo el ramo de automóviles.</t>
  </si>
  <si>
    <t>95141706</t>
  </si>
  <si>
    <t>Se requiere contratar un proveedor que preste y garantice el servicio integral de bodegaje, almacenamiento y custodia de salvamentos de seguros generales (muebles, enseres, entre otros) y vehículos, asegurados por LA PREVISORA S.A. COMPAÑÍA DE SEGUROS</t>
  </si>
  <si>
    <t>85122201</t>
  </si>
  <si>
    <t>Valoración de pérdida de capacidad laboral para las reclamaciones del amparo de incapacidad permante de los ramos de Soat y AP</t>
  </si>
  <si>
    <t>MARITZA GISELA AYURE AGUILAR</t>
  </si>
  <si>
    <t>80121610</t>
  </si>
  <si>
    <t>Servicios de financiación de primas de seguros y gestión y administración de recuperación o cobro de cartera</t>
  </si>
  <si>
    <t>María Andrea Riveros</t>
  </si>
  <si>
    <t>43232313</t>
  </si>
  <si>
    <t>Compra de transacciones para pagos en línea.</t>
  </si>
  <si>
    <t>Mónica Ximena Cabrera Rodríguez</t>
  </si>
  <si>
    <t>Gestion de cobranza</t>
  </si>
  <si>
    <t>Carlos Villamil Mendieta</t>
  </si>
  <si>
    <t>84121704</t>
  </si>
  <si>
    <t>Asesoría  jurídica especializada para administrar la información de La Previsora S.A. Compañía de Seguros en la plataforma Markit de ISDA con el fin de vigilar, suministrar, actualizar y/o modificar periódicamente, la información necesaria en dicha plataforma.</t>
  </si>
  <si>
    <t>Maria Teresa Romero</t>
  </si>
  <si>
    <t>Asesoría jurídica para obtener la renovación del Legal Entity Identifier (LEI) necesario para la negociación de instrumentos derivados</t>
  </si>
  <si>
    <t>84121701</t>
  </si>
  <si>
    <t>Orientación, herramientas de gestión, perspectivas frente a normatividad e investigaciones sobre asuntos ASG</t>
  </si>
  <si>
    <t>84121801</t>
  </si>
  <si>
    <t>Servicio de software informativo financiero sobre noticias y datos macroecónomicos locales e internacionales que integra bases de datos, noticias, gráficos, calculadoras, email. Información Multimedia y herramientas.</t>
  </si>
  <si>
    <t>84121702</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</si>
  <si>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</si>
  <si>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 xml:space="preserve">Maria Teresa Romero                        </t>
  </si>
  <si>
    <t>93161800</t>
  </si>
  <si>
    <t>Servicios profesionales de asesoría permanente y emisión de conceptos en materia tributaria, aplicable a los impuestos nacionales y municipales, así como servicio de soporte en los procesos de planeación, supervisión y revisión de la declaración del Impuesto sobre la Renta y Complementarios y brindar apoyo en la contestación de requerimientos realizados por los entes de control a nivel interno y externo.</t>
  </si>
  <si>
    <t>1096</t>
  </si>
  <si>
    <t>JENNY AREVALO</t>
  </si>
  <si>
    <t>94101610</t>
  </si>
  <si>
    <t>Afiliar a La Previsora S.A. Compañía de Seguros a la agremiación durante el periodo Junio 2023 a Mayo de 2024.</t>
  </si>
  <si>
    <t>214</t>
  </si>
  <si>
    <t>Participación a las 47 Jornadas Colombianas de Derecho Tributario.</t>
  </si>
  <si>
    <t>80101505</t>
  </si>
  <si>
    <t>Prestar los servicios especializados para la consultoría, acompañamiento y capacitación a los funcionarios de LA PREVISORA S.A. en la aplicación de las Normas Internacionales de Información Financiera (NIIF).</t>
  </si>
  <si>
    <t>HONORARIOS_ADMINISTRATIVOS</t>
  </si>
  <si>
    <t>80121607</t>
  </si>
  <si>
    <t>Previsora requiere una opinión legal actualizada en la cual se indique, con base en las nuevas regulaciones, si se encuentra obligado a enviar reportes frente en cumplimiento de las disposiciones FATCA y CRS.</t>
  </si>
  <si>
    <t>Inés Nieto Quintero</t>
  </si>
  <si>
    <t>Servicio de consulta de listas restrictivas</t>
  </si>
  <si>
    <t>Carolina Osorio</t>
  </si>
  <si>
    <t>Servicios profesionales  especializados, para la ejecución de las actividades de planeación, control, dirección y realización de acciones que permitan la adecuada gestión, operación, monitoreo,  mejora, mantenimiento y madurez del Sistema de Seguridad de la Información (SGSI) y Ciberseguridad</t>
  </si>
  <si>
    <t>Sandra Cediel</t>
  </si>
  <si>
    <t>43231500</t>
  </si>
  <si>
    <t>Servicio para el diligenciamiento de manera virtual del formulario de conocimiento del cliente.</t>
  </si>
  <si>
    <t>84121802</t>
  </si>
  <si>
    <t>Proveeduría del calculo del CVA,DVA y factor de voltilidad para las inversiones en instrumentos derivados.</t>
  </si>
  <si>
    <t>Sebastian Rivera</t>
  </si>
  <si>
    <t>Plan de continuidad de negocio</t>
  </si>
  <si>
    <t>Servicios de conusltoria para marco de apetito de riesgos.</t>
  </si>
  <si>
    <t>Margarita González</t>
  </si>
  <si>
    <t>81112218</t>
  </si>
  <si>
    <t>Servicio de licenciamiento, mantenimiento y actualización del Software Midas</t>
  </si>
  <si>
    <t xml:space="preserve">servicios profesionales de abogado, analizando y proyectando lasdecisiones de segunda instancia de los procesos disciplinarios </t>
  </si>
  <si>
    <t>Cindy Katherine Rincon</t>
  </si>
  <si>
    <t>Servicios profesionales para apoyar y asesorar a la Presidencia</t>
  </si>
  <si>
    <t>Retos de InnovaciónEjercicio de innovación abierta. Consultoria. Mediante diferentes técnicas lanza un reto que se establece desde previsora, y la empresa convoca a diferentes participantes para que con su asesoría planteen una solución innovadora</t>
  </si>
  <si>
    <t>Cesar Esteban Tenorio / Mitzi Tatiana Ferro</t>
  </si>
  <si>
    <t>Auditoria Icontec | Seguimiento en ISO 9001:2015 y 14001:2015Auditoria Icontec | Sello Buenas Prácticas de Innovación</t>
  </si>
  <si>
    <t>Natalia Gómez Lara / Mitzi Tatiana Ferro</t>
  </si>
  <si>
    <t>81111504</t>
  </si>
  <si>
    <t>Herramienta AgilitySuministro de licencias que permita el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</si>
  <si>
    <t>Rossmary Pulido Amézquita</t>
  </si>
  <si>
    <t>IsoluciónSoporte y Mantenimiento anual de la herramienta de Gestión Documental Isolución</t>
  </si>
  <si>
    <t>John Javier Mejia Tolosa</t>
  </si>
  <si>
    <t>LA PREVISORA S.A. requiere contratar los servicios especializados de una empresa que tenga experiencia en desarrollo de soluciones digitales por medio del canal Whatsapp Business y Whatsapp Business API</t>
  </si>
  <si>
    <t>Maria Lucía Lleras</t>
  </si>
  <si>
    <t>43232400</t>
  </si>
  <si>
    <t>EL PROVEEDOR se obliga con LA PREVISORA S.A., a prestar los servicios especializados por demanda de una fábrica de software de nivel cinco (5), de acuerdo con el modelo CMMI, que garantice la integración con aplicaciones legadas, optimizaciones de los productos existentes y en construcción de nuevos productos y servicios de software con plataformas modernas, alineadas con las nuevas prácticas ágiles de la industria que mantengan y fortalezcan el logro de la estrategia de transformación digital de la Previsora</t>
  </si>
  <si>
    <t>Joel Armando Romero Ramirez</t>
  </si>
  <si>
    <t>Asesorias y/o apoyo para la ejecución e implementación de la estrategia</t>
  </si>
  <si>
    <t>81112103</t>
  </si>
  <si>
    <t>Dar continuidad a la evolución y desarrollo de servicios asociados al portal transaccional de de intermediarios desarrollado previamente dentro del proyecto de página web 2.0</t>
  </si>
  <si>
    <t>LA PREVISORA S.A. requiere contratar los servicios especializados de una empresa que brinde el apoyo para la adopción de una tecnología de integración de información desde tipos de fuente estructurada y no estructurada y su posterior centralización en una colocación de información gobernada, que facilite la aplicación de ejercicios de calidad, metadata y rastreo de información y permitan el desarrollo de un almacén de datos que fomente la confiablidad de los datos y el enriquecimiento de los mismos, para la aplicación de ejercicios de analítica de datos avanzados.(honorios 640 y arrendamiento 560)</t>
  </si>
  <si>
    <t>LA PREVISORA S.A. Requiere contratar los servicios especializados de una empresa que ayude a apalancar el levantamiento, especificación, definición, desarrollo e implementación de modelos analíticos que bajo el uso de métodos de machine learning, Deep learning, inteligencia artificial, minería de datos u otras herramientas  relacionadas, permitan a la organización incorporar estas capacidades en particular para el desarrollo de ejercicios de segmentación, clasificación, venta cruzada, prevención de fraude, churn, entre otros.</t>
  </si>
  <si>
    <t>83121600</t>
  </si>
  <si>
    <t>LA PREVISORA S.A. Requiere contratar los servicios especializados de una empresa que apoye la generación de programas de formación de habilidades duras y blandas  enfocados en el desarrollo de habilidades digitales en temáticas como la ciencia de datos, el desarrollo y administración de software, base de datos, marketing digital, digitalización de servicios y nuevas formas de trabajo con base al mundo digital.</t>
  </si>
  <si>
    <t>94101503</t>
  </si>
  <si>
    <t>Contratar la suscripción a la membresía de la Asociación Colombiana de Empresas de Tecnología e Innovación Financiera - Colombia Fintech.</t>
  </si>
  <si>
    <t>Wendy Jimenez</t>
  </si>
  <si>
    <t>81141902</t>
  </si>
  <si>
    <t>Suscripcion de Tiendas y Productos Digitales</t>
  </si>
  <si>
    <t>Consultoria para la definición del plan de implementación del programa de descarbonización</t>
  </si>
  <si>
    <t>Apoyo en comunicación y divulgación  de la estrategia</t>
  </si>
  <si>
    <t>43232305</t>
  </si>
  <si>
    <t>Contratación herramienta de generación de reportes para cumplir norma de solvencia</t>
  </si>
  <si>
    <t>Realizar una consultoría para la revisión, estudio, análisis, evaluación y propuesta para la selección del ERP financiero</t>
  </si>
  <si>
    <t>81111508</t>
  </si>
  <si>
    <t>GIGA COLOMBIA_HORAS PARA DESARROLLOS</t>
  </si>
  <si>
    <t>SAÚL MARTÍN_NELSON CAMACHO</t>
  </si>
  <si>
    <t>81112300</t>
  </si>
  <si>
    <t>BIOMÉTRICOS PARA TRANSMISIÓN A ENTES DE CONTROL</t>
  </si>
  <si>
    <t>JUAN DIEGO_ SERGIO SUÁREZ</t>
  </si>
  <si>
    <t xml:space="preserve">SISTEMA GRABACIÓN DE LLAMADAS </t>
  </si>
  <si>
    <t>JUAN DIEGO_MANUEL CÁRDENAS</t>
  </si>
  <si>
    <t>APP VULNERABILIDADES</t>
  </si>
  <si>
    <t>JUAN DIEGO_LORENA PEDROZA</t>
  </si>
  <si>
    <t>80101507</t>
  </si>
  <si>
    <t>ENTIDAD CERTIFICADORA</t>
  </si>
  <si>
    <t>SISE</t>
  </si>
  <si>
    <t>1065</t>
  </si>
  <si>
    <t>SAÚL MARTÍN_ DELFIN ALEXANDER</t>
  </si>
  <si>
    <t>ARRENDAMIENTO - EQUIPOS DE CÓMPUTO</t>
  </si>
  <si>
    <t xml:space="preserve">GIGA COLOMBIA_SOPORTE </t>
  </si>
  <si>
    <t>SAÚL MARTÍN_ NELSON ANDRÉS_ DELFIN ALEXANDER_ RAMÓN HERNANDO</t>
  </si>
  <si>
    <t>43231501</t>
  </si>
  <si>
    <t>MESA DE AYUDA DE SERVICIOS</t>
  </si>
  <si>
    <t>JUAN DIEGO_ ÁNGEL ANDRÉS</t>
  </si>
  <si>
    <t>LICENCIAMIENTO PLATAFORMA DE INTEROPERABILIDAD</t>
  </si>
  <si>
    <t>JIMMY PEDROZA_ CARLOS ALBERTO</t>
  </si>
  <si>
    <t>EQUIPO EXPERTO QUE HACE LA IMPLEMENTACIÓN DE LA PLATAFORMA DE INTEROPERABILIDAD</t>
  </si>
  <si>
    <t>DESARROLLOS Y AJUSTES DE LOS WEBSERVICES DE LA COMPAÑÍA_INTEROPERABILIDAD</t>
  </si>
  <si>
    <t>FÁBRICA DE PRUEBAS</t>
  </si>
  <si>
    <t>DELFIN ALEXANDER</t>
  </si>
  <si>
    <t>81112306</t>
  </si>
  <si>
    <t>OUTSORCING DE IMPRESIÓN</t>
  </si>
  <si>
    <t>JUAN DIEGO_ÁNGEL ANDRES</t>
  </si>
  <si>
    <t>ADQUISICIÓN UPS</t>
  </si>
  <si>
    <t>MANUEL CÁRDENAS_JUAN DIEGO</t>
  </si>
  <si>
    <t xml:space="preserve">SISTEMA DE GESTIÓN PRESUPUESTAL </t>
  </si>
  <si>
    <t>DELFIN ALEXANDER_RAMÓN HERNANDO</t>
  </si>
  <si>
    <t>TELEFONÍA VOIP</t>
  </si>
  <si>
    <t>JUAN DIEGO_ MANUEL ANTONIO</t>
  </si>
  <si>
    <t>CERTIMAIL_CERTIFICADOS DE FIRMAS DIGITALES</t>
  </si>
  <si>
    <t>JUAN DIEGO_ ÁNGELA ALEXANDRA_ LORENA PEDROZA_NELSON ANDRÉS</t>
  </si>
  <si>
    <t>PROGRAMA DE ARQUITECTURA EMPRESARIAL</t>
  </si>
  <si>
    <t>SWITCHES</t>
  </si>
  <si>
    <t>REFUERZO NAC</t>
  </si>
  <si>
    <t xml:space="preserve">CERTIFICADOS TRIBUTARIOS </t>
  </si>
  <si>
    <t>DELFIN ALEXANDER_ JUAN CARLOS</t>
  </si>
  <si>
    <t>SOATSOFT  -  SUPERSOFT</t>
  </si>
  <si>
    <t>DELFIN ALEXANDER_ DIANA MARULANDA</t>
  </si>
  <si>
    <t>Arrandamiento Herramienta de seguimiento de riesgo Agropecuario</t>
  </si>
  <si>
    <t>31161500</t>
  </si>
  <si>
    <t>Suministro y distribución continua de herramientas, materiales de construcción, materiales eléctricos y de ferretería.</t>
  </si>
  <si>
    <t>Diana Patricia Martínez/Magda Rodríguez</t>
  </si>
  <si>
    <t>47131700;95121503;14111828</t>
  </si>
  <si>
    <t>Suministro y distribución de elementos de oficina, útiles, papelería, cafetería y aseo a nivel nacional, así como a elaborar, suministrar y distribuir formas preimpresas especiales.</t>
  </si>
  <si>
    <t>PLAN INTEGRADO DE ACCIÓN ANUAL 2023 - PLAN ESTRATÉGICO DE TALENTO HUMANO</t>
  </si>
  <si>
    <t>TOTAL CUMPLIMIENTO I SEMESTRE</t>
  </si>
  <si>
    <t>TOTAL CUMPLIMIENTO II SEMESTRE</t>
  </si>
  <si>
    <t>Cumplimiento del Plan Institucional de Capacitación</t>
  </si>
  <si>
    <t>Actividades ejecutadas del Plan de Capacitación/Actividades planeadas en el Plan de Capacitación)x100</t>
  </si>
  <si>
    <t>Presupuesto definido para el rubro de Capacitación y de acuerdo al programa y población final</t>
  </si>
  <si>
    <t>Presupuesto  autorizado para el rubro de Capacitación de personal y congresos, foros, seminarios y similares</t>
  </si>
  <si>
    <t>Febrero</t>
  </si>
  <si>
    <t>Diciembre</t>
  </si>
  <si>
    <t>Cumplimiento del Plan de incentivos institucionales</t>
  </si>
  <si>
    <t>(Actividades ejecutadas del plan de incentivos/ actividades planeadas en el plan de incentivos)*100</t>
  </si>
  <si>
    <t>Presupuesto definido para el rubro de Premios Concursos Internos</t>
  </si>
  <si>
    <t>Cumplir con el Plan Anual de Seguridad y Salud en el Trabajo</t>
  </si>
  <si>
    <t>(Actividades ejecutadas del plan de seguridad y salud en el trabajo/ actividades planeadas en el plan de seguridad y salud en el trabajo)*100.</t>
  </si>
  <si>
    <t>Presupuesto definido para el Rubro de Programas de Bienestar Social y Recreación</t>
  </si>
  <si>
    <t>Presupuesto definido para el Rubro de Programas de Binestar Social y Recreación</t>
  </si>
  <si>
    <t>Noviembre</t>
  </si>
  <si>
    <t>Gestión de alto desempeño</t>
  </si>
  <si>
    <t>(Número de empleados con resultado de evaluación del 85% o mas / Número total de evaluaciones realizadas) x 100</t>
  </si>
  <si>
    <t>Presupuesto definido para el Rubro de Selección de Personal</t>
  </si>
  <si>
    <t>Anual</t>
  </si>
  <si>
    <t>Enero</t>
  </si>
  <si>
    <t>PLAN INTEGRADO DE ACCIÓN ANUAL 2023 - PLAN INSTITUCIONAL DE CAPACITACIÓN</t>
  </si>
  <si>
    <t>FACULTAD</t>
  </si>
  <si>
    <t>PROGRAMA</t>
  </si>
  <si>
    <t>OBJETIVO PIC</t>
  </si>
  <si>
    <t>FORMADOR</t>
  </si>
  <si>
    <t>MODALIDAD</t>
  </si>
  <si>
    <t>TIPO</t>
  </si>
  <si>
    <t>POBLACIÓN A IMPACTAR</t>
  </si>
  <si>
    <t>DURACIÓN (HRS)</t>
  </si>
  <si>
    <t># FUNCIONARIOS</t>
  </si>
  <si>
    <t>(PREPARACIÓN ACADEMICA)</t>
  </si>
  <si>
    <t>(EJECUCIÓN ACADEMICA)</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</si>
  <si>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</si>
  <si>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</si>
  <si>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</si>
  <si>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</si>
  <si>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</si>
  <si>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a las necesidades de las áreas</t>
  </si>
  <si>
    <t>De acuerdo al programa que se defina x necesidades</t>
  </si>
  <si>
    <t>Enero - Mayo</t>
  </si>
  <si>
    <t>Segundo semestre</t>
  </si>
  <si>
    <t>CAPACIDADES HUMANAS</t>
  </si>
  <si>
    <t>EXPERIENCIAL DEL CLIENTE</t>
  </si>
  <si>
    <t>Desarrollar conocimientos que permitan crear valor de manera apropiada, diferencial y continua para los clientes objetivo de Previsora</t>
  </si>
  <si>
    <t>Segundo trimestre</t>
  </si>
  <si>
    <t>TRANSFORMACIÓN DIGITAL</t>
  </si>
  <si>
    <t>Desarrollar las competencias y habilidades digitales de los funcionarios para crear y mejorar productos y servicios</t>
  </si>
  <si>
    <t>Febrero - Mayo</t>
  </si>
  <si>
    <t>CAPACIDADES MEDULARES</t>
  </si>
  <si>
    <t>CURSOS NORMATIVOS</t>
  </si>
  <si>
    <t xml:space="preserve">Fortalecer los conocimientos de la organización a través de los Cursos Normativos </t>
  </si>
  <si>
    <t>OBLIGATORIO</t>
  </si>
  <si>
    <t>Funcionarios de Planta</t>
  </si>
  <si>
    <t>De acuerdo al programa o tipo de formación que se defina.</t>
  </si>
  <si>
    <t>Presupuesto definido para el rubro de Capacitación y de acuerdo al programa final</t>
  </si>
  <si>
    <t>Enero-Febrero</t>
  </si>
  <si>
    <t>ANÁLITICA DE DATOS</t>
  </si>
  <si>
    <t>Fortalecer los conocimientos para la toma de decisiones apalancadas en un modelo de analítica de datos que trasciendan a toda la organización.</t>
  </si>
  <si>
    <t>Primer trimestre</t>
  </si>
  <si>
    <t>Segundo Trimestre</t>
  </si>
  <si>
    <t>CULTURA ORGANIZACIONAL</t>
  </si>
  <si>
    <t>FORMACIÓN INTERNA EN PROCESOS DE LA COMPAÑÍA</t>
  </si>
  <si>
    <t xml:space="preserve">Brindar y gestionar capacitaciones adicionales producto de cambios en los procesos o información de interes que se requiera difundir por las áreas. </t>
  </si>
  <si>
    <t>En el transcurso del año de acuerdo a los requerimientos de las áreas</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</si>
  <si>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</si>
  <si>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</si>
  <si>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</si>
  <si>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</si>
  <si>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PLAN INTEGRADO DE ACCIÓN ANUAL 2023 - PLAN DE INCENTIVOS INSTITUCIONALES</t>
  </si>
  <si>
    <t>CATEGORÍA</t>
  </si>
  <si>
    <t>NOMBRE DE LA ACTIVIDAD</t>
  </si>
  <si>
    <t>DESCRIPCIÓN DE LA ACTIVIDAD</t>
  </si>
  <si>
    <t>AREA LIDER</t>
  </si>
  <si>
    <t>PREMIO</t>
  </si>
  <si>
    <t>(REALIZACIÓN)</t>
  </si>
  <si>
    <t>(PREMIACIÓN)</t>
  </si>
  <si>
    <t>PLAN DE INCENTIVOS INSTITUCIONALES</t>
  </si>
  <si>
    <t>GESTIÓN DEL DESEMPEÑO</t>
  </si>
  <si>
    <t>Reconocimiento Evaluación de Desempeño</t>
  </si>
  <si>
    <t>Se reconocerá el desempeño eficiente y sobresaliente por la calificación de evaluación de desempeño recibida durante el año inmediatamente anterior a los colaboradores que en su evaluación obtengan un puntaje superior al 95% y que hayan cumplido al 100% con su oferta de formación.</t>
  </si>
  <si>
    <t>Bonos</t>
  </si>
  <si>
    <t>INDIVIDUAL</t>
  </si>
  <si>
    <t>FUNCIONARIOS DE PLANTA</t>
  </si>
  <si>
    <t>DESARROLLO Y CULTURA</t>
  </si>
  <si>
    <t>Programa de Cultura</t>
  </si>
  <si>
    <t>Se reconocerá el equipo y/o las personas que participen activamente en los procesos de formación y de cultura que sean estratégicos para el cumplimiento de los objetivos de la compañía   definidos en el plan de incentivos</t>
  </si>
  <si>
    <t>Bonos o Puntos Compensar</t>
  </si>
  <si>
    <t>#SEREXPERIENCIA</t>
  </si>
  <si>
    <t>Encuesta de Servicio - Cliente Interno y final</t>
  </si>
  <si>
    <t>Reconocer a las cuatro (4)  áreas de Casa Matriz que obtengan las mejores calificaciones en la encuesta cliente interno y a las cuatro (4) Sucursales con las mejores calificaciones en la encuesta de cliente final.</t>
  </si>
  <si>
    <t>TRANSFORMACIÓN DIGITAL E INNOVACIÓN</t>
  </si>
  <si>
    <t>Programa de Transformación digital e Innovación</t>
  </si>
  <si>
    <t>Se reconocerán aquellas personas que se postulen como embajadores de innovación, quienes apalancarán el desarrollo de actividades clave en sus núcleos de trabajo, demostrando disciplina, liderazgo y conocimiento en las metodologías y herramientas de innovación definidas por la Gerencia de Innovación y Procesos.</t>
  </si>
  <si>
    <t>GERENCIA DE INNOVACIÓN</t>
  </si>
  <si>
    <t>DIMENSIÓN 2. DIRECCIONAMIENTO ESTRATÉGICO</t>
  </si>
  <si>
    <t xml:space="preserve">D2. PLANEACIÓN INSTITUCIONAL </t>
  </si>
  <si>
    <t>NUESTRA ESTRATEGIA</t>
  </si>
  <si>
    <t>Estrategia Corporativa</t>
  </si>
  <si>
    <t>Incentivar a los funcionarios de la compañía que participen activamente en las actividades propuesta para la socialización e implementación de la estrategia.</t>
  </si>
  <si>
    <t>PARTICIPACIÓN EN EVENTOS</t>
  </si>
  <si>
    <t>Participación en eventos deportivos en nombre de la Compañía</t>
  </si>
  <si>
    <t>Fomentar la participación destacada por parte de funcionarios que representen a Previsora S.A. en actividades deportivas lideradas por entes externos</t>
  </si>
  <si>
    <t>PLAN INTEGRADO DE ACCIÓN ANUAL 2023 - PLAN ANUAL DE SEGURIDAD Y SALUD EN EL TRABAJO</t>
  </si>
  <si>
    <t>OBJETIVO DEL SG-SST</t>
  </si>
  <si>
    <t>ESTANDAR</t>
  </si>
  <si>
    <t>PROGRAMA O TEMA RELACIONADO</t>
  </si>
  <si>
    <t>ACTIVIDAD</t>
  </si>
  <si>
    <t>RESPONABLE</t>
  </si>
  <si>
    <t>FRECUENCIA</t>
  </si>
  <si>
    <t>14. Cumplir la normatividad nacional vigente aplicable en materia de riesgos laborales.</t>
  </si>
  <si>
    <t>E1. RECURSOS</t>
  </si>
  <si>
    <t>RESPONSABILIDADES</t>
  </si>
  <si>
    <t>Actualizar designacion del Responsable de SST en casa matriz.  Divulgar las responsabilidades en SST a todos los niveles</t>
  </si>
  <si>
    <t>COLECTIVO</t>
  </si>
  <si>
    <t>Carta de designacón de responsable del SGSST</t>
  </si>
  <si>
    <t>Asignados por parte de la ARL</t>
  </si>
  <si>
    <t>E2. GESTIÓN INTEGRAL DEL SG-SST</t>
  </si>
  <si>
    <t>DOCUMENTACIÓN</t>
  </si>
  <si>
    <t>Realizar actualizacion de los documentos y registros del SG</t>
  </si>
  <si>
    <t>Documentos actualizados del SGSST</t>
  </si>
  <si>
    <t xml:space="preserve">NORMATIVIDAD VIGENTE EN SST </t>
  </si>
  <si>
    <t>Actualización de la Matriz Legal en SST</t>
  </si>
  <si>
    <t>Matriz de requisitos legales SGSST</t>
  </si>
  <si>
    <t>2. Implementar acciones de mejora eficaces en los procesos que minimicen la recurrencia de errores.</t>
  </si>
  <si>
    <t>CONTRATISTAS</t>
  </si>
  <si>
    <t>Revision del procedimiento, actualizacion de la relación de los proveedores</t>
  </si>
  <si>
    <t xml:space="preserve">Instructivo </t>
  </si>
  <si>
    <t>E3. GESTIÓN DE LA SALUD</t>
  </si>
  <si>
    <t xml:space="preserve">PROGRAMA DE VIGILANCIA EPIDEMIOLOGICA OSTEOMUSCULAR </t>
  </si>
  <si>
    <t>Actualización del Programa de Vigilancia Epidemiologica Osteomuscular y Plan de acción</t>
  </si>
  <si>
    <t>Documento PVE</t>
  </si>
  <si>
    <t xml:space="preserve">PROGRAMA DE VIGILANCIA EPIDEMIOLOGICA PSICOSOCIAL </t>
  </si>
  <si>
    <t>Actualización del Programa de Vigilancia Epidemiologica Psicosocial y Plan de acción</t>
  </si>
  <si>
    <t xml:space="preserve">PYP. PROGRAMA ESTILOS DE VIDA SALUDABLE </t>
  </si>
  <si>
    <t xml:space="preserve">Diseño de la politica para la intervención y prevención de Alcohol, tabaquismo y sustancias psicoactivas </t>
  </si>
  <si>
    <t>Documento politica</t>
  </si>
  <si>
    <t xml:space="preserve">PERFIL SOCIODEMOGRAFICO </t>
  </si>
  <si>
    <t xml:space="preserve">Actualización de los datos para el Perfil Sociodemografico </t>
  </si>
  <si>
    <t>informe perfil sociodemografico</t>
  </si>
  <si>
    <t>Propios de la compañia</t>
  </si>
  <si>
    <t>INDICADORES</t>
  </si>
  <si>
    <t>Actualizar estadistica y seguimiento de EL y AT</t>
  </si>
  <si>
    <t>Matriz de indicadores SGSST</t>
  </si>
  <si>
    <t>13. Asegurar la identificación, evaluación e intervención de los diferentes factores de riesgos y peligros significativos para la salud de los trabajadores.</t>
  </si>
  <si>
    <t>E4. GESTIÓN DE LOS PELIGROS Y RIESGOS</t>
  </si>
  <si>
    <t xml:space="preserve">IPEVR - MATRICES DE PELIGROS </t>
  </si>
  <si>
    <t>Actualizar las matrices de peligros y riesgos</t>
  </si>
  <si>
    <t>Matriz de peligros y riesgos</t>
  </si>
  <si>
    <t>E5. GESTIÓN DE LAS AMENAZAS</t>
  </si>
  <si>
    <t>PLAN DE EMERGENCIAS</t>
  </si>
  <si>
    <t>Actualización y divulgacion de planes emergencias incluyendo planos, elementos de seguridad y brigadas</t>
  </si>
  <si>
    <t>Documento plan de emergencia</t>
  </si>
  <si>
    <t>COPASST</t>
  </si>
  <si>
    <t>Acompañamiento a reuniones mensuales</t>
  </si>
  <si>
    <t>Acta de reunion</t>
  </si>
  <si>
    <t>Capacitaciones a integrantes de comité</t>
  </si>
  <si>
    <t>Acta de asistencia a capacitaciones</t>
  </si>
  <si>
    <t xml:space="preserve">POLITICA Y OBJETIVOS DEL SG SST </t>
  </si>
  <si>
    <t>Divulgar la Politica y objetivos del SG</t>
  </si>
  <si>
    <t>Soportes de divulgación, correos y comunicados y publicaciones</t>
  </si>
  <si>
    <t>EVALUACIÓN DEL SG</t>
  </si>
  <si>
    <t>Reportar evaluacion de estandares minimos del SG SST ante el Ministerio de Trabajo y la ARL</t>
  </si>
  <si>
    <t>Informe de calificacion de estandares minimos</t>
  </si>
  <si>
    <t>Evaluacion de cumplimiento legal</t>
  </si>
  <si>
    <t>formato de evaluacion cumplimiento legal</t>
  </si>
  <si>
    <t>Socialización de las responsabilidades en SST a los Supervisores de Contrato de Previsora</t>
  </si>
  <si>
    <t>Induccion a proveedores nuevos</t>
  </si>
  <si>
    <t>Aplicación de prueba tamiz y morbilidad sentida, diagnostico</t>
  </si>
  <si>
    <t>Informe de morbilidad</t>
  </si>
  <si>
    <t xml:space="preserve">Consolidación de información de condiciones medicas osteomusculares de los funcionarios de acuerdo a los examenes y calificaciones </t>
  </si>
  <si>
    <t>Informe de examenes medicos</t>
  </si>
  <si>
    <t>Intervención a funcionarios que manifiesten sintomatologia osteomuscular en casa u oficina, inspección a su puesto de trabajo con fisioterapeuta.</t>
  </si>
  <si>
    <t>Soporte de seguimiento a estado de salud</t>
  </si>
  <si>
    <t xml:space="preserve">Entrega de elementos de confort Casa Matriz y Sucursales </t>
  </si>
  <si>
    <t>Formato de entrega de EPP</t>
  </si>
  <si>
    <t xml:space="preserve">Campañas de Prevención de Riesgo Biomecanico, PAUSAS ACTIVAS </t>
  </si>
  <si>
    <t>12. Prevenir la ocurrencia de accidentes y enfermedades laborales.</t>
  </si>
  <si>
    <t>Intervención riesgo Psicosocial según resultados</t>
  </si>
  <si>
    <t>BIOSEGURIDAD</t>
  </si>
  <si>
    <t>Seguimiento, actualización y divulgación de medidas Generales de bioseguridad</t>
  </si>
  <si>
    <t>Desarrollo de actividades de intervención</t>
  </si>
  <si>
    <t>Desarrollo Semana vida saludable a nivel nacional</t>
  </si>
  <si>
    <t xml:space="preserve">Acta de asistencia a capacitaciones </t>
  </si>
  <si>
    <t xml:space="preserve">EVALUACIONES MEDICAS OCUPACIONALES </t>
  </si>
  <si>
    <t>Programación de examenes ocupacionales periodicos y notificacion de resultados, diagnostico de condiciones de salud</t>
  </si>
  <si>
    <t>Correo de notificacion y programacion de cita medica</t>
  </si>
  <si>
    <t>Gestionar casos de presunta enfermedad laboral o común que requiera manejo y seguimiento específico.</t>
  </si>
  <si>
    <t>Correo y acta de entrega de documentación</t>
  </si>
  <si>
    <t xml:space="preserve">MECANISMOS DE VIGILANCIA DE CONDICIONES DE SALUD </t>
  </si>
  <si>
    <t>Caraterización del ausentismo</t>
  </si>
  <si>
    <t>Mesas Laborales ARL POSITIVA</t>
  </si>
  <si>
    <t>REPORTE E INVESTIGACIÓN AT/EL</t>
  </si>
  <si>
    <t>Acompañar las investigaciones junto con el equipo investigador cada vez que  se presente un evento AT/EL (hacer seguimiento)</t>
  </si>
  <si>
    <t>Formato de investigacion de AL/EL</t>
  </si>
  <si>
    <t>PREVENCIÓN AT</t>
  </si>
  <si>
    <t>Ejecutar las actividades de prevencion de lesiones deportivas y caidas a nivel</t>
  </si>
  <si>
    <t>Desarrollo de simulacro de emergencia</t>
  </si>
  <si>
    <t>Informe de simulacro y registyro fotografico</t>
  </si>
  <si>
    <t>E6. VERIFICACIÓN DEL SG-SST</t>
  </si>
  <si>
    <t>Calcular indicadores de SST y reportar al BSC</t>
  </si>
  <si>
    <t>AUDITORIA</t>
  </si>
  <si>
    <t>Atender auditoria interna del SG</t>
  </si>
  <si>
    <t>Informe de resultados</t>
  </si>
  <si>
    <t>PRESUPUESTO</t>
  </si>
  <si>
    <t>Realizar seguimiento al presupuesto</t>
  </si>
  <si>
    <t>Soporte de ejecucion de presupuesto</t>
  </si>
  <si>
    <t>SEGURIDAD SOCIAL</t>
  </si>
  <si>
    <t>Solicitar a revisoria fiscal certificacion de pago de aportes de SS</t>
  </si>
  <si>
    <t>Soportes de pago</t>
  </si>
  <si>
    <t xml:space="preserve">COMITÉ DE CONVIVENCIA LABORAL </t>
  </si>
  <si>
    <t>Solicitar actas de reunion e informes de gestion</t>
  </si>
  <si>
    <t>Actas de reunion</t>
  </si>
  <si>
    <t>CAPACITACION Y COMUNICACIONES</t>
  </si>
  <si>
    <t>Conservar evidencias de inducciones en SST</t>
  </si>
  <si>
    <t>RENDICION DE CUENTAS</t>
  </si>
  <si>
    <t xml:space="preserve">Realizar rendicion de cuentas sobre el desempeño de los trabajadores en SST </t>
  </si>
  <si>
    <t>Informe de proceso de revision</t>
  </si>
  <si>
    <t>Reuniones de seguimiento al  cumplimiento de SST por parte de los Proveedores  clase de riesgo IV y V</t>
  </si>
  <si>
    <t>Fotrmato de evaluacion</t>
  </si>
  <si>
    <t>GESTION DE CAMBIO</t>
  </si>
  <si>
    <t>Realizar seguimiento al reporte de los cambios presentados</t>
  </si>
  <si>
    <t>Formato de control de cambios</t>
  </si>
  <si>
    <t>Revisión de la realización de examenes Post Incapacidad</t>
  </si>
  <si>
    <t>REPORTE E INVESTIGACION AT/EL</t>
  </si>
  <si>
    <t>Realizar seguimiento a la ejecución de  los planes de accion de las no conformidades derivadas por AT/EL</t>
  </si>
  <si>
    <t>Matriz de planes de acción</t>
  </si>
  <si>
    <t xml:space="preserve">Verificar la implementación de las acciones de intervención y control para los riesgos prioritrios (No aceptables y  Aceptables con Control) </t>
  </si>
  <si>
    <t xml:space="preserve">INSPECCIONES DE SEGURIDAD </t>
  </si>
  <si>
    <t>Realizar seguimiento a inspecciones planeadas según Cronograma de inspecciones de Seguridad</t>
  </si>
  <si>
    <t>Formato de inspecciones</t>
  </si>
  <si>
    <t>Realizar seguimiento del plan SST/indicadores por parte de la Subgerencia</t>
  </si>
  <si>
    <t>REVISION POR LA DIRECCION</t>
  </si>
  <si>
    <t>Realizar Revisión por la dirección del SG SST</t>
  </si>
  <si>
    <t>E7. MEJORAMIENTO</t>
  </si>
  <si>
    <t>ACCIONES PREVENTIVAS, CORRECTIVAS Y DE MEJORA</t>
  </si>
  <si>
    <t>Definicion y seguimiento a las acciones preventivas  corrrectivas y de mejora derivadas de la gestion del SG SST</t>
  </si>
  <si>
    <t>PLAN INTEGRADO DE ACCIÓN ANUAL 2023 - PLAN ANTICORRUPCIÓN Y DE ATENCIÓN AL CIUDADANO</t>
  </si>
  <si>
    <t>I CUATRIMESTRE</t>
  </si>
  <si>
    <t>II CUATRIMESTRE</t>
  </si>
  <si>
    <t>III CUATRIMESTRE</t>
  </si>
  <si>
    <t>Actividad del Plan No.</t>
  </si>
  <si>
    <t>Subactividad No.</t>
  </si>
  <si>
    <t>COMPONENTE</t>
  </si>
  <si>
    <t>ACTIVIDAD CUATRIENAL</t>
  </si>
  <si>
    <t>ENTREGABLE</t>
  </si>
  <si>
    <t>PLANEACIÓN</t>
  </si>
  <si>
    <t>Peso</t>
  </si>
  <si>
    <t>% Avance Cuatrimestre I</t>
  </si>
  <si>
    <t>% Avance Cuatrimestre II</t>
  </si>
  <si>
    <t>% Avance Cuatrimestre III</t>
  </si>
  <si>
    <t>% Avance I C</t>
  </si>
  <si>
    <t>Seguimiento I Cuatrimestre</t>
  </si>
  <si>
    <t>% Avance II C</t>
  </si>
  <si>
    <t>Seguimiento II Cuatrimestre</t>
  </si>
  <si>
    <t>% Avance III C</t>
  </si>
  <si>
    <t>Seguimiento III Cuatrimestre</t>
  </si>
  <si>
    <t>Peso Componente</t>
  </si>
  <si>
    <t>P</t>
  </si>
  <si>
    <t>E</t>
  </si>
  <si>
    <t>GERENCIA DE RIESGOS</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</si>
  <si>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</si>
  <si>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</si>
  <si>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</si>
  <si>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</si>
  <si>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Fortalecer la cultura de gestión de riesos de corrupción en la Compañía a traves del envió de manera cuatrimestral  de comunicados alusivos al tema.</t>
  </si>
  <si>
    <t>Correo de comunicado publicado.</t>
  </si>
  <si>
    <t>Gestionar los casos reportados mediante los canales de denuncia</t>
  </si>
  <si>
    <t>Relación de casos gestionados</t>
  </si>
  <si>
    <r>
      <t>GERENCIA DE INNOVACIÓN Y PROCESOS</t>
    </r>
    <r>
      <rPr>
        <sz val="11"/>
        <color rgb="FF000000"/>
        <rFont val="Calibri"/>
        <family val="2"/>
        <scheme val="minor"/>
      </rPr>
      <t xml:space="preserve"> / GERENCIA DE RIESGOS / VP COMERCIAL / GERENCIA DE TALENTO HUMANO / GERENCIA DE SERVICIO / OFICINA DE CONTROL INTERNO DISCIPLINARIO / JEFE OFICINA MERCADEO Y PUBLICIDAD / SECRETARÍA GENERAL</t>
    </r>
  </si>
  <si>
    <t>Revisar y actualizar el Manual de Políticas del Plan Anticorrupción y Atención al Ciudadano, fortaleciendo principalmente los componentes de riesgos anticorrupción, Rendición de Cuentas y Transparencia</t>
  </si>
  <si>
    <t>Manual actualizado con todos los componentes</t>
  </si>
  <si>
    <t>Meta: 100% avance en la actualización del Manual a 31 de diciembre de 2023</t>
  </si>
  <si>
    <t>JEFE OFICINA DE MERCADEO Y PUBLICIDAD, PROFESIONAL OFICINA MERCADEO Y PUBLICIDAD</t>
  </si>
  <si>
    <t>TERCER COMPONENTE: RENDICIÓN DE CUENTAS: Subcomponente 1</t>
  </si>
  <si>
    <t>Publicar el primer informe  periódico de rendición de cuentas corte a diciembre 2022 en la página web.</t>
  </si>
  <si>
    <t xml:space="preserve">La Oficina de Mercadeo realiza la consolidación y el diseño completo del Informe de Gestión </t>
  </si>
  <si>
    <t>#REF!</t>
  </si>
  <si>
    <t>Informar avances y resultados de la gestión con calidad y en lenguaje comprensible</t>
  </si>
  <si>
    <t>Publicar los resultados más importantes del primer semestre</t>
  </si>
  <si>
    <t>La Oficina de Mercadeo realiza la consolidación y el diseño completo de la información</t>
  </si>
  <si>
    <t>Divulgar los resultados de la Compañía en el año 2023 por vicepresidencias</t>
  </si>
  <si>
    <t>Se comunicarán los aspectos relevantes de la gestión de las diferentes áreas de la compañía, por medio de buena nota, Comunicaciones Corporativas, Yammer, redes sociales.</t>
  </si>
  <si>
    <t>Carta del Presidente</t>
  </si>
  <si>
    <t>Se elaborará una carta gráfica del Presidente con los resultados más importantes y será enviada a todos los funcionarios, para realizarse su seguimiento en el próximo cuatrimestre</t>
  </si>
  <si>
    <t>TERCER COMPONENTE: RENDICIÓN DE CUENTAS: Subcomponente 2</t>
  </si>
  <si>
    <t>Promover el uso del Buzón abierto Previsora</t>
  </si>
  <si>
    <t>Se invitará a los funcionarios, que trimestralmente le envíen preguntas vía correo electrónico al presidente de la Compañía. Estas se responderán por medios de los canales oficiales internos o directamente al funcionario</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</si>
  <si>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</si>
  <si>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</si>
  <si>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Divulgar cronograma que defina los espacios de diálogo presenciales y virtuales de rendición de cuentas </t>
  </si>
  <si>
    <t>TERCER COMPONENTE: RENDICIÓN DE CUENTAS: Subcomponente 3</t>
  </si>
  <si>
    <t>Diseñar una encuesta de satisfacción sobre la comunicación de resultados al interior de la compañía</t>
  </si>
  <si>
    <t>A través de forms, mercadeo solicitará el diligenciamiento de la encuesta y comunicará el resultado obtenido</t>
  </si>
  <si>
    <t>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</si>
  <si>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t>
  </si>
  <si>
    <t>Este informe será publicado en la página web</t>
  </si>
  <si>
    <t>-Actividades realizadas</t>
  </si>
  <si>
    <t>-Grupos de valor involucrados</t>
  </si>
  <si>
    <t>-Temas y/o metas institucionales asociadas a las actividades realizadas de rendición de cuentas</t>
  </si>
  <si>
    <t>- Observaciones, propuestas y recomendaciones  de los grupos de valor.</t>
  </si>
  <si>
    <t xml:space="preserve">- Resultado de la participación </t>
  </si>
  <si>
    <t>CUARTO COMPONENTE: MECANISMOS PARA MEJORAR LA ATENCIÓN AL CIUDADANO</t>
  </si>
  <si>
    <t>Encuestas de satisfacción Clientes y usuarios finales</t>
  </si>
  <si>
    <t>Encuestas de servicio aplicadas y nivel de satisfacción de usuarios medido (cliente final)</t>
  </si>
  <si>
    <t>Indicador: número de encuestas realizadas con nivel de satisfacción medido.</t>
  </si>
  <si>
    <t>Meta: 11 encuestas con corte 30 de diciembre (mensualmente y posterior finalización de cada mes)</t>
  </si>
  <si>
    <t>Encuestas de satisfacción intermediarios (Agentes y Agencias)</t>
  </si>
  <si>
    <t>Encuestas de servicio aplicadas y nivel de satisfacción de usuarios medido (aliados)</t>
  </si>
  <si>
    <t>Meta: 3 encuestas con corte 30 de diciembre (trimestral y posterior finalización de cada trimestre)</t>
  </si>
  <si>
    <t>GERENCIA DE TALENTO HUMANO / GERENCIA DE SERVICIO</t>
  </si>
  <si>
    <t>Capacitación sobre temas relacionados con atención al cliente dirigida a los funcionarios de la compañía, acorde a los lineamientos del SAC y la Universidad Previsora</t>
  </si>
  <si>
    <t>Generar informes acerca del desarrollo de capacitaciones en Atención al Cliente</t>
  </si>
  <si>
    <t>Indicador: Número de informes generados, con corte a 31 de diciembre de 2022.</t>
  </si>
  <si>
    <t>Meta: 1</t>
  </si>
  <si>
    <t>Implementar incentivos para motivar la excelencia en la atención al cliente</t>
  </si>
  <si>
    <t>Informe de Incentivos aplicados relacionados con motivación a la excelencia en la atención al cliente</t>
  </si>
  <si>
    <t>Indicador: Entrega de resultados, de manera semestral, antes de 31 de diciembre de 2022.</t>
  </si>
  <si>
    <t>Meta: 1 Acta de socialización ante el Comité SAC de los reconocimientos realizados por Talento Humano, con corte a 30 de junio.</t>
  </si>
  <si>
    <t>Realizar seguimiento permanente al comportamiento de las PQR</t>
  </si>
  <si>
    <t>Presentación del comportamiento de PQRs en los comités de SAC</t>
  </si>
  <si>
    <t>Indicador: Número de comités generados</t>
  </si>
  <si>
    <t>Meta: Comité cierre 2022, comité 1 trimestre, comité 2 trimestre, comité 3 trimestre</t>
  </si>
  <si>
    <r>
      <t>GERENCIA DE SERVICIO /</t>
    </r>
    <r>
      <rPr>
        <sz val="11"/>
        <color rgb="FF000000"/>
        <rFont val="Calibri"/>
        <family val="2"/>
        <scheme val="minor"/>
      </rPr>
      <t>GERENCIA DE TALENTO HUMANO / OFICINA DE MERCADEO Y PUBLICIDAD / GERENCIA DE INNOVACIÓN Y PROCESOS / GERENCIA JURÍDICA / TODOS LOS LIDERES DE COMPONENTES</t>
    </r>
  </si>
  <si>
    <t>Incorporación Lenguaje Claro en la Compañía</t>
  </si>
  <si>
    <t>Capacitar sobre lenguaje claro y trato justo a los responsables de dar respuesta a PQR's en la compañía.</t>
  </si>
  <si>
    <t>3 Capacitaciones para las áreas y/o sucursales tramitadoras</t>
  </si>
  <si>
    <t>1 Webinar en Yammer</t>
  </si>
  <si>
    <t>Realizar seguimiento cuatrimestral a la ejecución del PAAC en el Comité Institucional de Gestión y Desempeño</t>
  </si>
  <si>
    <t>Realizar seguimiento trimestral al PAAC</t>
  </si>
  <si>
    <t>Indicador: Actas de seguimiento generadas</t>
  </si>
  <si>
    <t>Meta: 3 Actas generadas con corte 30 de abril, 30 de agosto y 30 de diciembre de 2023, de acuerdo con lo expuesto en el Comité de Gestión y Desempeño y las auditorías realizadas por la Oficina de Control Interno.</t>
  </si>
  <si>
    <t>QUINTO COMPONENTE: MECANISMOS PARA LA TRANSPARENCIA Y ACCESO A LA INFORMACIÓN</t>
  </si>
  <si>
    <t>Asegurar la realización de Auditorías al Plan Anticorrupción y de Atención al Ciudadano (cuatrimestre)</t>
  </si>
  <si>
    <t>Informes de Auditorias (3)</t>
  </si>
  <si>
    <t>HUMANOS, OPERATIVO, TECNOLÓGICOS, FÍSICOS Y FINANCIEROS</t>
  </si>
  <si>
    <t>Indicador: Auditoria Ejecutada/Auditoria Programada</t>
  </si>
  <si>
    <t>Meta: 100% de cumplimiento de acuerdo al Progerama de Auditorias</t>
  </si>
  <si>
    <t>Asegurar la presentación de los resultados de la Auditoria del Plan Anticorrupción y de Atención al Ciudadano (cuatrimestre)</t>
  </si>
  <si>
    <t>Informes de Auditorias socializados (3)</t>
  </si>
  <si>
    <t>SECRETARÍA GENERAL</t>
  </si>
  <si>
    <t>Reportar el cumplimiento por parte de La Previsora  para la vigencia 2023 de los lineamientos del MINTIC Y DEL DAFP a la Procurduría en el reporte del índice de transparencia y acceso a la información  según lo estipulado por en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</si>
  <si>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</si>
  <si>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HUMANOS,  TECNOLÓGICOS,</t>
  </si>
  <si>
    <t>SEXTO COMPONENTE: INICIATIVAS ADICIONALES</t>
  </si>
  <si>
    <t>Capacitación sobre temas relacionados con derecho disciplinario convocadas por el Ministerio de Hacienda y Crédito Público</t>
  </si>
  <si>
    <t>Asistencia a capacitaciones</t>
  </si>
  <si>
    <t xml:space="preserve">HUMANOS,  TECNOLÓGICOS, </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</si>
  <si>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</si>
  <si>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trimestral en los diferentes canales de comunicación dispuestos en la compañía. </t>
  </si>
  <si>
    <t>Sensibilizaciones realizadas</t>
  </si>
  <si>
    <t>HUMANOS, TECNOLÓGICOS</t>
  </si>
  <si>
    <t>Indicador: Número de  sensibilizaciones realizadas / 4</t>
  </si>
  <si>
    <t>SEXTO COMPONENTE: INICIATIVAS ADICIONALES - INTEGRIDAD</t>
  </si>
  <si>
    <t>Alcanzar el nivel de apropiación de los valores de Previsora</t>
  </si>
  <si>
    <t>Nivel de apropiación valores en un 90%:</t>
  </si>
  <si>
    <t>HUMANOS,  TECNOLÓGICOS,  FINANCIEROS</t>
  </si>
  <si>
    <t>(Número de personas que contestaron entre 3 y 4 en la encuesta de apropiación de valores / Número Total de encuestas respondidas) * 100%</t>
  </si>
  <si>
    <t>EJ</t>
  </si>
  <si>
    <t>PROG</t>
  </si>
  <si>
    <t>%C</t>
  </si>
  <si>
    <t>PLAN INTEGRADO DE ACCIÓN ANUAL 2023 - PLAN ESTRATÉGICO DE TECNOLOGÍAS DE LA INFORMACIÓN</t>
  </si>
  <si>
    <t>GERENCIA DE T.I</t>
  </si>
  <si>
    <t>HOJA DE RUTA</t>
  </si>
  <si>
    <t>PROYECTO, INICIATIVA O ACTIVIDAD</t>
  </si>
  <si>
    <t>NOMBRE</t>
  </si>
  <si>
    <t>ALCANCE</t>
  </si>
  <si>
    <t>EVIDENCIA</t>
  </si>
  <si>
    <t>HO+G14:P28JA DE RUTA ESTRATEGIA DE T.I.</t>
  </si>
  <si>
    <t>SEGUIMIENTO HOJA DE RUTA ESTRATEGIA DE T.I. 2023</t>
  </si>
  <si>
    <t>Seguimiento de las actividades de socialización del PETI a las partes interesadas internas y externas y actualización del PETI 2022-2025.</t>
  </si>
  <si>
    <t>Registro de socializacion y versión actualizada del PETI en Isolución.</t>
  </si>
  <si>
    <t>Recurso Humano</t>
  </si>
  <si>
    <t>Recursos Propios</t>
  </si>
  <si>
    <t>HOJA DE RUTA GOBIERNO DE T.I.</t>
  </si>
  <si>
    <t>SEGUIMIENTO HOJA DE RUTA GOBIERNO DE T.I. 2023</t>
  </si>
  <si>
    <t>Seguimiento de las actividades relacionadas con la hoja de ruta de Gobierno T.I.
Estructuración de las politicas Estratégicas, Tacticas y Operativas de T.I.
Sensibilizacion de las metodologias de proyectos T.I., TOGAF y MAE.
Formalización y socialización de la estructura de toma de decisiones de T.I.
Socialización de la gestión de T.I.</t>
  </si>
  <si>
    <t xml:space="preserve">Politicas de T.I. formalizadas.
Artefacto Toma de Decisiones de T.I.
Registro de capacitaciones realizadas.
</t>
  </si>
  <si>
    <t>HOJA DE RUTA USO Y APROPIACION T.I.</t>
  </si>
  <si>
    <t>SEGUIMIENTO HOJA DE RUTA USO Y APROPIACION DE T.I. 2023</t>
  </si>
  <si>
    <t>Re-entrenamiento sobre SISE
Reentrenamiento Herramientas de T.I. (por definir)
Analisis de Tendencias Tecnológicas del 2023</t>
  </si>
  <si>
    <t xml:space="preserve">Registro de reentrenamientos y capacitaciones
Informe de analisis de Tendencias Tecnológicas </t>
  </si>
  <si>
    <t>Recurso Humano
Recurso Tecnologico</t>
  </si>
  <si>
    <t>HOJA DE RUTA SISTEMAS DE INFORMACIÓN</t>
  </si>
  <si>
    <t>SEGUIMIENTO HOJA DE RUTA SISTEMAS DE INFORMACIÓN</t>
  </si>
  <si>
    <t>Herramientas Monitoreo Fabrica de Software
Optimizacion procesos de negocio
Análisis para el desarrollo del módulo novedades por ramo.
Análisis optimización de reportes</t>
  </si>
  <si>
    <t>Artefacto de normalización de reportes
Modulo de novedades por ramo
Optimizacion flujo de viaticos y cifras de seguimiento y control SOAT.</t>
  </si>
  <si>
    <t>PROYECTO</t>
  </si>
  <si>
    <t>Consultoría Integración Interoperabilidad</t>
  </si>
  <si>
    <t>Diseñar, evaluar, y definir una solución tecnológica de integración e interoperabilidad para los sistemas de información de LA PREVISORA S.A. y la hoja de ruta que presente la visión detallada y la definición de la arquitectura objetivo de la solución deseada en cada una de las transiciones.</t>
  </si>
  <si>
    <t>Informe final y hoja de ruta de implementacion interoperabilidad</t>
  </si>
  <si>
    <t>RECURSO HUMANO</t>
  </si>
  <si>
    <t>RECURSOS PROPIOS</t>
  </si>
  <si>
    <t>RECURSO FINANCIERO</t>
  </si>
  <si>
    <t xml:space="preserve">HOJA DE RUTA SERVICIOS TECNOLÓGICOS </t>
  </si>
  <si>
    <t>SEGUIMIENTO HOJA DE RUTA SERVICIOS TECNOLÓGICOS</t>
  </si>
  <si>
    <t>Mejora continua de los procesos de ITIL
Analisis de implementación de nube pública
Analisis Herramienta mesa de servicio
Fortalecimiento de gestión de eventos infaestructura T.I.</t>
  </si>
  <si>
    <t>Continuar con el fortalecimiento de los servicios de T.I.  Siguiendo las buenas parcticas de marcos de referencia como ITIL.</t>
  </si>
  <si>
    <t>Portafolio Servicios TI y Fortalecimiento de la gestión ITIL</t>
  </si>
  <si>
    <t>Construcción del portafolio de servicios TI de la compañía y el desarrollo de sus capacidades de infraestructura.</t>
  </si>
  <si>
    <t>RECURSO TECNOLOGICO</t>
  </si>
  <si>
    <t xml:space="preserve">PLAN INTEGRADO DE ACCIÓN ANUAL 2023 - PLAN DE TRATAMIENTO DE RIESGOS DE SEGURIDAD Y PRIVACIDAD DE LA INFORMACIÓN </t>
  </si>
  <si>
    <t>TOTAL CUMPLIMIENTO AÑO</t>
  </si>
  <si>
    <t>D3. SEGURIDAD DIGITAL</t>
  </si>
  <si>
    <t>Gerencia de Riesgos</t>
  </si>
  <si>
    <t>Validar que los líderes de proceso cumplan con la actualización anual de la matriz de inventario de activos de información a cargo</t>
  </si>
  <si>
    <t>Matrices de activos de información por proceso actualizadas</t>
  </si>
  <si>
    <t>Gerencia de Riesgos / Líderes de proceso</t>
  </si>
  <si>
    <t>Revisar los riesgos y/o controles cuando se materialicen eventos de seguridad y/o se implementen o mejoren los controles con el fin de actualizar la matriz de riesgos en caso de requerirse.</t>
  </si>
  <si>
    <t>Matriz de riesgos de seguridad de la información</t>
  </si>
  <si>
    <t>Actualizar riesgos y controles de seguridad de la información sobre los activos de información críticos.</t>
  </si>
  <si>
    <t>PLAN INTEGRADO DE ACCIÓN ANUAL 2023 - PLAN DE SEGURIDAD Y PRIVACIDAD DE LA INFORMACIÓN</t>
  </si>
  <si>
    <t>GERENCIA DE RIESGOS
GERENCIA DE T.I
GERENCIA DE SERVICIO</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</si>
  <si>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</si>
  <si>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</si>
  <si>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</si>
  <si>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Humanos</t>
  </si>
  <si>
    <t>CAPACITACION</t>
  </si>
  <si>
    <t>Diseñar y desarrollar una prueba de Ciberataque,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</si>
  <si>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</si>
  <si>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</si>
  <si>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</si>
  <si>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Ejecutar un programa de evaluación de al menos 20 controles de los establecidos en el estándar ISO 27001 asociados a los procesos de la compañía y hacer seguimiento a la implementación de acciones de mejoramiento sobre los mismos si a ello hay lugar</t>
  </si>
  <si>
    <t>La evaluación se hace de forma aleatoria sobre controles técnicos</t>
  </si>
  <si>
    <t>Informe de resultados de la evaluaciones efectuadas (información sensible que en caso de requerirse se podrá consultar en la gerencia de riesgos)</t>
  </si>
  <si>
    <t>Validar la posibilidad de integrar el Modelo de Seguridad de la Información con el Modelo de Privacidad (datos personales) . Gerencia de Riesgos, TI y Servicio</t>
  </si>
  <si>
    <t>Procesos de la compañía</t>
  </si>
  <si>
    <t>Soportes de la validación de la integración.</t>
  </si>
  <si>
    <t>Gerencia de Riesgos, TI y Servicio</t>
  </si>
  <si>
    <t>Ejecución y seguimiento hoja de ruta aseguramiento informático y ciberseguridad 2023</t>
  </si>
  <si>
    <t xml:space="preserve">Seguimiento de las actividades de la hoja de ruta.
*Medición Anual del MSPI
*Automatización certificados digitales
*APP Herramienta vulnerabilidades
</t>
  </si>
  <si>
    <t>* Matriz MSPI
*Assesment automatización certificados digitales
* Assesment elección mejor alternativa de herramienta</t>
  </si>
  <si>
    <t>Recursos propios</t>
  </si>
  <si>
    <t>Analisis de vulnerabilidades y la aplicación de actualizaciones y parches de seguridad en la plataforma tecnológica</t>
  </si>
  <si>
    <t>Realizar retest para verificar la mitigación de vulnerabilidades y la aplicación de actualizaciones y parches de seguridad en la plataforma tecnológica</t>
  </si>
  <si>
    <t>Retest Analisis de vulnerabilidades para la mitigación de vulnerabilidades</t>
  </si>
  <si>
    <t>Contrato 036-2021</t>
  </si>
  <si>
    <t>fuente de financiacion</t>
  </si>
  <si>
    <t>inversión</t>
  </si>
  <si>
    <t>Meta 2: Realizar 4 mediciones del nivel de desarrollo del servicio civil.</t>
  </si>
  <si>
    <t>1. CONTAR CON TALENTO HUMANO COMPROMETIDO, COMPETENTE Y MOTIVADO</t>
  </si>
  <si>
    <t>funcionamiento</t>
  </si>
  <si>
    <t>Meta 1: Desarrollar el 100% de las actividades previstas en el plan de acción de la política pública para la gestión integral del talento humano en el periodo 2016 - 2019</t>
  </si>
  <si>
    <t>2. DESARROLLAR UNA GESTIÓN POR PROCESOS FUNCIONAL Y EFICIENTE</t>
  </si>
  <si>
    <t>inversión y funcionamiento</t>
  </si>
  <si>
    <t>Meta 4: Alcanzar 57.000 beneficiarios con programas, estrategias y/o actividades específicas de bienestar y/o estímulos.</t>
  </si>
  <si>
    <t>3. POTENCIALIZAR EL USO TIC´S PARA EL PROCESAMIENTO DE INFORMACIÓN DE LOS SERVIDORES PÚBLICOS</t>
  </si>
  <si>
    <t>Meta 5 Beneficiar 20.000 funcionarios con programas de capacitación y formación de acuerdo con la competencia del DASCD</t>
  </si>
  <si>
    <t>4. DISEÑAR E IMPLEMENTAR UNA POLÍTICA PÚBLICA INTEGRAL DEL TALENTO HUMANO EN EL DISTRITO</t>
  </si>
  <si>
    <t>Meta 3: Proponer cinco modelos, metodologías o instrumentos que orienten a las entidades en la gestión estratégica del talento humano</t>
  </si>
  <si>
    <t>5. DISEÑAR E IMPLEMENTAR MECANISMOS DE EVALUACIÓN Y FORMACIÓN INTEGRAL</t>
  </si>
  <si>
    <t>Meta-1 Beneficiar al 100 % de los Funcionarios de la Entidad con acciones que propicien el Mejoramiento del Ambiente de Trabajo y favorezcan el Clima Laboral.</t>
  </si>
  <si>
    <t>6. GENERAR ENTIDADES MODERNAS A TRAVÉS DE MECANISMOS DE ORGANIZACIÓN DEL TRABAJO</t>
  </si>
  <si>
    <t>Meta-2 Modernizar 100 % de los Procesos de la Entidad a través del Mejoramiento Continuo de los Productos y Servicios, la Actualización Documental, la Gestión del Riesgo y el Desarrollo de Estrategias de Transparencia, Anticorrupción y Rendición de Cuentas.</t>
  </si>
  <si>
    <t>7. PROMOVER BIENESTAR INTEGRAL EN LOS SERVIDORES PÚBLICOS DEL DISTRITO ORIENTADO A LA FELICIDAD LABORAL</t>
  </si>
  <si>
    <t>Meta-3 Mejorar 100 % de los Sistemas de Información, los recursos Tecnológicos y los Desarrollos que modernicen la Gestión de la Entidad.</t>
  </si>
  <si>
    <t>8. PROMOVER LA MERITOCRACIA COMO BASE DE SELECCIÓN PARA LAS DIFERENTES FORMAS DE VINCULACIÓN</t>
  </si>
  <si>
    <t xml:space="preserve">9. LOGRAR UN ALTO RECONOCIMIENTO DEL SERVIDOR PÚBLICO DISTRITAL Y DEL DASCD EN BOGOTÁ Y EL PAÍS </t>
  </si>
  <si>
    <t>10: FORTALECER EL DESARROLLO DEL SERVICIO CIVIL EN EL DISTRITO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</si>
</sst>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Red]\-&quot;$&quot;\ #,##0"/>
    <numFmt numFmtId="165" formatCode="0.0%"/>
    <numFmt numFmtId="166" formatCode="#,###\ &quot;COP&quot;"/>
  </numFmts>
  <fonts count="61">
    <font>
      <sz val="11"/>
      <color rgb="FF000000"/>
      <name val="Calibri"/>
    </font>
    <font>
      <sz val="11"/>
      <color theme="1"/>
      <name val="Calibri"/>
      <family val="2"/>
      <scheme val="minor"/>
    </font>
    <font>
      <b/>
      <sz val="10"/>
      <color rgb="FF000000"/>
      <name val="Calibri"/>
      <family val="2"/>
    </font>
    <font>
      <sz val="10"/>
      <color rgb="FF000000"/>
      <name val="Calibri"/>
      <family val="2"/>
    </font>
    <font>
      <sz val="10"/>
      <name val="Calibri"/>
      <family val="2"/>
    </font>
    <font>
      <b/>
      <sz val="12"/>
      <color rgb="FF000000"/>
      <name val="Calibri"/>
      <family val="2"/>
    </font>
    <font>
      <b/>
      <sz val="12"/>
      <name val="Calibri"/>
      <family val="2"/>
    </font>
    <font>
      <b/>
      <sz val="16"/>
      <color rgb="FF7F7F7F"/>
      <name val="Calibri"/>
      <family val="2"/>
    </font>
    <font>
      <b/>
      <sz val="14"/>
      <color rgb="FF7F7F7F"/>
      <name val="Calibri"/>
      <family val="2"/>
    </font>
    <font>
      <sz val="8"/>
      <name val="Calibri"/>
      <family val="2"/>
    </font>
    <font>
      <sz val="18"/>
      <color rgb="FF000000"/>
      <name val="Calibri"/>
      <family val="2"/>
    </font>
    <font>
      <sz val="12"/>
      <color rgb="FF000000"/>
      <name val="Calibri"/>
      <family val="2"/>
    </font>
    <font>
      <sz val="11"/>
      <color rgb="FF000000"/>
      <name val="Calibri"/>
      <family val="2"/>
    </font>
    <font>
      <sz val="11"/>
      <color rgb="FF000000"/>
      <name val="Calibri"/>
      <family val="2"/>
    </font>
    <font>
      <b/>
      <sz val="11"/>
      <color rgb="FF000000"/>
      <name val="Calibri"/>
      <family val="2"/>
    </font>
    <font>
      <b/>
      <sz val="10"/>
      <color theme="1" tint="0.34998626667073579"/>
      <name val="Calibri"/>
      <family val="2"/>
    </font>
    <font>
      <b/>
      <sz val="14"/>
      <color rgb="FF000000"/>
      <name val="Calibri"/>
      <family val="2"/>
    </font>
    <font>
      <sz val="11"/>
      <color theme="1" tint="0.34998626667073579"/>
      <name val="Calibri"/>
      <family val="2"/>
      <scheme val="minor"/>
    </font>
    <font>
      <sz val="20"/>
      <color theme="1"/>
      <name val="Calibri"/>
      <family val="2"/>
      <scheme val="minor"/>
    </font>
    <font>
      <sz val="11"/>
      <color theme="1" tint="0.34998626667073579"/>
      <name val="Calibri"/>
      <family val="2"/>
    </font>
    <font>
      <sz val="14"/>
      <name val="Calibri"/>
      <family val="2"/>
    </font>
    <font>
      <sz val="12"/>
      <color theme="1" tint="0.34998626667073579"/>
      <name val="Calibri"/>
      <family val="2"/>
    </font>
    <font>
      <sz val="14"/>
      <color theme="1"/>
      <name val="Calibri"/>
      <family val="2"/>
    </font>
    <font>
      <sz val="14"/>
      <color theme="1"/>
      <name val="Calibri"/>
      <family val="2"/>
      <scheme val="minor"/>
    </font>
    <font>
      <sz val="16"/>
      <color theme="1"/>
      <name val="Calibri"/>
      <family val="2"/>
    </font>
    <font>
      <b/>
      <sz val="16"/>
      <color theme="1" tint="0.34998626667073579"/>
      <name val="Calibri"/>
      <family val="2"/>
    </font>
    <font>
      <b/>
      <sz val="16"/>
      <color indexed="81"/>
      <name val="Calibri"/>
      <family val="2"/>
      <scheme val="minor"/>
    </font>
    <font>
      <sz val="16"/>
      <color indexed="81"/>
      <name val="Calibri"/>
      <family val="2"/>
      <scheme val="minor"/>
    </font>
    <font>
      <b/>
      <sz val="18"/>
      <color rgb="FFFFFFFF"/>
      <name val="Century Gothic"/>
      <family val="2"/>
    </font>
    <font>
      <b/>
      <sz val="11"/>
      <color rgb="FFFFFFFF"/>
      <name val="Century Gothic"/>
      <family val="2"/>
    </font>
    <font>
      <sz val="11"/>
      <color rgb="FF000000"/>
      <name val="Calibri"/>
      <family val="2"/>
      <scheme val="minor"/>
    </font>
    <font>
      <b/>
      <sz val="11"/>
      <color rgb="FFFFFFFF"/>
      <name val="Calibri"/>
      <family val="2"/>
      <scheme val="minor"/>
    </font>
    <font>
      <sz val="11"/>
      <name val="Calibri"/>
      <family val="2"/>
      <scheme val="minor"/>
    </font>
    <font>
      <b/>
      <sz val="36"/>
      <color rgb="FFFFFFFF"/>
      <name val="Calibri"/>
      <family val="2"/>
      <scheme val="minor"/>
    </font>
    <font>
      <b/>
      <sz val="16"/>
      <color theme="0"/>
      <name val="Calibri"/>
      <family val="2"/>
    </font>
    <font>
      <b/>
      <sz val="18"/>
      <color rgb="FF7F7F7F"/>
      <name val="Calibri"/>
      <family val="2"/>
    </font>
    <font>
      <b/>
      <sz val="16"/>
      <color rgb="FF000000"/>
      <name val="Calibri"/>
      <family val="2"/>
      <scheme val="minor"/>
    </font>
    <font>
      <b/>
      <sz val="14"/>
      <color rgb="FFFFFFFF"/>
      <name val="Century Gothic"/>
      <family val="2"/>
    </font>
    <font>
      <b/>
      <sz val="26"/>
      <color theme="0"/>
      <name val="Calibri"/>
      <family val="2"/>
      <scheme val="minor"/>
    </font>
    <font>
      <sz val="16"/>
      <name val="Calibri"/>
      <family val="2"/>
    </font>
    <font>
      <b/>
      <sz val="11"/>
      <color rgb="FF000000"/>
      <name val="Century Gothic"/>
      <family val="2"/>
    </font>
    <font>
      <sz val="10"/>
      <color rgb="FF000000"/>
      <name val="Arial"/>
      <family val="2"/>
    </font>
    <font>
      <sz val="11"/>
      <name val="Verdana"/>
      <family val="2"/>
    </font>
    <font>
      <sz val="11"/>
      <color rgb="FF000000"/>
      <name val="Verdana"/>
      <family val="2"/>
    </font>
    <font>
      <b/>
      <sz val="11"/>
      <color rgb="FF000000"/>
      <name val="Calibri"/>
      <family val="2"/>
      <scheme val="minor"/>
    </font>
    <font>
      <sz val="18"/>
      <name val="Calibri"/>
      <family val="2"/>
      <scheme val="minor"/>
    </font>
    <font>
      <b/>
      <sz val="18"/>
      <color rgb="FF000000"/>
      <name val="Calibri"/>
      <family val="2"/>
      <scheme val="minor"/>
    </font>
    <font>
      <b/>
      <sz val="18"/>
      <color rgb="FFFFFFFF"/>
      <name val="Calibri"/>
      <family val="2"/>
      <scheme val="minor"/>
    </font>
    <font>
      <sz val="14"/>
      <color rgb="FF000000"/>
      <name val="Calibri"/>
      <family val="2"/>
      <scheme val="minor"/>
    </font>
    <font>
      <sz val="11"/>
      <color rgb="FF444444"/>
      <name val="Calibri"/>
      <family val="2"/>
      <charset val="1"/>
      <scheme val="minor"/>
    </font>
    <font>
      <b/>
      <sz val="10"/>
      <color theme="1"/>
      <name val="Verdana"/>
      <family val="2"/>
    </font>
    <font>
      <sz val="10"/>
      <color theme="1"/>
      <name val="Verdana"/>
      <family val="2"/>
    </font>
    <font>
      <sz val="10"/>
      <color theme="1"/>
      <name val="Arial"/>
      <family val="2"/>
    </font>
    <font>
      <sz val="10.8"/>
      <name val="Century Gothic"/>
      <family val="2"/>
    </font>
    <font>
      <b/>
      <sz val="16"/>
      <color theme="1"/>
      <name val="Calibri"/>
      <family val="2"/>
      <scheme val="minor"/>
    </font>
    <font>
      <sz val="11"/>
      <color theme="1"/>
      <name val="Arial"/>
      <family val="2"/>
    </font>
    <font>
      <sz val="20"/>
      <color theme="1"/>
      <name val="Calibri Light"/>
      <family val="2"/>
      <scheme val="major"/>
    </font>
    <font>
      <b/>
      <sz val="20"/>
      <color theme="1"/>
      <name val="Calibri Light"/>
      <family val="2"/>
      <scheme val="major"/>
    </font>
    <font>
      <b/>
      <sz val="16"/>
      <color rgb="FFFFFFFF"/>
      <name val="Calibri Light"/>
      <family val="2"/>
    </font>
    <font>
      <sz val="16"/>
      <name val="Calibri Light"/>
      <family val="2"/>
    </font>
    <font>
      <b/>
      <sz val="22"/>
      <color rgb="FF7F7F7F"/>
      <name val="Century Gothic"/>
      <family val="2"/>
    </font>
  </fonts>
  <fills count="44">
    <fill>
      <patternFill patternType="none"/>
    </fill>
    <fill>
      <patternFill patternType="gray125"/>
    </fill>
    <fill>
      <patternFill patternType="solid">
        <fgColor rgb="FFF2F2F2"/>
        <bgColor rgb="FFF2F2F2"/>
      </patternFill>
    </fill>
    <fill>
      <patternFill patternType="solid">
        <fgColor rgb="FFEAEFF7"/>
        <bgColor rgb="FFEAEFF7"/>
      </patternFill>
    </fill>
    <fill>
      <patternFill patternType="solid">
        <fgColor rgb="FFDEEAF6"/>
        <bgColor rgb="FFDEEAF6"/>
      </patternFill>
    </fill>
    <fill>
      <patternFill patternType="solid">
        <fgColor rgb="FFFFFF00"/>
        <bgColor rgb="FFBFBFBF"/>
      </patternFill>
    </fill>
    <fill>
      <patternFill patternType="solid">
        <fgColor theme="0" tint="-0.249977111117893"/>
        <bgColor rgb="FFBFBFBF"/>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rgb="FFFFFF99"/>
      </patternFill>
    </fill>
    <fill>
      <patternFill patternType="solid">
        <fgColor theme="0" tint="-4.9989318521683403E-2"/>
        <bgColor rgb="FF7F7F7F"/>
      </patternFill>
    </fill>
    <fill>
      <patternFill patternType="solid">
        <fgColor theme="0" tint="-0.34998626667073579"/>
        <bgColor indexed="64"/>
      </patternFill>
    </fill>
    <fill>
      <patternFill patternType="solid">
        <fgColor theme="6"/>
        <bgColor indexed="64"/>
      </patternFill>
    </fill>
    <fill>
      <patternFill patternType="solid">
        <fgColor rgb="FF70AD47"/>
        <bgColor rgb="FFBFBFBF"/>
      </patternFill>
    </fill>
    <fill>
      <patternFill patternType="solid">
        <fgColor rgb="FFBFBFBF"/>
        <bgColor rgb="FF000000"/>
      </patternFill>
    </fill>
    <fill>
      <patternFill patternType="solid">
        <fgColor rgb="FF70AD47"/>
        <bgColor rgb="FF000000"/>
      </patternFill>
    </fill>
    <fill>
      <patternFill patternType="solid">
        <fgColor rgb="FFFFFFFF"/>
        <bgColor rgb="FF000000"/>
      </patternFill>
    </fill>
    <fill>
      <patternFill patternType="solid">
        <fgColor rgb="FFFFC000"/>
        <bgColor rgb="FF000000"/>
      </patternFill>
    </fill>
    <fill>
      <patternFill patternType="solid">
        <fgColor theme="9" tint="-0.499984740745262"/>
        <bgColor indexed="64"/>
      </patternFill>
    </fill>
    <fill>
      <patternFill patternType="solid">
        <fgColor theme="9" tint="0.59999389629810485"/>
        <bgColor rgb="FFFFFF99"/>
      </patternFill>
    </fill>
    <fill>
      <patternFill patternType="solid">
        <fgColor theme="9" tint="0.39997558519241921"/>
        <bgColor rgb="FFFFFF99"/>
      </patternFill>
    </fill>
    <fill>
      <patternFill patternType="solid">
        <fgColor theme="9" tint="-0.249977111117893"/>
        <bgColor rgb="FFFFFF99"/>
      </patternFill>
    </fill>
    <fill>
      <patternFill patternType="solid">
        <fgColor theme="9" tint="-0.499984740745262"/>
        <bgColor rgb="FFFFFF99"/>
      </patternFill>
    </fill>
    <fill>
      <patternFill patternType="solid">
        <fgColor theme="9"/>
        <bgColor rgb="FFBFBFBF"/>
      </patternFill>
    </fill>
    <fill>
      <patternFill patternType="solid">
        <fgColor theme="9"/>
        <bgColor rgb="FF000000"/>
      </patternFill>
    </fill>
    <fill>
      <patternFill patternType="solid">
        <fgColor theme="0"/>
        <bgColor rgb="FF000000"/>
      </patternFill>
    </fill>
    <fill>
      <gradientFill degree="270">
        <stop position="0">
          <color theme="9"/>
        </stop>
        <stop position="1">
          <color theme="9" tint="-0.49803155613879818"/>
        </stop>
      </gradientFill>
    </fill>
    <fill>
      <patternFill patternType="solid">
        <fgColor theme="0"/>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BFBFBF"/>
      </patternFill>
    </fill>
    <fill>
      <patternFill patternType="solid">
        <fgColor rgb="FF5BC8F5"/>
        <bgColor rgb="FF000000"/>
      </patternFill>
    </fill>
    <fill>
      <patternFill patternType="solid">
        <fgColor rgb="FFD9D9D9"/>
        <bgColor rgb="FF000000"/>
      </patternFill>
    </fill>
    <fill>
      <patternFill patternType="solid">
        <fgColor rgb="FFD0CECE"/>
        <bgColor rgb="FF000000"/>
      </patternFill>
    </fill>
    <fill>
      <patternFill patternType="solid">
        <fgColor rgb="FF7A012B"/>
        <bgColor rgb="FF000000"/>
      </patternFill>
    </fill>
    <fill>
      <patternFill patternType="solid">
        <fgColor rgb="FF91A418"/>
        <bgColor rgb="FF000000"/>
      </patternFill>
    </fill>
    <fill>
      <patternFill patternType="solid">
        <fgColor rgb="FFFFC840"/>
        <bgColor rgb="FF000000"/>
      </patternFill>
    </fill>
    <fill>
      <patternFill patternType="solid">
        <fgColor rgb="FFB4C6E7"/>
        <bgColor rgb="FF000000"/>
      </patternFill>
    </fill>
    <fill>
      <patternFill patternType="solid">
        <fgColor rgb="FF7030A0"/>
        <bgColor rgb="FF000000"/>
      </patternFill>
    </fill>
    <fill>
      <patternFill patternType="solid">
        <fgColor rgb="FFFFE7FF"/>
        <bgColor rgb="FF000000"/>
      </patternFill>
    </fill>
    <fill>
      <patternFill patternType="solid">
        <fgColor rgb="FFFFF2CC"/>
        <bgColor rgb="FF000000"/>
      </patternFill>
    </fill>
    <fill>
      <patternFill patternType="solid">
        <fgColor rgb="FFDBE5F1"/>
        <bgColor indexed="64"/>
      </patternFill>
    </fill>
    <fill>
      <patternFill patternType="solid">
        <fgColor rgb="FFCF95F3"/>
        <bgColor rgb="FF000000"/>
      </patternFill>
    </fill>
  </fills>
  <borders count="94">
    <border>
      <left/>
      <right/>
      <top/>
      <bottom/>
      <diagonal/>
    </border>
    <border>
      <left style="medium">
        <color rgb="FF5B9BD5"/>
      </left>
      <right style="medium">
        <color rgb="FF5B9BD5"/>
      </right>
      <top style="medium">
        <color rgb="FF5B9BD5"/>
      </top>
      <bottom style="medium">
        <color rgb="FF5B9BD5"/>
      </bottom>
      <diagonal/>
    </border>
    <border>
      <left/>
      <right/>
      <top style="thin">
        <color rgb="FF5B9B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000000"/>
      </left>
      <right style="medium">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bottom style="thin">
        <color rgb="FF000000"/>
      </bottom>
      <diagonal/>
    </border>
    <border>
      <left style="medium">
        <color indexed="64"/>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medium">
        <color indexed="64"/>
      </left>
      <right style="thin">
        <color rgb="FF000000"/>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style="thin">
        <color rgb="FF000000"/>
      </top>
      <bottom/>
      <diagonal/>
    </border>
    <border>
      <left style="medium">
        <color indexed="64"/>
      </left>
      <right style="medium">
        <color indexed="64"/>
      </right>
      <top style="thin">
        <color rgb="FF000000"/>
      </top>
      <bottom/>
      <diagonal/>
    </border>
  </borders>
  <cellStyleXfs count="8">
    <xf numFmtId="0" fontId="0" fillId="0" borderId="0"/>
    <xf numFmtId="9" fontId="13" fillId="0" borderId="0" applyFont="0" applyFill="0" applyBorder="0" applyAlignment="0" applyProtection="0"/>
    <xf numFmtId="0" fontId="12" fillId="0" borderId="0"/>
    <xf numFmtId="0" fontId="12" fillId="0" borderId="0"/>
    <xf numFmtId="0" fontId="1" fillId="0" borderId="0"/>
    <xf numFmtId="0" fontId="50" fillId="42" borderId="0" applyNumberFormat="0" applyBorder="0" applyProtection="0">
      <alignment horizontal="center" vertical="center"/>
    </xf>
    <xf numFmtId="49" fontId="51" fillId="0" borderId="0" applyFill="0" applyBorder="0" applyProtection="0">
      <alignment horizontal="left" vertical="center"/>
    </xf>
    <xf numFmtId="166" fontId="52" fillId="0" borderId="0" applyFont="0" applyFill="0" applyBorder="0" applyAlignment="0" applyProtection="0"/>
  </cellStyleXfs>
  <cellXfs count="678">
    <xf numFmtId="0" fontId="0" fillId="0" borderId="0" xfId="0"/>
    <xf numFmtId="0" fontId="0" fillId="0" borderId="0" xfId="0" applyAlignment="1">
      <alignment vertical="center"/>
    </xf>
    <xf numFmtId="0" fontId="3" fillId="3" borderId="1" xfId="0" applyFont="1" applyFill="1" applyBorder="1" applyAlignment="1">
      <alignment horizontal="left" vertical="center" wrapText="1" readingOrder="1"/>
    </xf>
    <xf numFmtId="0" fontId="4" fillId="4" borderId="2" xfId="0" applyFont="1" applyFill="1" applyBorder="1" applyAlignment="1">
      <alignment vertical="center" wrapText="1"/>
    </xf>
    <xf numFmtId="0" fontId="4" fillId="0" borderId="0" xfId="0" applyFont="1" applyAlignment="1">
      <alignment vertical="center" wrapText="1"/>
    </xf>
    <xf numFmtId="0" fontId="4" fillId="4" borderId="0" xfId="0" applyFont="1" applyFill="1" applyAlignment="1">
      <alignment vertical="center" wrapText="1"/>
    </xf>
    <xf numFmtId="0" fontId="4" fillId="4" borderId="0" xfId="0" applyFont="1" applyFill="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9" fontId="8" fillId="8" borderId="0" xfId="0" applyNumberFormat="1" applyFont="1" applyFill="1" applyAlignment="1">
      <alignment horizontal="center" vertical="center" wrapText="1"/>
    </xf>
    <xf numFmtId="9" fontId="8" fillId="9" borderId="0" xfId="0" applyNumberFormat="1" applyFont="1" applyFill="1" applyAlignment="1">
      <alignment horizontal="center" vertical="center" wrapText="1"/>
    </xf>
    <xf numFmtId="0" fontId="10" fillId="0" borderId="0" xfId="0" applyFont="1" applyAlignment="1">
      <alignment vertical="center"/>
    </xf>
    <xf numFmtId="0" fontId="12" fillId="0" borderId="0" xfId="0" applyFont="1" applyAlignment="1">
      <alignment vertical="center"/>
    </xf>
    <xf numFmtId="0" fontId="12" fillId="0" borderId="38" xfId="0" applyFont="1" applyBorder="1" applyAlignment="1">
      <alignment vertical="center"/>
    </xf>
    <xf numFmtId="0" fontId="12" fillId="0" borderId="38" xfId="0" applyFont="1" applyBorder="1" applyAlignment="1">
      <alignment horizontal="justify" vertical="center"/>
    </xf>
    <xf numFmtId="9" fontId="12" fillId="0" borderId="38" xfId="0" applyNumberFormat="1" applyFont="1" applyBorder="1" applyAlignment="1">
      <alignment vertical="center"/>
    </xf>
    <xf numFmtId="9" fontId="12" fillId="0" borderId="38" xfId="0" applyNumberFormat="1" applyFont="1" applyBorder="1" applyAlignment="1">
      <alignment horizontal="center" vertical="center"/>
    </xf>
    <xf numFmtId="0" fontId="12" fillId="0" borderId="42" xfId="0" applyFont="1" applyBorder="1" applyAlignment="1">
      <alignment horizontal="justify" vertical="center"/>
    </xf>
    <xf numFmtId="0" fontId="12" fillId="0" borderId="41" xfId="0" applyFont="1" applyBorder="1" applyAlignment="1">
      <alignment vertical="center"/>
    </xf>
    <xf numFmtId="0" fontId="12" fillId="0" borderId="41" xfId="0" applyFont="1" applyBorder="1" applyAlignment="1">
      <alignment horizontal="justify" vertical="center"/>
    </xf>
    <xf numFmtId="9" fontId="16" fillId="0" borderId="0" xfId="0" applyNumberFormat="1" applyFont="1" applyAlignment="1">
      <alignment horizontal="center" vertical="center"/>
    </xf>
    <xf numFmtId="0" fontId="12" fillId="0" borderId="40" xfId="0" applyFont="1" applyBorder="1" applyAlignment="1">
      <alignment horizontal="justify" vertical="center"/>
    </xf>
    <xf numFmtId="9" fontId="12" fillId="0" borderId="44" xfId="0" applyNumberFormat="1" applyFont="1" applyBorder="1" applyAlignment="1">
      <alignment horizontal="center" vertical="center"/>
    </xf>
    <xf numFmtId="0" fontId="14" fillId="0" borderId="0" xfId="2" applyFont="1" applyAlignment="1">
      <alignment vertical="center"/>
    </xf>
    <xf numFmtId="165" fontId="11" fillId="0" borderId="0" xfId="1" applyNumberFormat="1" applyFont="1" applyBorder="1" applyAlignment="1">
      <alignment horizontal="center" vertical="center"/>
    </xf>
    <xf numFmtId="165" fontId="17" fillId="0" borderId="38" xfId="0" applyNumberFormat="1" applyFont="1" applyBorder="1" applyAlignment="1">
      <alignment horizontal="center" vertical="center" wrapText="1"/>
    </xf>
    <xf numFmtId="165" fontId="12" fillId="0" borderId="38" xfId="1" applyNumberFormat="1" applyFont="1" applyFill="1" applyBorder="1" applyAlignment="1">
      <alignment horizontal="center" vertical="center"/>
    </xf>
    <xf numFmtId="165" fontId="17" fillId="0" borderId="41" xfId="0" applyNumberFormat="1" applyFont="1" applyBorder="1" applyAlignment="1">
      <alignment horizontal="center" vertical="center" wrapText="1"/>
    </xf>
    <xf numFmtId="165" fontId="12" fillId="0" borderId="41" xfId="1" applyNumberFormat="1" applyFont="1" applyFill="1" applyBorder="1" applyAlignment="1">
      <alignment horizontal="center" vertical="center"/>
    </xf>
    <xf numFmtId="165" fontId="11" fillId="0" borderId="38" xfId="1" applyNumberFormat="1" applyFont="1" applyBorder="1" applyAlignment="1">
      <alignment horizontal="center" vertical="center"/>
    </xf>
    <xf numFmtId="165" fontId="18" fillId="5" borderId="22" xfId="0" applyNumberFormat="1" applyFont="1" applyFill="1" applyBorder="1" applyAlignment="1">
      <alignment horizontal="center" vertical="center" wrapText="1"/>
    </xf>
    <xf numFmtId="9" fontId="0" fillId="0" borderId="0" xfId="0" applyNumberFormat="1" applyAlignment="1">
      <alignment vertical="center"/>
    </xf>
    <xf numFmtId="165" fontId="12" fillId="0" borderId="40" xfId="1" applyNumberFormat="1" applyFont="1" applyBorder="1" applyAlignment="1">
      <alignment horizontal="center" vertical="center"/>
    </xf>
    <xf numFmtId="165" fontId="12" fillId="0" borderId="38" xfId="1" applyNumberFormat="1" applyFont="1" applyBorder="1" applyAlignment="1">
      <alignment horizontal="center" vertical="center"/>
    </xf>
    <xf numFmtId="165" fontId="12" fillId="0" borderId="41" xfId="1" applyNumberFormat="1" applyFont="1" applyBorder="1" applyAlignment="1">
      <alignment horizontal="center" vertical="center"/>
    </xf>
    <xf numFmtId="165" fontId="12" fillId="0" borderId="15" xfId="1" applyNumberFormat="1" applyFont="1" applyBorder="1" applyAlignment="1">
      <alignment horizontal="center" vertical="center"/>
    </xf>
    <xf numFmtId="165" fontId="12" fillId="0" borderId="30" xfId="1" applyNumberFormat="1" applyFont="1" applyBorder="1" applyAlignment="1">
      <alignment horizontal="center" vertical="center"/>
    </xf>
    <xf numFmtId="165" fontId="12" fillId="0" borderId="46" xfId="1" applyNumberFormat="1" applyFont="1" applyBorder="1" applyAlignment="1">
      <alignment horizontal="center" vertical="center"/>
    </xf>
    <xf numFmtId="165" fontId="12" fillId="0" borderId="30" xfId="1" applyNumberFormat="1" applyFont="1" applyFill="1" applyBorder="1" applyAlignment="1">
      <alignment horizontal="center" vertical="center"/>
    </xf>
    <xf numFmtId="165" fontId="12" fillId="0" borderId="46" xfId="1" applyNumberFormat="1" applyFont="1" applyFill="1" applyBorder="1" applyAlignment="1">
      <alignment horizontal="center" vertical="center"/>
    </xf>
    <xf numFmtId="165" fontId="12" fillId="0" borderId="42" xfId="1"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9" fontId="21" fillId="0" borderId="3" xfId="0" applyNumberFormat="1" applyFont="1" applyBorder="1" applyAlignment="1">
      <alignment horizontal="center" vertical="center"/>
    </xf>
    <xf numFmtId="9" fontId="21"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165" fontId="22" fillId="0" borderId="38" xfId="1" applyNumberFormat="1" applyFont="1" applyBorder="1" applyAlignment="1">
      <alignment horizontal="center" vertical="center"/>
    </xf>
    <xf numFmtId="165" fontId="23" fillId="5" borderId="38" xfId="0" applyNumberFormat="1" applyFont="1" applyFill="1" applyBorder="1" applyAlignment="1">
      <alignment horizontal="center" vertical="center" wrapText="1"/>
    </xf>
    <xf numFmtId="165" fontId="22" fillId="0" borderId="30" xfId="1" applyNumberFormat="1" applyFont="1" applyBorder="1" applyAlignment="1">
      <alignment horizontal="center" vertical="center"/>
    </xf>
    <xf numFmtId="165" fontId="23" fillId="5" borderId="30" xfId="0" applyNumberFormat="1" applyFont="1" applyFill="1" applyBorder="1" applyAlignment="1">
      <alignment horizontal="center" vertical="center" wrapText="1"/>
    </xf>
    <xf numFmtId="0" fontId="22" fillId="0" borderId="38" xfId="0" applyFont="1" applyBorder="1" applyAlignment="1">
      <alignment horizontal="center" vertical="center"/>
    </xf>
    <xf numFmtId="0" fontId="22" fillId="0" borderId="30" xfId="0" applyFont="1" applyBorder="1" applyAlignment="1">
      <alignment horizontal="center" vertical="center"/>
    </xf>
    <xf numFmtId="165" fontId="25" fillId="11" borderId="3" xfId="0" applyNumberFormat="1" applyFont="1" applyFill="1" applyBorder="1" applyAlignment="1">
      <alignment horizontal="center" vertical="center" wrapText="1"/>
    </xf>
    <xf numFmtId="165" fontId="24" fillId="0" borderId="3" xfId="0" applyNumberFormat="1" applyFont="1" applyBorder="1" applyAlignment="1">
      <alignment horizontal="center" vertical="center" wrapText="1"/>
    </xf>
    <xf numFmtId="165" fontId="12" fillId="0" borderId="40" xfId="0" applyNumberFormat="1" applyFont="1" applyBorder="1" applyAlignment="1">
      <alignment horizontal="center" vertical="center"/>
    </xf>
    <xf numFmtId="0" fontId="8" fillId="0" borderId="0" xfId="0" applyFont="1" applyAlignment="1">
      <alignment vertical="center" wrapText="1"/>
    </xf>
    <xf numFmtId="0" fontId="33" fillId="16" borderId="38" xfId="0" applyFont="1" applyFill="1" applyBorder="1" applyAlignment="1">
      <alignment horizontal="left" vertical="center"/>
    </xf>
    <xf numFmtId="0" fontId="33" fillId="16" borderId="0" xfId="0" applyFont="1" applyFill="1" applyBorder="1" applyAlignment="1">
      <alignment horizontal="left" vertical="center"/>
    </xf>
    <xf numFmtId="0" fontId="0" fillId="0" borderId="52" xfId="0" applyBorder="1" applyAlignment="1">
      <alignment horizontal="center" vertical="center"/>
    </xf>
    <xf numFmtId="0" fontId="0" fillId="0" borderId="3" xfId="0" applyBorder="1" applyAlignment="1">
      <alignment vertical="center"/>
    </xf>
    <xf numFmtId="0" fontId="21" fillId="2" borderId="3" xfId="0" applyFont="1" applyFill="1" applyBorder="1" applyAlignment="1">
      <alignment horizontal="center" vertical="center" wrapText="1"/>
    </xf>
    <xf numFmtId="165" fontId="12" fillId="0" borderId="0" xfId="1" applyNumberFormat="1" applyFont="1" applyBorder="1" applyAlignment="1">
      <alignment horizontal="center" vertical="center"/>
    </xf>
    <xf numFmtId="165" fontId="12" fillId="0" borderId="0" xfId="1" applyNumberFormat="1" applyFont="1" applyFill="1" applyBorder="1" applyAlignment="1">
      <alignment horizontal="center" vertical="center"/>
    </xf>
    <xf numFmtId="165" fontId="22" fillId="0" borderId="0" xfId="1" applyNumberFormat="1" applyFont="1" applyBorder="1" applyAlignment="1">
      <alignment horizontal="center" vertical="center"/>
    </xf>
    <xf numFmtId="165" fontId="23" fillId="5" borderId="0" xfId="0" applyNumberFormat="1" applyFont="1" applyFill="1" applyBorder="1" applyAlignment="1">
      <alignment horizontal="center" vertical="center" wrapText="1"/>
    </xf>
    <xf numFmtId="0" fontId="22" fillId="0" borderId="0" xfId="0" applyFont="1" applyBorder="1" applyAlignment="1">
      <alignment horizontal="center" vertical="center"/>
    </xf>
    <xf numFmtId="0" fontId="19" fillId="0" borderId="3" xfId="0" applyFont="1" applyBorder="1" applyAlignment="1">
      <alignment horizontal="justify" vertical="center" wrapText="1"/>
    </xf>
    <xf numFmtId="0" fontId="19" fillId="0" borderId="59" xfId="0" applyFont="1" applyBorder="1" applyAlignment="1">
      <alignment horizontal="justify" vertical="center" wrapText="1"/>
    </xf>
    <xf numFmtId="0" fontId="0" fillId="0" borderId="29" xfId="0" applyBorder="1" applyAlignment="1">
      <alignment horizontal="center" vertical="center"/>
    </xf>
    <xf numFmtId="0" fontId="8" fillId="0" borderId="0" xfId="0" applyFont="1" applyBorder="1" applyAlignment="1">
      <alignment vertical="center" wrapText="1"/>
    </xf>
    <xf numFmtId="165" fontId="34" fillId="5" borderId="24" xfId="0" applyNumberFormat="1" applyFont="1" applyFill="1" applyBorder="1" applyAlignment="1">
      <alignment vertical="center" wrapText="1"/>
    </xf>
    <xf numFmtId="0" fontId="30" fillId="17" borderId="4" xfId="0" applyFont="1" applyFill="1" applyBorder="1" applyAlignment="1">
      <alignment horizontal="center" vertical="center" wrapText="1"/>
    </xf>
    <xf numFmtId="0" fontId="31" fillId="18" borderId="4"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1" fillId="18" borderId="18" xfId="0" applyFont="1" applyFill="1" applyBorder="1" applyAlignment="1">
      <alignment horizontal="center" vertical="center" wrapText="1"/>
    </xf>
    <xf numFmtId="0" fontId="32" fillId="17" borderId="18" xfId="0" applyFont="1" applyFill="1" applyBorder="1" applyAlignment="1">
      <alignment horizontal="center" vertical="center" wrapText="1"/>
    </xf>
    <xf numFmtId="0" fontId="0" fillId="17" borderId="19" xfId="0" applyFill="1" applyBorder="1" applyAlignment="1">
      <alignment horizontal="center" vertical="center" wrapText="1"/>
    </xf>
    <xf numFmtId="0" fontId="31" fillId="30" borderId="4" xfId="0" applyFont="1" applyFill="1" applyBorder="1" applyAlignment="1">
      <alignment horizontal="center" vertical="center" wrapText="1"/>
    </xf>
    <xf numFmtId="0" fontId="31" fillId="30" borderId="3" xfId="0" applyFont="1" applyFill="1" applyBorder="1" applyAlignment="1">
      <alignment horizontal="center" vertical="center" wrapText="1"/>
    </xf>
    <xf numFmtId="0" fontId="31" fillId="30" borderId="19" xfId="0" applyFont="1" applyFill="1" applyBorder="1" applyAlignment="1">
      <alignment horizontal="center" vertical="center" wrapText="1"/>
    </xf>
    <xf numFmtId="0" fontId="19" fillId="0" borderId="18" xfId="0" applyFont="1" applyBorder="1" applyAlignment="1">
      <alignment horizontal="justify" vertical="center" wrapText="1"/>
    </xf>
    <xf numFmtId="0" fontId="19" fillId="0" borderId="61" xfId="0" applyFont="1" applyBorder="1" applyAlignment="1">
      <alignment horizontal="justify" vertical="center" wrapText="1"/>
    </xf>
    <xf numFmtId="0" fontId="31" fillId="30" borderId="4" xfId="0" applyFont="1" applyFill="1" applyBorder="1" applyAlignment="1">
      <alignment vertical="center" wrapText="1"/>
    </xf>
    <xf numFmtId="0" fontId="31" fillId="30" borderId="19" xfId="0" applyFont="1" applyFill="1" applyBorder="1" applyAlignment="1">
      <alignment vertical="center" wrapText="1"/>
    </xf>
    <xf numFmtId="0" fontId="31" fillId="30" borderId="3" xfId="0" applyFont="1" applyFill="1" applyBorder="1" applyAlignment="1">
      <alignment vertical="center" wrapText="1"/>
    </xf>
    <xf numFmtId="0" fontId="30" fillId="26" borderId="4" xfId="0" applyFont="1" applyFill="1" applyBorder="1" applyAlignment="1">
      <alignment horizontal="center" vertical="center" wrapText="1"/>
    </xf>
    <xf numFmtId="0" fontId="32" fillId="26" borderId="4" xfId="0" applyFont="1" applyFill="1" applyBorder="1" applyAlignment="1">
      <alignment horizontal="center" vertical="center" wrapText="1"/>
    </xf>
    <xf numFmtId="0" fontId="29" fillId="29" borderId="4" xfId="0" applyFont="1" applyFill="1" applyBorder="1" applyAlignment="1">
      <alignment horizontal="center" vertical="center" wrapText="1"/>
    </xf>
    <xf numFmtId="0" fontId="1" fillId="0" borderId="0" xfId="4"/>
    <xf numFmtId="0" fontId="15" fillId="0" borderId="41" xfId="0" applyFont="1" applyBorder="1" applyAlignment="1">
      <alignment vertical="center" wrapText="1"/>
    </xf>
    <xf numFmtId="0" fontId="37" fillId="25" borderId="0" xfId="0" applyFont="1" applyFill="1" applyBorder="1" applyAlignment="1">
      <alignment horizontal="center" vertical="center"/>
    </xf>
    <xf numFmtId="0" fontId="30" fillId="0" borderId="27" xfId="4" applyFont="1" applyBorder="1"/>
    <xf numFmtId="0" fontId="30" fillId="0" borderId="39" xfId="4" applyFont="1" applyBorder="1"/>
    <xf numFmtId="0" fontId="30" fillId="0" borderId="0" xfId="4" applyFont="1"/>
    <xf numFmtId="0" fontId="30" fillId="0" borderId="51" xfId="4" applyFont="1" applyBorder="1"/>
    <xf numFmtId="0" fontId="44" fillId="0" borderId="0" xfId="4" applyFont="1" applyAlignment="1">
      <alignment vertical="center" wrapText="1"/>
    </xf>
    <xf numFmtId="0" fontId="30" fillId="0" borderId="30" xfId="4" applyFont="1" applyBorder="1"/>
    <xf numFmtId="0" fontId="30" fillId="0" borderId="38" xfId="4" applyFont="1" applyBorder="1"/>
    <xf numFmtId="0" fontId="30" fillId="0" borderId="0" xfId="4" applyFont="1" applyAlignment="1">
      <alignment vertical="center" wrapText="1"/>
    </xf>
    <xf numFmtId="0" fontId="45" fillId="17" borderId="39" xfId="4" applyFont="1" applyFill="1" applyBorder="1" applyAlignment="1">
      <alignment vertical="center" wrapText="1"/>
    </xf>
    <xf numFmtId="0" fontId="45" fillId="17" borderId="0" xfId="4" applyFont="1" applyFill="1" applyAlignment="1">
      <alignment vertical="center" wrapText="1"/>
    </xf>
    <xf numFmtId="0" fontId="31" fillId="16" borderId="64" xfId="4" applyFont="1" applyFill="1" applyBorder="1" applyAlignment="1">
      <alignment horizontal="center" vertical="center" wrapText="1"/>
    </xf>
    <xf numFmtId="0" fontId="31" fillId="16" borderId="51" xfId="4" applyFont="1" applyFill="1" applyBorder="1" applyAlignment="1">
      <alignment horizontal="center" vertical="center" wrapText="1"/>
    </xf>
    <xf numFmtId="0" fontId="31" fillId="16" borderId="65" xfId="4" applyFont="1" applyFill="1" applyBorder="1" applyAlignment="1">
      <alignment horizontal="center" vertical="center" wrapText="1"/>
    </xf>
    <xf numFmtId="0" fontId="31" fillId="16" borderId="52" xfId="4" applyFont="1" applyFill="1" applyBorder="1" applyAlignment="1">
      <alignment horizontal="center" vertical="center" wrapText="1"/>
    </xf>
    <xf numFmtId="0" fontId="31" fillId="16" borderId="19" xfId="4" applyFont="1" applyFill="1" applyBorder="1" applyAlignment="1">
      <alignment horizontal="center" vertical="center" wrapText="1"/>
    </xf>
    <xf numFmtId="0" fontId="31" fillId="16" borderId="20" xfId="4" applyFont="1" applyFill="1" applyBorder="1" applyAlignment="1">
      <alignment horizontal="center" vertical="center" wrapText="1"/>
    </xf>
    <xf numFmtId="0" fontId="31" fillId="16" borderId="58" xfId="4" applyFont="1" applyFill="1" applyBorder="1" applyAlignment="1">
      <alignment horizontal="center" vertical="center" wrapText="1"/>
    </xf>
    <xf numFmtId="0" fontId="31" fillId="16" borderId="23" xfId="4" applyFont="1" applyFill="1" applyBorder="1" applyAlignment="1">
      <alignment horizontal="center" vertical="center" wrapText="1"/>
    </xf>
    <xf numFmtId="0" fontId="31" fillId="16" borderId="25" xfId="4" applyFont="1" applyFill="1" applyBorder="1" applyAlignment="1">
      <alignment horizontal="center" vertical="center" wrapText="1"/>
    </xf>
    <xf numFmtId="0" fontId="31" fillId="16" borderId="33" xfId="4" applyFont="1" applyFill="1" applyBorder="1" applyAlignment="1">
      <alignment horizontal="center" vertical="center" wrapText="1"/>
    </xf>
    <xf numFmtId="0" fontId="31" fillId="16" borderId="34" xfId="4" applyFont="1" applyFill="1" applyBorder="1" applyAlignment="1">
      <alignment horizontal="center" vertical="center" wrapText="1"/>
    </xf>
    <xf numFmtId="0" fontId="30" fillId="17" borderId="5" xfId="4" applyFont="1" applyFill="1" applyBorder="1" applyAlignment="1">
      <alignment horizontal="center" vertical="center"/>
    </xf>
    <xf numFmtId="0" fontId="30" fillId="0" borderId="18" xfId="4" applyFont="1" applyBorder="1" applyAlignment="1">
      <alignment horizontal="center" vertical="center"/>
    </xf>
    <xf numFmtId="0" fontId="30" fillId="17" borderId="7" xfId="4" applyFont="1" applyFill="1" applyBorder="1" applyAlignment="1">
      <alignment horizontal="center" vertical="center"/>
    </xf>
    <xf numFmtId="0" fontId="30" fillId="0" borderId="8" xfId="4" applyFont="1" applyBorder="1" applyAlignment="1">
      <alignment horizontal="center" vertical="center"/>
    </xf>
    <xf numFmtId="0" fontId="30" fillId="33" borderId="18" xfId="4" applyFont="1" applyFill="1" applyBorder="1" applyAlignment="1">
      <alignment horizontal="center" vertical="center"/>
    </xf>
    <xf numFmtId="9" fontId="30" fillId="34" borderId="9" xfId="4" applyNumberFormat="1" applyFont="1" applyFill="1" applyBorder="1" applyAlignment="1">
      <alignment horizontal="center" vertical="center"/>
    </xf>
    <xf numFmtId="9" fontId="30" fillId="34" borderId="3" xfId="4" applyNumberFormat="1" applyFont="1" applyFill="1" applyBorder="1" applyAlignment="1">
      <alignment horizontal="center" vertical="center"/>
    </xf>
    <xf numFmtId="9" fontId="30" fillId="34" borderId="10" xfId="4" applyNumberFormat="1" applyFont="1" applyFill="1" applyBorder="1" applyAlignment="1">
      <alignment horizontal="center" vertical="center"/>
    </xf>
    <xf numFmtId="0" fontId="30" fillId="34" borderId="9" xfId="4" applyFont="1" applyFill="1" applyBorder="1" applyAlignment="1">
      <alignment horizontal="center" vertical="center"/>
    </xf>
    <xf numFmtId="0" fontId="30" fillId="34" borderId="3" xfId="4" applyFont="1" applyFill="1" applyBorder="1" applyAlignment="1">
      <alignment horizontal="center" vertical="center"/>
    </xf>
    <xf numFmtId="0" fontId="30" fillId="34" borderId="10" xfId="4" applyFont="1" applyFill="1" applyBorder="1" applyAlignment="1">
      <alignment horizontal="center" vertical="center"/>
    </xf>
    <xf numFmtId="0" fontId="30" fillId="0" borderId="10" xfId="4" applyFont="1" applyBorder="1" applyAlignment="1">
      <alignment horizontal="justify" vertical="center" wrapText="1"/>
    </xf>
    <xf numFmtId="0" fontId="30" fillId="17" borderId="10" xfId="4" applyFont="1" applyFill="1" applyBorder="1" applyAlignment="1">
      <alignment horizontal="left" vertical="center" wrapText="1"/>
    </xf>
    <xf numFmtId="0" fontId="30" fillId="17" borderId="9" xfId="4" applyFont="1" applyFill="1" applyBorder="1" applyAlignment="1">
      <alignment horizontal="center" vertical="center"/>
    </xf>
    <xf numFmtId="0" fontId="30" fillId="0" borderId="10" xfId="4" applyFont="1" applyBorder="1" applyAlignment="1">
      <alignment horizontal="center" vertical="center"/>
    </xf>
    <xf numFmtId="9" fontId="30" fillId="33" borderId="9" xfId="4" applyNumberFormat="1" applyFont="1" applyFill="1" applyBorder="1" applyAlignment="1">
      <alignment horizontal="center" vertical="center"/>
    </xf>
    <xf numFmtId="9" fontId="30" fillId="33" borderId="3" xfId="4" applyNumberFormat="1" applyFont="1" applyFill="1" applyBorder="1" applyAlignment="1">
      <alignment horizontal="center" vertical="center"/>
    </xf>
    <xf numFmtId="9" fontId="30" fillId="33" borderId="10" xfId="4" applyNumberFormat="1" applyFont="1" applyFill="1" applyBorder="1" applyAlignment="1">
      <alignment horizontal="center" vertical="center"/>
    </xf>
    <xf numFmtId="0" fontId="30" fillId="17" borderId="4" xfId="4" applyFont="1" applyFill="1" applyBorder="1" applyAlignment="1">
      <alignment horizontal="center" vertical="center" wrapText="1"/>
    </xf>
    <xf numFmtId="0" fontId="30" fillId="0" borderId="62" xfId="4" applyFont="1" applyBorder="1" applyAlignment="1">
      <alignment horizontal="center" vertical="center"/>
    </xf>
    <xf numFmtId="0" fontId="30" fillId="17" borderId="18" xfId="4" applyFont="1" applyFill="1" applyBorder="1" applyAlignment="1">
      <alignment horizontal="center" vertical="center" wrapText="1"/>
    </xf>
    <xf numFmtId="14" fontId="30" fillId="0" borderId="68" xfId="4" applyNumberFormat="1" applyFont="1" applyBorder="1" applyAlignment="1">
      <alignment horizontal="center" vertical="center"/>
    </xf>
    <xf numFmtId="14" fontId="30" fillId="0" borderId="62" xfId="4" applyNumberFormat="1" applyFont="1" applyBorder="1" applyAlignment="1">
      <alignment horizontal="center" vertical="center"/>
    </xf>
    <xf numFmtId="0" fontId="30" fillId="33" borderId="62" xfId="4" applyFont="1" applyFill="1" applyBorder="1" applyAlignment="1">
      <alignment horizontal="center" vertical="center"/>
    </xf>
    <xf numFmtId="9" fontId="30" fillId="33" borderId="11" xfId="4" applyNumberFormat="1" applyFont="1" applyFill="1" applyBorder="1" applyAlignment="1">
      <alignment horizontal="center" vertical="center"/>
    </xf>
    <xf numFmtId="9" fontId="30" fillId="33" borderId="6" xfId="4" applyNumberFormat="1" applyFont="1" applyFill="1" applyBorder="1" applyAlignment="1">
      <alignment horizontal="center" vertical="center"/>
    </xf>
    <xf numFmtId="9" fontId="30" fillId="33" borderId="12" xfId="4" applyNumberFormat="1" applyFont="1" applyFill="1" applyBorder="1" applyAlignment="1">
      <alignment horizontal="center" vertical="center"/>
    </xf>
    <xf numFmtId="0" fontId="30" fillId="17" borderId="32" xfId="4" applyFont="1" applyFill="1" applyBorder="1" applyAlignment="1">
      <alignment horizontal="center" vertical="center"/>
    </xf>
    <xf numFmtId="0" fontId="30" fillId="17" borderId="0" xfId="4" applyFont="1" applyFill="1"/>
    <xf numFmtId="0" fontId="30" fillId="0" borderId="9" xfId="4" applyFont="1" applyBorder="1" applyAlignment="1">
      <alignment horizontal="center" vertical="center"/>
    </xf>
    <xf numFmtId="0" fontId="30" fillId="17" borderId="10" xfId="4" applyFont="1" applyFill="1" applyBorder="1" applyAlignment="1">
      <alignment horizontal="center" vertical="center"/>
    </xf>
    <xf numFmtId="14" fontId="30" fillId="17" borderId="3" xfId="4" applyNumberFormat="1" applyFont="1" applyFill="1" applyBorder="1" applyAlignment="1">
      <alignment horizontal="center" vertical="center"/>
    </xf>
    <xf numFmtId="0" fontId="30" fillId="17" borderId="19" xfId="4" applyFont="1" applyFill="1" applyBorder="1" applyAlignment="1">
      <alignment horizontal="center" vertical="center" wrapText="1"/>
    </xf>
    <xf numFmtId="0" fontId="30" fillId="17" borderId="18" xfId="4" applyFont="1" applyFill="1" applyBorder="1" applyAlignment="1">
      <alignment horizontal="center" vertical="center"/>
    </xf>
    <xf numFmtId="0" fontId="30" fillId="0" borderId="31" xfId="4" applyFont="1" applyBorder="1" applyAlignment="1">
      <alignment horizontal="center" vertical="center"/>
    </xf>
    <xf numFmtId="14" fontId="30" fillId="0" borderId="6" xfId="4" applyNumberFormat="1" applyFont="1" applyBorder="1" applyAlignment="1">
      <alignment horizontal="center" vertical="center"/>
    </xf>
    <xf numFmtId="0" fontId="30" fillId="34" borderId="11" xfId="4" applyFont="1" applyFill="1" applyBorder="1" applyAlignment="1">
      <alignment horizontal="center" vertical="center"/>
    </xf>
    <xf numFmtId="0" fontId="30" fillId="34" borderId="6" xfId="4" applyFont="1" applyFill="1" applyBorder="1" applyAlignment="1">
      <alignment horizontal="center" vertical="center"/>
    </xf>
    <xf numFmtId="9" fontId="30" fillId="34" borderId="12" xfId="4" applyNumberFormat="1" applyFont="1" applyFill="1" applyBorder="1" applyAlignment="1">
      <alignment horizontal="center" vertical="center"/>
    </xf>
    <xf numFmtId="0" fontId="30" fillId="0" borderId="16" xfId="4" applyFont="1" applyBorder="1" applyAlignment="1">
      <alignment horizontal="center" vertical="center" wrapText="1"/>
    </xf>
    <xf numFmtId="0" fontId="30" fillId="0" borderId="19" xfId="4" applyFont="1" applyBorder="1" applyAlignment="1">
      <alignment horizontal="center" vertical="center" wrapText="1"/>
    </xf>
    <xf numFmtId="0" fontId="30" fillId="0" borderId="18" xfId="4" applyFont="1" applyBorder="1" applyAlignment="1">
      <alignment horizontal="center" vertical="center" wrapText="1"/>
    </xf>
    <xf numFmtId="0" fontId="30" fillId="0" borderId="4" xfId="4" applyFont="1" applyBorder="1" applyAlignment="1">
      <alignment horizontal="center" vertical="center" wrapText="1"/>
    </xf>
    <xf numFmtId="0" fontId="1" fillId="0" borderId="19" xfId="4" applyBorder="1" applyAlignment="1">
      <alignment horizontal="center" vertical="center" wrapText="1"/>
    </xf>
    <xf numFmtId="0" fontId="32" fillId="17" borderId="3" xfId="4" applyFont="1" applyFill="1" applyBorder="1" applyAlignment="1">
      <alignment horizontal="center" vertical="center"/>
    </xf>
    <xf numFmtId="0" fontId="30" fillId="0" borderId="15" xfId="4" applyFont="1" applyBorder="1" applyAlignment="1">
      <alignment horizontal="center" vertical="center" wrapText="1"/>
    </xf>
    <xf numFmtId="0" fontId="32" fillId="17" borderId="4" xfId="4" applyFont="1" applyFill="1" applyBorder="1" applyAlignment="1">
      <alignment horizontal="center" vertical="center" wrapText="1"/>
    </xf>
    <xf numFmtId="0" fontId="1" fillId="17" borderId="19" xfId="4" applyFill="1" applyBorder="1" applyAlignment="1">
      <alignment horizontal="center" vertical="center" wrapText="1"/>
    </xf>
    <xf numFmtId="0" fontId="32" fillId="17" borderId="19" xfId="4" applyFont="1" applyFill="1" applyBorder="1" applyAlignment="1">
      <alignment horizontal="center" vertical="center" wrapText="1"/>
    </xf>
    <xf numFmtId="14" fontId="30" fillId="17" borderId="18" xfId="4" applyNumberFormat="1" applyFont="1" applyFill="1" applyBorder="1" applyAlignment="1">
      <alignment horizontal="center" vertical="center"/>
    </xf>
    <xf numFmtId="0" fontId="32" fillId="17" borderId="18" xfId="4" applyFont="1" applyFill="1" applyBorder="1" applyAlignment="1">
      <alignment horizontal="center" vertical="center" wrapText="1"/>
    </xf>
    <xf numFmtId="14" fontId="30" fillId="0" borderId="4" xfId="4" applyNumberFormat="1" applyFont="1" applyBorder="1" applyAlignment="1">
      <alignment horizontal="center" vertical="center"/>
    </xf>
    <xf numFmtId="0" fontId="30" fillId="0" borderId="4" xfId="4" applyFont="1" applyBorder="1" applyAlignment="1">
      <alignment horizontal="center" vertical="center"/>
    </xf>
    <xf numFmtId="0" fontId="30" fillId="34" borderId="17" xfId="4" applyFont="1" applyFill="1" applyBorder="1" applyAlignment="1">
      <alignment horizontal="center" vertical="center"/>
    </xf>
    <xf numFmtId="0" fontId="30" fillId="34" borderId="4" xfId="4" applyFont="1" applyFill="1" applyBorder="1" applyAlignment="1">
      <alignment horizontal="center" vertical="center"/>
    </xf>
    <xf numFmtId="0" fontId="30" fillId="34" borderId="13" xfId="4" applyFont="1" applyFill="1" applyBorder="1" applyAlignment="1">
      <alignment horizontal="center" vertical="center"/>
    </xf>
    <xf numFmtId="0" fontId="30" fillId="0" borderId="39" xfId="4" applyFont="1" applyBorder="1" applyAlignment="1">
      <alignment horizontal="center" vertical="center" wrapText="1"/>
    </xf>
    <xf numFmtId="0" fontId="1" fillId="17" borderId="63" xfId="4" applyFill="1" applyBorder="1" applyAlignment="1">
      <alignment horizontal="center" vertical="center" wrapText="1"/>
    </xf>
    <xf numFmtId="0" fontId="30" fillId="33" borderId="63" xfId="4" applyFont="1" applyFill="1" applyBorder="1" applyAlignment="1">
      <alignment horizontal="center" vertical="center"/>
    </xf>
    <xf numFmtId="0" fontId="32" fillId="17" borderId="80" xfId="4" applyFont="1" applyFill="1" applyBorder="1" applyAlignment="1">
      <alignment horizontal="center" vertical="center" wrapText="1"/>
    </xf>
    <xf numFmtId="0" fontId="32" fillId="17" borderId="3" xfId="4" applyFont="1" applyFill="1" applyBorder="1" applyAlignment="1">
      <alignment horizontal="center" vertical="center" wrapText="1"/>
    </xf>
    <xf numFmtId="14" fontId="30" fillId="0" borderId="3" xfId="4" applyNumberFormat="1" applyFont="1" applyBorder="1" applyAlignment="1">
      <alignment horizontal="center" vertical="center"/>
    </xf>
    <xf numFmtId="0" fontId="30" fillId="0" borderId="3" xfId="4" applyFont="1" applyBorder="1" applyAlignment="1">
      <alignment horizontal="center" vertical="center"/>
    </xf>
    <xf numFmtId="0" fontId="30" fillId="17" borderId="3" xfId="4" applyFont="1" applyFill="1" applyBorder="1" applyAlignment="1">
      <alignment horizontal="center" vertical="center"/>
    </xf>
    <xf numFmtId="0" fontId="30" fillId="33" borderId="3" xfId="4" applyFont="1" applyFill="1" applyBorder="1" applyAlignment="1">
      <alignment horizontal="center" vertical="center"/>
    </xf>
    <xf numFmtId="0" fontId="30" fillId="0" borderId="0" xfId="4" applyFont="1" applyAlignment="1">
      <alignment horizontal="center" vertical="center"/>
    </xf>
    <xf numFmtId="0" fontId="48" fillId="0" borderId="0" xfId="4" applyFont="1" applyAlignment="1">
      <alignment horizontal="center" vertical="center"/>
    </xf>
    <xf numFmtId="0" fontId="30" fillId="0" borderId="0" xfId="4" applyFont="1" applyAlignment="1">
      <alignment wrapText="1"/>
    </xf>
    <xf numFmtId="0" fontId="36" fillId="34" borderId="0" xfId="4" applyFont="1" applyFill="1" applyAlignment="1">
      <alignment horizontal="center" vertical="center"/>
    </xf>
    <xf numFmtId="10" fontId="36" fillId="0" borderId="0" xfId="4" applyNumberFormat="1" applyFont="1" applyAlignment="1">
      <alignment horizontal="center" vertical="center"/>
    </xf>
    <xf numFmtId="0" fontId="36" fillId="0" borderId="0" xfId="4" applyFont="1" applyAlignment="1">
      <alignment horizontal="center" vertical="center"/>
    </xf>
    <xf numFmtId="0" fontId="48" fillId="0" borderId="0" xfId="4" applyFont="1" applyAlignment="1">
      <alignment wrapText="1"/>
    </xf>
    <xf numFmtId="0" fontId="36" fillId="40" borderId="0" xfId="4" applyFont="1" applyFill="1" applyAlignment="1">
      <alignment horizontal="center" vertical="center"/>
    </xf>
    <xf numFmtId="10" fontId="36" fillId="40" borderId="0" xfId="4" applyNumberFormat="1" applyFont="1" applyFill="1" applyAlignment="1">
      <alignment horizontal="center" vertical="center"/>
    </xf>
    <xf numFmtId="0" fontId="30" fillId="0" borderId="49" xfId="4" applyFont="1" applyBorder="1"/>
    <xf numFmtId="0" fontId="36" fillId="0" borderId="21" xfId="4" applyFont="1" applyBorder="1" applyAlignment="1">
      <alignment horizontal="center" vertical="center"/>
    </xf>
    <xf numFmtId="0" fontId="30" fillId="0" borderId="21" xfId="4" applyFont="1" applyBorder="1"/>
    <xf numFmtId="0" fontId="36" fillId="0" borderId="47" xfId="4" applyFont="1" applyBorder="1" applyAlignment="1">
      <alignment horizontal="center" vertical="center"/>
    </xf>
    <xf numFmtId="49" fontId="51" fillId="0" borderId="0" xfId="6" applyProtection="1">
      <alignment horizontal="left" vertical="center"/>
      <protection locked="0"/>
    </xf>
    <xf numFmtId="166" fontId="52" fillId="0" borderId="0" xfId="7" applyProtection="1">
      <protection locked="0"/>
    </xf>
    <xf numFmtId="0" fontId="0" fillId="0" borderId="0" xfId="0" applyProtection="1">
      <protection locked="0"/>
    </xf>
    <xf numFmtId="0" fontId="32" fillId="26" borderId="18" xfId="0" applyFont="1" applyFill="1" applyBorder="1" applyAlignment="1">
      <alignment horizontal="center" vertical="center" wrapText="1"/>
    </xf>
    <xf numFmtId="0" fontId="31" fillId="18" borderId="4" xfId="0" applyFont="1" applyFill="1" applyBorder="1" applyAlignment="1">
      <alignment vertical="center" wrapText="1"/>
    </xf>
    <xf numFmtId="0" fontId="31" fillId="18" borderId="19" xfId="0" applyFont="1" applyFill="1" applyBorder="1" applyAlignment="1">
      <alignment vertical="center" wrapText="1"/>
    </xf>
    <xf numFmtId="164" fontId="30" fillId="26" borderId="18" xfId="0" applyNumberFormat="1" applyFont="1" applyFill="1" applyBorder="1" applyAlignment="1">
      <alignment horizontal="center" vertical="center" wrapText="1"/>
    </xf>
    <xf numFmtId="0" fontId="54" fillId="28" borderId="0" xfId="4" applyFont="1" applyFill="1" applyAlignment="1">
      <alignment horizontal="center"/>
    </xf>
    <xf numFmtId="0" fontId="55" fillId="0" borderId="0" xfId="4" applyFont="1"/>
    <xf numFmtId="0" fontId="58" fillId="12" borderId="3" xfId="4" applyFont="1" applyFill="1" applyBorder="1" applyAlignment="1">
      <alignment horizontal="center" vertical="center" wrapText="1"/>
    </xf>
    <xf numFmtId="0" fontId="59" fillId="0" borderId="3" xfId="4" applyFont="1" applyBorder="1" applyAlignment="1">
      <alignment horizontal="center" vertical="center" wrapText="1"/>
    </xf>
    <xf numFmtId="0" fontId="29" fillId="16" borderId="24" xfId="4" applyFont="1" applyFill="1" applyBorder="1" applyAlignment="1">
      <alignment horizontal="center" vertical="center" wrapText="1"/>
    </xf>
    <xf numFmtId="0" fontId="29" fillId="16" borderId="4" xfId="4" applyFont="1" applyFill="1" applyBorder="1" applyAlignment="1">
      <alignment horizontal="center" vertical="center" wrapText="1"/>
    </xf>
    <xf numFmtId="0" fontId="29" fillId="16" borderId="19" xfId="4" applyFont="1" applyFill="1" applyBorder="1" applyAlignment="1">
      <alignment horizontal="center" vertical="center" wrapText="1"/>
    </xf>
    <xf numFmtId="0" fontId="56" fillId="0" borderId="38" xfId="4" applyFont="1" applyBorder="1" applyAlignment="1">
      <alignment horizontal="left"/>
    </xf>
    <xf numFmtId="0" fontId="58" fillId="12" borderId="27" xfId="4" applyFont="1" applyFill="1" applyBorder="1" applyAlignment="1">
      <alignment horizontal="center" vertical="center" wrapText="1"/>
    </xf>
    <xf numFmtId="0" fontId="58" fillId="12" borderId="39" xfId="4" applyFont="1" applyFill="1" applyBorder="1" applyAlignment="1">
      <alignment horizontal="center" vertical="center" wrapText="1"/>
    </xf>
    <xf numFmtId="0" fontId="58" fillId="12" borderId="26" xfId="4" applyFont="1" applyFill="1" applyBorder="1" applyAlignment="1">
      <alignment horizontal="center" vertical="center" wrapText="1"/>
    </xf>
    <xf numFmtId="0" fontId="58" fillId="12" borderId="30" xfId="4" applyFont="1" applyFill="1" applyBorder="1" applyAlignment="1">
      <alignment horizontal="center" vertical="center" wrapText="1"/>
    </xf>
    <xf numFmtId="0" fontId="58" fillId="12" borderId="38" xfId="4" applyFont="1" applyFill="1" applyBorder="1" applyAlignment="1">
      <alignment horizontal="center" vertical="center" wrapText="1"/>
    </xf>
    <xf numFmtId="0" fontId="58" fillId="12" borderId="29" xfId="4" applyFont="1" applyFill="1" applyBorder="1" applyAlignment="1">
      <alignment horizontal="center" vertical="center" wrapText="1"/>
    </xf>
    <xf numFmtId="0" fontId="58" fillId="12" borderId="15" xfId="4" applyFont="1" applyFill="1" applyBorder="1" applyAlignment="1">
      <alignment horizontal="center" vertical="center" wrapText="1"/>
    </xf>
    <xf numFmtId="0" fontId="58" fillId="12" borderId="40" xfId="4" applyFont="1" applyFill="1" applyBorder="1" applyAlignment="1">
      <alignment horizontal="center" vertical="center" wrapText="1"/>
    </xf>
    <xf numFmtId="0" fontId="58" fillId="12" borderId="14" xfId="4" applyFont="1" applyFill="1" applyBorder="1" applyAlignment="1">
      <alignment horizontal="center" vertical="center" wrapText="1"/>
    </xf>
    <xf numFmtId="14" fontId="59" fillId="0" borderId="15" xfId="4" applyNumberFormat="1" applyFont="1" applyBorder="1" applyAlignment="1">
      <alignment horizontal="center" vertical="center" wrapText="1"/>
    </xf>
    <xf numFmtId="14" fontId="59" fillId="0" borderId="40" xfId="4" applyNumberFormat="1" applyFont="1" applyBorder="1" applyAlignment="1">
      <alignment horizontal="center" vertical="center" wrapText="1"/>
    </xf>
    <xf numFmtId="14" fontId="59" fillId="0" borderId="14" xfId="4" applyNumberFormat="1" applyFont="1" applyBorder="1" applyAlignment="1">
      <alignment horizontal="center" vertical="center" wrapText="1"/>
    </xf>
    <xf numFmtId="0" fontId="59" fillId="0" borderId="15" xfId="4" applyFont="1" applyBorder="1" applyAlignment="1">
      <alignment horizontal="left" vertical="center" wrapText="1"/>
    </xf>
    <xf numFmtId="0" fontId="59" fillId="0" borderId="40" xfId="4" applyFont="1" applyBorder="1" applyAlignment="1">
      <alignment horizontal="left" vertical="center" wrapText="1"/>
    </xf>
    <xf numFmtId="0" fontId="59" fillId="0" borderId="14" xfId="4" applyFont="1" applyBorder="1" applyAlignment="1">
      <alignment horizontal="left" vertical="center" wrapText="1"/>
    </xf>
    <xf numFmtId="0" fontId="38" fillId="27" borderId="3" xfId="0" applyFont="1" applyFill="1" applyBorder="1" applyAlignment="1">
      <alignment horizontal="left" vertical="center"/>
    </xf>
    <xf numFmtId="9" fontId="34" fillId="5" borderId="27" xfId="0" applyNumberFormat="1" applyFont="1" applyFill="1" applyBorder="1" applyAlignment="1">
      <alignment horizontal="center" vertical="center" wrapText="1"/>
    </xf>
    <xf numFmtId="9" fontId="34" fillId="5" borderId="39" xfId="0" applyNumberFormat="1" applyFont="1" applyFill="1" applyBorder="1" applyAlignment="1">
      <alignment horizontal="center" vertical="center" wrapText="1"/>
    </xf>
    <xf numFmtId="9" fontId="34" fillId="5" borderId="51" xfId="0" applyNumberFormat="1" applyFont="1" applyFill="1" applyBorder="1" applyAlignment="1">
      <alignment horizontal="center" vertical="center" wrapText="1"/>
    </xf>
    <xf numFmtId="9" fontId="34" fillId="5" borderId="0" xfId="0" applyNumberFormat="1" applyFont="1" applyFill="1" applyBorder="1" applyAlignment="1">
      <alignment horizontal="center" vertical="center" wrapText="1"/>
    </xf>
    <xf numFmtId="9" fontId="34" fillId="5" borderId="30" xfId="0" applyNumberFormat="1" applyFont="1" applyFill="1" applyBorder="1" applyAlignment="1">
      <alignment horizontal="center" vertical="center" wrapText="1"/>
    </xf>
    <xf numFmtId="9" fontId="34" fillId="5" borderId="38" xfId="0" applyNumberFormat="1" applyFont="1" applyFill="1" applyBorder="1" applyAlignment="1">
      <alignment horizontal="center" vertical="center" wrapText="1"/>
    </xf>
    <xf numFmtId="0" fontId="34" fillId="19" borderId="27" xfId="0" applyFont="1" applyFill="1" applyBorder="1" applyAlignment="1">
      <alignment horizontal="right" vertical="center" wrapText="1"/>
    </xf>
    <xf numFmtId="0" fontId="34" fillId="19" borderId="51" xfId="0" applyFont="1" applyFill="1" applyBorder="1" applyAlignment="1">
      <alignment horizontal="right" vertical="center" wrapText="1"/>
    </xf>
    <xf numFmtId="0" fontId="34" fillId="19" borderId="30" xfId="0" applyFont="1" applyFill="1" applyBorder="1" applyAlignment="1">
      <alignment horizontal="right" vertical="center" wrapText="1"/>
    </xf>
    <xf numFmtId="0" fontId="19" fillId="0" borderId="61" xfId="0" applyFont="1" applyBorder="1" applyAlignment="1">
      <alignment horizontal="justify" vertical="center" wrapText="1"/>
    </xf>
    <xf numFmtId="0" fontId="19" fillId="0" borderId="59" xfId="0" applyFont="1" applyBorder="1" applyAlignment="1">
      <alignment horizontal="justify" vertical="center" wrapText="1"/>
    </xf>
    <xf numFmtId="0" fontId="0" fillId="0" borderId="52" xfId="0" applyBorder="1" applyAlignment="1">
      <alignment horizontal="center" vertical="center"/>
    </xf>
    <xf numFmtId="0" fontId="0" fillId="0" borderId="29" xfId="0" applyBorder="1" applyAlignment="1">
      <alignment horizontal="center" vertical="center"/>
    </xf>
    <xf numFmtId="0" fontId="19" fillId="0" borderId="18" xfId="0" applyFont="1" applyBorder="1" applyAlignment="1">
      <alignment horizontal="justify" vertical="center" wrapText="1"/>
    </xf>
    <xf numFmtId="0" fontId="19" fillId="0" borderId="3" xfId="0" applyFont="1" applyBorder="1" applyAlignment="1">
      <alignment horizontal="justify" vertical="center" wrapText="1"/>
    </xf>
    <xf numFmtId="0" fontId="34" fillId="6" borderId="3" xfId="0" applyFont="1" applyFill="1" applyBorder="1" applyAlignment="1">
      <alignment horizontal="center" vertical="center" wrapText="1"/>
    </xf>
    <xf numFmtId="0" fontId="37" fillId="25" borderId="60" xfId="0" applyFont="1" applyFill="1" applyBorder="1" applyAlignment="1">
      <alignment horizontal="center" vertical="center"/>
    </xf>
    <xf numFmtId="0" fontId="37" fillId="25" borderId="38" xfId="0" applyFont="1" applyFill="1" applyBorder="1" applyAlignment="1">
      <alignment horizontal="center" vertical="center"/>
    </xf>
    <xf numFmtId="0" fontId="37" fillId="25" borderId="61" xfId="0" applyFont="1" applyFill="1" applyBorder="1" applyAlignment="1">
      <alignment horizontal="center" vertical="center"/>
    </xf>
    <xf numFmtId="49" fontId="40" fillId="23" borderId="39" xfId="3" applyNumberFormat="1" applyFont="1" applyFill="1" applyBorder="1" applyAlignment="1">
      <alignment horizontal="center" vertical="center" textRotation="90"/>
    </xf>
    <xf numFmtId="49" fontId="40" fillId="23" borderId="0" xfId="3" applyNumberFormat="1" applyFont="1" applyFill="1" applyAlignment="1">
      <alignment horizontal="center" vertical="center" textRotation="90"/>
    </xf>
    <xf numFmtId="0" fontId="40" fillId="21" borderId="39" xfId="3" applyFont="1" applyFill="1" applyBorder="1" applyAlignment="1">
      <alignment horizontal="center" vertical="center" textRotation="90"/>
    </xf>
    <xf numFmtId="0" fontId="40" fillId="21" borderId="0" xfId="3" applyFont="1" applyFill="1" applyAlignment="1">
      <alignment horizontal="center" vertical="center" textRotation="90"/>
    </xf>
    <xf numFmtId="0" fontId="40" fillId="20" borderId="39" xfId="3" applyFont="1" applyFill="1" applyBorder="1" applyAlignment="1">
      <alignment horizontal="center" vertical="center" textRotation="90"/>
    </xf>
    <xf numFmtId="0" fontId="40" fillId="20" borderId="0" xfId="3" applyFont="1" applyFill="1" applyAlignment="1">
      <alignment horizontal="center" vertical="center" textRotation="90"/>
    </xf>
    <xf numFmtId="0" fontId="40" fillId="10" borderId="39" xfId="3" applyFont="1" applyFill="1" applyBorder="1" applyAlignment="1">
      <alignment horizontal="center" vertical="center" textRotation="90"/>
    </xf>
    <xf numFmtId="0" fontId="40" fillId="10" borderId="0" xfId="3" applyFont="1" applyFill="1" applyAlignment="1">
      <alignment horizontal="center" vertical="center" textRotation="90"/>
    </xf>
    <xf numFmtId="0" fontId="40" fillId="22" borderId="39" xfId="3" applyFont="1" applyFill="1" applyBorder="1" applyAlignment="1">
      <alignment horizontal="center" vertical="center" textRotation="90"/>
    </xf>
    <xf numFmtId="0" fontId="40" fillId="22" borderId="0" xfId="3" applyFont="1" applyFill="1" applyAlignment="1">
      <alignment horizontal="center" vertical="center" textRotation="90"/>
    </xf>
    <xf numFmtId="0" fontId="2" fillId="6" borderId="3" xfId="0" applyFont="1" applyFill="1" applyBorder="1" applyAlignment="1">
      <alignment horizontal="center" vertical="center"/>
    </xf>
    <xf numFmtId="0" fontId="14" fillId="6"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0" fillId="23" borderId="39" xfId="3" applyFont="1" applyFill="1" applyBorder="1" applyAlignment="1">
      <alignment horizontal="center" vertical="center" textRotation="90"/>
    </xf>
    <xf numFmtId="0" fontId="40" fillId="23" borderId="0" xfId="3" applyFont="1" applyFill="1" applyAlignment="1">
      <alignment horizontal="center" vertical="center" textRotation="90"/>
    </xf>
    <xf numFmtId="0" fontId="34" fillId="19" borderId="39" xfId="0" applyFont="1" applyFill="1" applyBorder="1" applyAlignment="1">
      <alignment horizontal="right" vertical="center" wrapText="1"/>
    </xf>
    <xf numFmtId="0" fontId="34" fillId="19" borderId="26" xfId="0" applyFont="1" applyFill="1" applyBorder="1" applyAlignment="1">
      <alignment horizontal="right" vertical="center" wrapText="1"/>
    </xf>
    <xf numFmtId="0" fontId="34" fillId="19" borderId="0" xfId="0" applyFont="1" applyFill="1" applyBorder="1" applyAlignment="1">
      <alignment horizontal="right" vertical="center" wrapText="1"/>
    </xf>
    <xf numFmtId="0" fontId="34" fillId="19" borderId="52" xfId="0" applyFont="1" applyFill="1" applyBorder="1" applyAlignment="1">
      <alignment horizontal="right" vertical="center" wrapText="1"/>
    </xf>
    <xf numFmtId="0" fontId="34" fillId="19" borderId="38" xfId="0" applyFont="1" applyFill="1" applyBorder="1" applyAlignment="1">
      <alignment horizontal="right" vertical="center" wrapText="1"/>
    </xf>
    <xf numFmtId="0" fontId="34" fillId="19" borderId="29" xfId="0" applyFont="1" applyFill="1" applyBorder="1" applyAlignment="1">
      <alignment horizontal="right" vertical="center" wrapText="1"/>
    </xf>
    <xf numFmtId="9" fontId="34" fillId="5" borderId="27" xfId="0" applyNumberFormat="1" applyFont="1" applyFill="1" applyBorder="1" applyAlignment="1">
      <alignment horizontal="left" vertical="center" wrapText="1"/>
    </xf>
    <xf numFmtId="9" fontId="34" fillId="5" borderId="39" xfId="0" applyNumberFormat="1" applyFont="1" applyFill="1" applyBorder="1" applyAlignment="1">
      <alignment horizontal="left" vertical="center" wrapText="1"/>
    </xf>
    <xf numFmtId="9" fontId="34" fillId="5" borderId="26" xfId="0" applyNumberFormat="1" applyFont="1" applyFill="1" applyBorder="1" applyAlignment="1">
      <alignment horizontal="left" vertical="center" wrapText="1"/>
    </xf>
    <xf numFmtId="9" fontId="34" fillId="5" borderId="51" xfId="0" applyNumberFormat="1" applyFont="1" applyFill="1" applyBorder="1" applyAlignment="1">
      <alignment horizontal="left" vertical="center" wrapText="1"/>
    </xf>
    <xf numFmtId="9" fontId="34" fillId="5" borderId="0" xfId="0" applyNumberFormat="1" applyFont="1" applyFill="1" applyBorder="1" applyAlignment="1">
      <alignment horizontal="left" vertical="center" wrapText="1"/>
    </xf>
    <xf numFmtId="9" fontId="34" fillId="5" borderId="52" xfId="0" applyNumberFormat="1" applyFont="1" applyFill="1" applyBorder="1" applyAlignment="1">
      <alignment horizontal="left" vertical="center" wrapText="1"/>
    </xf>
    <xf numFmtId="9" fontId="34" fillId="5" borderId="30" xfId="0" applyNumberFormat="1" applyFont="1" applyFill="1" applyBorder="1" applyAlignment="1">
      <alignment horizontal="left" vertical="center" wrapText="1"/>
    </xf>
    <xf numFmtId="9" fontId="34" fillId="5" borderId="38" xfId="0" applyNumberFormat="1" applyFont="1" applyFill="1" applyBorder="1" applyAlignment="1">
      <alignment horizontal="left" vertical="center" wrapText="1"/>
    </xf>
    <xf numFmtId="9" fontId="34" fillId="5" borderId="29" xfId="0" applyNumberFormat="1" applyFont="1" applyFill="1" applyBorder="1" applyAlignment="1">
      <alignment horizontal="left" vertical="center" wrapText="1"/>
    </xf>
    <xf numFmtId="9" fontId="39" fillId="28" borderId="4" xfId="1" applyFont="1" applyFill="1" applyBorder="1" applyAlignment="1">
      <alignment horizontal="left" vertical="center"/>
    </xf>
    <xf numFmtId="9" fontId="39" fillId="28" borderId="19" xfId="1" applyFont="1" applyFill="1" applyBorder="1" applyAlignment="1">
      <alignment horizontal="left" vertical="center"/>
    </xf>
    <xf numFmtId="9" fontId="39" fillId="28" borderId="37" xfId="1" applyFont="1" applyFill="1" applyBorder="1" applyAlignment="1">
      <alignment horizontal="left" vertical="center"/>
    </xf>
    <xf numFmtId="0" fontId="34" fillId="19" borderId="3" xfId="0" applyFont="1" applyFill="1" applyBorder="1" applyAlignment="1">
      <alignment horizontal="right" vertical="center"/>
    </xf>
    <xf numFmtId="165" fontId="34" fillId="5" borderId="24" xfId="0" applyNumberFormat="1" applyFont="1" applyFill="1" applyBorder="1" applyAlignment="1">
      <alignment horizontal="left" vertical="center" wrapText="1"/>
    </xf>
    <xf numFmtId="165" fontId="34" fillId="5" borderId="19" xfId="0" applyNumberFormat="1" applyFont="1" applyFill="1" applyBorder="1" applyAlignment="1">
      <alignment horizontal="left" vertical="center" wrapText="1"/>
    </xf>
    <xf numFmtId="165" fontId="34" fillId="5" borderId="37" xfId="0" applyNumberFormat="1" applyFont="1" applyFill="1" applyBorder="1" applyAlignment="1">
      <alignment horizontal="left" vertical="center" wrapText="1"/>
    </xf>
    <xf numFmtId="9" fontId="39" fillId="28" borderId="27" xfId="1" applyFont="1" applyFill="1" applyBorder="1" applyAlignment="1">
      <alignment horizontal="left" vertical="center"/>
    </xf>
    <xf numFmtId="9" fontId="39" fillId="28" borderId="51" xfId="1" applyFont="1" applyFill="1" applyBorder="1" applyAlignment="1">
      <alignment horizontal="left" vertical="center"/>
    </xf>
    <xf numFmtId="9" fontId="39" fillId="28" borderId="46" xfId="1" applyFont="1" applyFill="1" applyBorder="1" applyAlignment="1">
      <alignment horizontal="left" vertical="center"/>
    </xf>
    <xf numFmtId="9" fontId="34" fillId="5" borderId="3" xfId="0" applyNumberFormat="1" applyFont="1" applyFill="1" applyBorder="1" applyAlignment="1">
      <alignment horizontal="left" vertical="center" wrapText="1"/>
    </xf>
    <xf numFmtId="0" fontId="35" fillId="0" borderId="0" xfId="0" applyFont="1" applyAlignment="1">
      <alignment horizontal="center" vertical="center" textRotation="45" wrapText="1"/>
    </xf>
    <xf numFmtId="0" fontId="34" fillId="19" borderId="27" xfId="0" applyFont="1" applyFill="1" applyBorder="1" applyAlignment="1">
      <alignment horizontal="right" vertical="center"/>
    </xf>
    <xf numFmtId="0" fontId="34" fillId="19" borderId="26" xfId="0" applyFont="1" applyFill="1" applyBorder="1" applyAlignment="1">
      <alignment horizontal="right" vertical="center"/>
    </xf>
    <xf numFmtId="0" fontId="34" fillId="19" borderId="51" xfId="0" applyFont="1" applyFill="1" applyBorder="1" applyAlignment="1">
      <alignment horizontal="right" vertical="center"/>
    </xf>
    <xf numFmtId="0" fontId="34" fillId="19" borderId="52" xfId="0" applyFont="1" applyFill="1" applyBorder="1" applyAlignment="1">
      <alignment horizontal="right" vertical="center"/>
    </xf>
    <xf numFmtId="0" fontId="34" fillId="19" borderId="46" xfId="0" applyFont="1" applyFill="1" applyBorder="1" applyAlignment="1">
      <alignment horizontal="right" vertical="center"/>
    </xf>
    <xf numFmtId="0" fontId="34" fillId="19" borderId="57" xfId="0" applyFont="1" applyFill="1" applyBorder="1" applyAlignment="1">
      <alignment horizontal="right" vertical="center"/>
    </xf>
    <xf numFmtId="0" fontId="34" fillId="19" borderId="3" xfId="0" applyFont="1" applyFill="1" applyBorder="1" applyAlignment="1">
      <alignment horizontal="right" vertical="center" wrapText="1"/>
    </xf>
    <xf numFmtId="0" fontId="8" fillId="0" borderId="27"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9" xfId="0" applyFont="1" applyBorder="1" applyAlignment="1">
      <alignment horizontal="center" vertical="center" wrapText="1"/>
    </xf>
    <xf numFmtId="0" fontId="39" fillId="28" borderId="3" xfId="0" applyFont="1" applyFill="1" applyBorder="1" applyAlignment="1">
      <alignment vertical="center"/>
    </xf>
    <xf numFmtId="0" fontId="30" fillId="17" borderId="4"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18" xfId="0" applyFont="1" applyFill="1" applyBorder="1" applyAlignment="1">
      <alignment horizontal="center" vertical="center" wrapText="1"/>
    </xf>
    <xf numFmtId="14" fontId="32" fillId="17" borderId="4" xfId="0" applyNumberFormat="1" applyFont="1" applyFill="1" applyBorder="1" applyAlignment="1">
      <alignment horizontal="center" vertical="center" wrapText="1"/>
    </xf>
    <xf numFmtId="14" fontId="32" fillId="17" borderId="18" xfId="0" applyNumberFormat="1"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1" fillId="18" borderId="3" xfId="0" applyFont="1" applyFill="1" applyBorder="1" applyAlignment="1">
      <alignment horizontal="center" vertical="center" wrapText="1"/>
    </xf>
    <xf numFmtId="0" fontId="32" fillId="17" borderId="3" xfId="0" applyFont="1" applyFill="1" applyBorder="1" applyAlignment="1">
      <alignment horizontal="center" vertical="center" wrapText="1"/>
    </xf>
    <xf numFmtId="14" fontId="32" fillId="17" borderId="3" xfId="0" applyNumberFormat="1" applyFont="1" applyFill="1" applyBorder="1" applyAlignment="1">
      <alignment horizontal="center" vertical="center" wrapText="1"/>
    </xf>
    <xf numFmtId="0" fontId="31" fillId="18" borderId="4" xfId="0" applyFont="1" applyFill="1" applyBorder="1" applyAlignment="1">
      <alignment horizontal="center" vertical="center" wrapText="1"/>
    </xf>
    <xf numFmtId="0" fontId="31" fillId="18" borderId="18" xfId="0" applyFont="1" applyFill="1" applyBorder="1" applyAlignment="1">
      <alignment horizontal="center" vertical="center" wrapText="1"/>
    </xf>
    <xf numFmtId="0" fontId="30" fillId="17" borderId="19" xfId="0" applyFont="1" applyFill="1" applyBorder="1" applyAlignment="1">
      <alignment horizontal="center" vertical="center" wrapText="1"/>
    </xf>
    <xf numFmtId="0" fontId="31" fillId="18" borderId="19" xfId="0" applyFont="1" applyFill="1" applyBorder="1" applyAlignment="1">
      <alignment horizontal="center" vertical="center" wrapText="1"/>
    </xf>
    <xf numFmtId="0" fontId="37" fillId="24" borderId="0" xfId="0" applyFont="1" applyFill="1" applyBorder="1" applyAlignment="1">
      <alignment horizontal="center" vertical="center" wrapText="1"/>
    </xf>
    <xf numFmtId="0" fontId="37" fillId="24" borderId="52" xfId="0" applyFont="1" applyFill="1" applyBorder="1" applyAlignment="1">
      <alignment horizontal="center" vertical="center" wrapText="1"/>
    </xf>
    <xf numFmtId="0" fontId="37" fillId="25" borderId="50" xfId="0" applyFont="1" applyFill="1" applyBorder="1" applyAlignment="1">
      <alignment horizontal="center" vertical="center"/>
    </xf>
    <xf numFmtId="0" fontId="37" fillId="25" borderId="43" xfId="0" applyFont="1" applyFill="1" applyBorder="1" applyAlignment="1">
      <alignment horizontal="center" vertical="center"/>
    </xf>
    <xf numFmtId="0" fontId="37" fillId="25" borderId="53" xfId="0" applyFont="1" applyFill="1" applyBorder="1" applyAlignment="1">
      <alignment horizontal="center" vertical="center"/>
    </xf>
    <xf numFmtId="0" fontId="29" fillId="29" borderId="24" xfId="0" applyFont="1" applyFill="1" applyBorder="1" applyAlignment="1">
      <alignment horizontal="center" vertical="center" wrapText="1"/>
    </xf>
    <xf numFmtId="0" fontId="29" fillId="29" borderId="18" xfId="0" applyFont="1" applyFill="1" applyBorder="1" applyAlignment="1">
      <alignment horizontal="center" vertical="center" wrapText="1"/>
    </xf>
    <xf numFmtId="0" fontId="29" fillId="29" borderId="4" xfId="0" applyFont="1" applyFill="1" applyBorder="1" applyAlignment="1">
      <alignment horizontal="center" vertical="center" wrapText="1"/>
    </xf>
    <xf numFmtId="0" fontId="29" fillId="29" borderId="3" xfId="0" applyFont="1" applyFill="1" applyBorder="1" applyAlignment="1">
      <alignment horizontal="center" vertical="center" wrapText="1"/>
    </xf>
    <xf numFmtId="0" fontId="32" fillId="17" borderId="19" xfId="0" applyFont="1" applyFill="1" applyBorder="1" applyAlignment="1">
      <alignment horizontal="center" vertical="center" wrapText="1"/>
    </xf>
    <xf numFmtId="14" fontId="32" fillId="17" borderId="19" xfId="0" applyNumberFormat="1" applyFont="1" applyFill="1" applyBorder="1" applyAlignment="1">
      <alignment horizontal="center" vertical="center" wrapText="1"/>
    </xf>
    <xf numFmtId="0" fontId="12" fillId="0" borderId="38" xfId="0" applyFont="1" applyBorder="1" applyAlignment="1">
      <alignment horizontal="right" vertical="center"/>
    </xf>
    <xf numFmtId="0" fontId="3" fillId="0" borderId="40" xfId="0" applyFont="1" applyBorder="1" applyAlignment="1">
      <alignment horizontal="right" vertical="center"/>
    </xf>
    <xf numFmtId="0" fontId="3" fillId="13" borderId="40" xfId="0" applyFont="1" applyFill="1" applyBorder="1" applyAlignment="1">
      <alignment horizontal="right" vertical="center"/>
    </xf>
    <xf numFmtId="0" fontId="15" fillId="0" borderId="39" xfId="0" applyFont="1" applyBorder="1" applyAlignment="1">
      <alignment horizontal="center" vertical="center" wrapText="1"/>
    </xf>
    <xf numFmtId="0" fontId="15" fillId="0" borderId="0" xfId="0" applyFont="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6" fillId="0" borderId="0" xfId="0" applyFont="1" applyAlignment="1">
      <alignment horizontal="right" vertical="center"/>
    </xf>
    <xf numFmtId="14" fontId="30" fillId="17" borderId="3" xfId="0" applyNumberFormat="1" applyFont="1" applyFill="1" applyBorder="1" applyAlignment="1">
      <alignment horizontal="center" vertical="center" wrapText="1"/>
    </xf>
    <xf numFmtId="14" fontId="30" fillId="17" borderId="4" xfId="0" applyNumberFormat="1" applyFont="1" applyFill="1" applyBorder="1" applyAlignment="1">
      <alignment horizontal="center" vertical="center" wrapText="1"/>
    </xf>
    <xf numFmtId="14" fontId="30" fillId="17" borderId="19" xfId="0" applyNumberFormat="1" applyFont="1" applyFill="1" applyBorder="1" applyAlignment="1">
      <alignment horizontal="center" vertical="center" wrapText="1"/>
    </xf>
    <xf numFmtId="0" fontId="31" fillId="30" borderId="4" xfId="0" applyFont="1" applyFill="1" applyBorder="1" applyAlignment="1">
      <alignment horizontal="center" vertical="center" wrapText="1"/>
    </xf>
    <xf numFmtId="0" fontId="31" fillId="30" borderId="19" xfId="0" applyFont="1" applyFill="1" applyBorder="1" applyAlignment="1">
      <alignment horizontal="center" vertical="center" wrapText="1"/>
    </xf>
    <xf numFmtId="14" fontId="30" fillId="17" borderId="18" xfId="0" applyNumberFormat="1" applyFont="1" applyFill="1" applyBorder="1" applyAlignment="1">
      <alignment horizontal="center" vertical="center" wrapText="1"/>
    </xf>
    <xf numFmtId="164" fontId="30" fillId="17" borderId="4" xfId="0" applyNumberFormat="1" applyFont="1" applyFill="1" applyBorder="1" applyAlignment="1">
      <alignment horizontal="center" vertical="center" wrapText="1"/>
    </xf>
    <xf numFmtId="164" fontId="30" fillId="17" borderId="19" xfId="0" applyNumberFormat="1" applyFont="1" applyFill="1" applyBorder="1" applyAlignment="1">
      <alignment horizontal="center" vertical="center" wrapText="1"/>
    </xf>
    <xf numFmtId="0" fontId="39" fillId="28" borderId="3" xfId="0" applyFont="1" applyFill="1" applyBorder="1" applyAlignment="1">
      <alignment vertical="center" wrapText="1"/>
    </xf>
    <xf numFmtId="0" fontId="41" fillId="0" borderId="0" xfId="4" applyFont="1" applyAlignment="1">
      <alignment horizontal="center"/>
    </xf>
    <xf numFmtId="0" fontId="41" fillId="0" borderId="52" xfId="4" applyFont="1" applyBorder="1" applyAlignment="1">
      <alignment horizontal="center"/>
    </xf>
    <xf numFmtId="0" fontId="41" fillId="0" borderId="38" xfId="4" applyFont="1" applyBorder="1" applyAlignment="1">
      <alignment horizontal="center"/>
    </xf>
    <xf numFmtId="0" fontId="41" fillId="0" borderId="29" xfId="4" applyFont="1" applyBorder="1" applyAlignment="1">
      <alignment horizontal="center"/>
    </xf>
    <xf numFmtId="0" fontId="38" fillId="27" borderId="27" xfId="0" applyFont="1" applyFill="1" applyBorder="1" applyAlignment="1">
      <alignment horizontal="left" vertical="center"/>
    </xf>
    <xf numFmtId="0" fontId="38" fillId="27" borderId="39" xfId="0" applyFont="1" applyFill="1" applyBorder="1" applyAlignment="1">
      <alignment horizontal="left" vertical="center"/>
    </xf>
    <xf numFmtId="0" fontId="38" fillId="27" borderId="26" xfId="0" applyFont="1" applyFill="1" applyBorder="1" applyAlignment="1">
      <alignment horizontal="left" vertical="center"/>
    </xf>
    <xf numFmtId="0" fontId="38" fillId="27" borderId="51" xfId="0" applyFont="1" applyFill="1" applyBorder="1" applyAlignment="1">
      <alignment horizontal="left" vertical="center"/>
    </xf>
    <xf numFmtId="0" fontId="38" fillId="27" borderId="0" xfId="0" applyFont="1" applyFill="1" applyBorder="1" applyAlignment="1">
      <alignment horizontal="left" vertical="center"/>
    </xf>
    <xf numFmtId="0" fontId="38" fillId="27" borderId="52" xfId="0" applyFont="1" applyFill="1" applyBorder="1" applyAlignment="1">
      <alignment horizontal="left" vertical="center"/>
    </xf>
    <xf numFmtId="0" fontId="38" fillId="27" borderId="51" xfId="0" applyFont="1" applyFill="1" applyBorder="1" applyAlignment="1">
      <alignment horizontal="center" vertical="center"/>
    </xf>
    <xf numFmtId="0" fontId="38" fillId="27" borderId="0" xfId="0" applyFont="1" applyFill="1" applyBorder="1" applyAlignment="1">
      <alignment horizontal="center" vertical="center"/>
    </xf>
    <xf numFmtId="0" fontId="38" fillId="27" borderId="52" xfId="0" applyFont="1" applyFill="1" applyBorder="1" applyAlignment="1">
      <alignment horizontal="center" vertical="center"/>
    </xf>
    <xf numFmtId="0" fontId="38" fillId="27" borderId="30" xfId="0" applyFont="1" applyFill="1" applyBorder="1" applyAlignment="1">
      <alignment horizontal="center" vertical="center"/>
    </xf>
    <xf numFmtId="0" fontId="38" fillId="27" borderId="38" xfId="0" applyFont="1" applyFill="1" applyBorder="1" applyAlignment="1">
      <alignment horizontal="center" vertical="center"/>
    </xf>
    <xf numFmtId="0" fontId="38" fillId="27" borderId="29" xfId="0" applyFont="1" applyFill="1" applyBorder="1" applyAlignment="1">
      <alignment horizontal="center" vertical="center"/>
    </xf>
    <xf numFmtId="0" fontId="34" fillId="19" borderId="51" xfId="0" applyFont="1" applyFill="1" applyBorder="1" applyAlignment="1">
      <alignment horizontal="center" vertical="center" wrapText="1"/>
    </xf>
    <xf numFmtId="0" fontId="34" fillId="19" borderId="0"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4" fillId="28" borderId="27" xfId="0" applyFont="1" applyFill="1" applyBorder="1" applyAlignment="1">
      <alignment horizontal="center" vertical="center" wrapText="1"/>
    </xf>
    <xf numFmtId="0" fontId="34" fillId="28" borderId="39" xfId="0" applyFont="1" applyFill="1" applyBorder="1" applyAlignment="1">
      <alignment horizontal="center" vertical="center" wrapText="1"/>
    </xf>
    <xf numFmtId="0" fontId="34" fillId="28" borderId="51" xfId="0" applyFont="1" applyFill="1" applyBorder="1" applyAlignment="1">
      <alignment horizontal="center" vertical="center" wrapText="1"/>
    </xf>
    <xf numFmtId="0" fontId="34" fillId="28" borderId="0" xfId="0" applyFont="1" applyFill="1" applyBorder="1" applyAlignment="1">
      <alignment horizontal="center" vertical="center" wrapText="1"/>
    </xf>
    <xf numFmtId="0" fontId="34" fillId="28" borderId="30" xfId="0" applyFont="1" applyFill="1" applyBorder="1" applyAlignment="1">
      <alignment horizontal="center" vertical="center" wrapText="1"/>
    </xf>
    <xf numFmtId="0" fontId="34" fillId="28" borderId="38" xfId="0" applyFont="1" applyFill="1" applyBorder="1" applyAlignment="1">
      <alignment horizontal="center" vertical="center" wrapText="1"/>
    </xf>
    <xf numFmtId="9" fontId="34" fillId="31" borderId="0"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40" fillId="10" borderId="27" xfId="3" applyFont="1" applyFill="1" applyBorder="1" applyAlignment="1">
      <alignment horizontal="center" vertical="center" textRotation="90"/>
    </xf>
    <xf numFmtId="0" fontId="40" fillId="10" borderId="30" xfId="3" applyFont="1" applyFill="1" applyBorder="1" applyAlignment="1">
      <alignment horizontal="center" vertical="center" textRotation="90"/>
    </xf>
    <xf numFmtId="0" fontId="40" fillId="20" borderId="38" xfId="3" applyFont="1" applyFill="1" applyBorder="1" applyAlignment="1">
      <alignment horizontal="center" vertical="center" textRotation="90"/>
    </xf>
    <xf numFmtId="0" fontId="40" fillId="21" borderId="38" xfId="3" applyFont="1" applyFill="1" applyBorder="1" applyAlignment="1">
      <alignment horizontal="center" vertical="center" textRotation="90"/>
    </xf>
    <xf numFmtId="0" fontId="40" fillId="22" borderId="38" xfId="3" applyFont="1" applyFill="1" applyBorder="1" applyAlignment="1">
      <alignment horizontal="center" vertical="center" textRotation="90"/>
    </xf>
    <xf numFmtId="0" fontId="2" fillId="6" borderId="4" xfId="0" applyFont="1" applyFill="1" applyBorder="1" applyAlignment="1">
      <alignment horizontal="center" vertical="center"/>
    </xf>
    <xf numFmtId="0" fontId="2" fillId="6" borderId="18" xfId="0" applyFont="1" applyFill="1" applyBorder="1" applyAlignment="1">
      <alignment horizontal="center" vertical="center"/>
    </xf>
    <xf numFmtId="0" fontId="14" fillId="6" borderId="4"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32" fillId="17" borderId="4" xfId="4" applyFont="1" applyFill="1" applyBorder="1" applyAlignment="1">
      <alignment horizontal="center" vertical="center" wrapText="1"/>
    </xf>
    <xf numFmtId="0" fontId="32" fillId="17" borderId="18" xfId="4" applyFont="1" applyFill="1" applyBorder="1" applyAlignment="1">
      <alignment horizontal="center" vertical="center" wrapText="1"/>
    </xf>
    <xf numFmtId="0" fontId="30" fillId="17" borderId="4" xfId="4" applyFont="1" applyFill="1" applyBorder="1" applyAlignment="1">
      <alignment horizontal="center" vertical="center" wrapText="1"/>
    </xf>
    <xf numFmtId="0" fontId="30" fillId="17" borderId="18" xfId="4" applyFont="1" applyFill="1" applyBorder="1" applyAlignment="1">
      <alignment horizontal="center" vertical="center" wrapText="1"/>
    </xf>
    <xf numFmtId="0" fontId="31" fillId="43" borderId="4" xfId="4" applyFont="1" applyFill="1" applyBorder="1" applyAlignment="1">
      <alignment horizontal="center" vertical="center" wrapText="1"/>
    </xf>
    <xf numFmtId="0" fontId="31" fillId="43" borderId="18" xfId="4" applyFont="1" applyFill="1" applyBorder="1" applyAlignment="1">
      <alignment horizontal="center" vertical="center" wrapText="1"/>
    </xf>
    <xf numFmtId="0" fontId="29" fillId="16" borderId="4" xfId="4" applyFont="1" applyFill="1" applyBorder="1" applyAlignment="1">
      <alignment horizontal="center" vertical="center" wrapText="1"/>
    </xf>
    <xf numFmtId="0" fontId="29" fillId="16" borderId="18" xfId="4" applyFont="1" applyFill="1" applyBorder="1" applyAlignment="1">
      <alignment horizontal="center" vertical="center" wrapText="1"/>
    </xf>
    <xf numFmtId="0" fontId="29" fillId="16" borderId="24" xfId="4" applyFont="1" applyFill="1" applyBorder="1" applyAlignment="1">
      <alignment horizontal="center" vertical="center" wrapText="1"/>
    </xf>
    <xf numFmtId="0" fontId="60" fillId="0" borderId="27" xfId="4" applyFont="1" applyBorder="1" applyAlignment="1">
      <alignment horizontal="center" vertical="center"/>
    </xf>
    <xf numFmtId="0" fontId="60" fillId="0" borderId="39" xfId="4" applyFont="1" applyBorder="1" applyAlignment="1">
      <alignment horizontal="center" vertical="center"/>
    </xf>
    <xf numFmtId="0" fontId="60" fillId="0" borderId="26" xfId="4" applyFont="1" applyBorder="1" applyAlignment="1">
      <alignment horizontal="center" vertical="center"/>
    </xf>
    <xf numFmtId="0" fontId="60" fillId="0" borderId="51" xfId="4" applyFont="1" applyBorder="1" applyAlignment="1">
      <alignment horizontal="center" vertical="center"/>
    </xf>
    <xf numFmtId="0" fontId="60" fillId="0" borderId="0" xfId="4" applyFont="1" applyAlignment="1">
      <alignment horizontal="center" vertical="center"/>
    </xf>
    <xf numFmtId="0" fontId="60" fillId="0" borderId="52" xfId="4" applyFont="1" applyBorder="1" applyAlignment="1">
      <alignment horizontal="center" vertical="center"/>
    </xf>
    <xf numFmtId="0" fontId="60" fillId="0" borderId="46" xfId="4" applyFont="1" applyBorder="1" applyAlignment="1">
      <alignment horizontal="center" vertical="center"/>
    </xf>
    <xf numFmtId="0" fontId="60" fillId="0" borderId="41" xfId="4" applyFont="1" applyBorder="1" applyAlignment="1">
      <alignment horizontal="center" vertical="center"/>
    </xf>
    <xf numFmtId="0" fontId="60" fillId="0" borderId="57" xfId="4" applyFont="1" applyBorder="1" applyAlignment="1">
      <alignment horizontal="center" vertical="center"/>
    </xf>
    <xf numFmtId="0" fontId="28" fillId="14" borderId="43" xfId="4" applyFont="1" applyFill="1" applyBorder="1" applyAlignment="1">
      <alignment horizontal="center" vertical="center" wrapText="1"/>
    </xf>
    <xf numFmtId="0" fontId="28" fillId="14" borderId="45" xfId="4" applyFont="1" applyFill="1" applyBorder="1" applyAlignment="1">
      <alignment horizontal="center" vertical="center" wrapText="1"/>
    </xf>
    <xf numFmtId="0" fontId="28" fillId="15" borderId="50" xfId="4" applyFont="1" applyFill="1" applyBorder="1" applyAlignment="1">
      <alignment horizontal="center" vertical="center"/>
    </xf>
    <xf numFmtId="0" fontId="28" fillId="15" borderId="43" xfId="4" applyFont="1" applyFill="1" applyBorder="1" applyAlignment="1">
      <alignment horizontal="center" vertical="center"/>
    </xf>
    <xf numFmtId="0" fontId="37" fillId="25" borderId="51" xfId="0" applyFont="1" applyFill="1" applyBorder="1" applyAlignment="1">
      <alignment horizontal="center" vertical="center"/>
    </xf>
    <xf numFmtId="0" fontId="37" fillId="25" borderId="0" xfId="0" applyFont="1" applyFill="1" applyBorder="1" applyAlignment="1">
      <alignment horizontal="center" vertical="center"/>
    </xf>
    <xf numFmtId="0" fontId="37" fillId="25" borderId="54" xfId="0" applyFont="1" applyFill="1" applyBorder="1" applyAlignment="1">
      <alignment horizontal="center" vertical="center"/>
    </xf>
    <xf numFmtId="9" fontId="30" fillId="17" borderId="4" xfId="0" applyNumberFormat="1" applyFont="1" applyFill="1" applyBorder="1" applyAlignment="1">
      <alignment horizontal="center" vertical="center" wrapText="1"/>
    </xf>
    <xf numFmtId="9" fontId="30" fillId="17" borderId="18" xfId="0" applyNumberFormat="1" applyFont="1" applyFill="1" applyBorder="1" applyAlignment="1">
      <alignment horizontal="center" vertical="center" wrapText="1"/>
    </xf>
    <xf numFmtId="0" fontId="42" fillId="0" borderId="4" xfId="0" applyFont="1" applyBorder="1" applyAlignment="1">
      <alignment horizontal="center" vertical="center" wrapText="1"/>
    </xf>
    <xf numFmtId="0" fontId="42" fillId="0" borderId="18" xfId="0" applyFont="1" applyBorder="1" applyAlignment="1">
      <alignment horizontal="center" vertical="center" wrapText="1"/>
    </xf>
    <xf numFmtId="0" fontId="42" fillId="17" borderId="4" xfId="0" applyFont="1" applyFill="1" applyBorder="1" applyAlignment="1">
      <alignment horizontal="center" vertical="center" wrapText="1"/>
    </xf>
    <xf numFmtId="0" fontId="42" fillId="17" borderId="18" xfId="0" applyFont="1" applyFill="1" applyBorder="1" applyAlignment="1">
      <alignment horizontal="center" vertical="center" wrapText="1"/>
    </xf>
    <xf numFmtId="0" fontId="43" fillId="17" borderId="4" xfId="0" applyFont="1" applyFill="1" applyBorder="1" applyAlignment="1">
      <alignment horizontal="center" vertical="center" wrapText="1"/>
    </xf>
    <xf numFmtId="0" fontId="43" fillId="17" borderId="18" xfId="0" applyFont="1" applyFill="1" applyBorder="1" applyAlignment="1">
      <alignment horizontal="center" vertical="center" wrapText="1"/>
    </xf>
    <xf numFmtId="0" fontId="38" fillId="27" borderId="27" xfId="0" applyFont="1" applyFill="1" applyBorder="1" applyAlignment="1">
      <alignment horizontal="center" vertical="center"/>
    </xf>
    <xf numFmtId="0" fontId="38" fillId="27" borderId="39" xfId="0" applyFont="1" applyFill="1" applyBorder="1" applyAlignment="1">
      <alignment horizontal="center" vertical="center"/>
    </xf>
    <xf numFmtId="0" fontId="38" fillId="27" borderId="26" xfId="0" applyFont="1" applyFill="1" applyBorder="1" applyAlignment="1">
      <alignment horizontal="center" vertical="center"/>
    </xf>
    <xf numFmtId="0" fontId="38" fillId="27" borderId="30" xfId="0" applyFont="1" applyFill="1" applyBorder="1" applyAlignment="1">
      <alignment horizontal="left" vertical="center"/>
    </xf>
    <xf numFmtId="0" fontId="38" fillId="27" borderId="38" xfId="0" applyFont="1" applyFill="1" applyBorder="1" applyAlignment="1">
      <alignment horizontal="left" vertical="center"/>
    </xf>
    <xf numFmtId="0" fontId="38" fillId="27" borderId="29" xfId="0" applyFont="1" applyFill="1" applyBorder="1" applyAlignment="1">
      <alignment horizontal="left" vertical="center"/>
    </xf>
    <xf numFmtId="0" fontId="39" fillId="28" borderId="27" xfId="0" applyFont="1" applyFill="1" applyBorder="1" applyAlignment="1">
      <alignment horizontal="center" vertical="center"/>
    </xf>
    <xf numFmtId="0" fontId="39" fillId="28" borderId="39" xfId="0" applyFont="1" applyFill="1" applyBorder="1" applyAlignment="1">
      <alignment horizontal="center" vertical="center"/>
    </xf>
    <xf numFmtId="0" fontId="39" fillId="28" borderId="26" xfId="0" applyFont="1" applyFill="1" applyBorder="1" applyAlignment="1">
      <alignment horizontal="center" vertical="center"/>
    </xf>
    <xf numFmtId="0" fontId="39" fillId="28" borderId="30" xfId="0" applyFont="1" applyFill="1" applyBorder="1" applyAlignment="1">
      <alignment horizontal="center" vertical="center"/>
    </xf>
    <xf numFmtId="0" fontId="39" fillId="28" borderId="38" xfId="0" applyFont="1" applyFill="1" applyBorder="1" applyAlignment="1">
      <alignment horizontal="center" vertical="center"/>
    </xf>
    <xf numFmtId="0" fontId="39" fillId="28" borderId="29" xfId="0" applyFont="1" applyFill="1" applyBorder="1" applyAlignment="1">
      <alignment horizontal="center" vertical="center"/>
    </xf>
    <xf numFmtId="0" fontId="32" fillId="17" borderId="3" xfId="4" applyFont="1" applyFill="1" applyBorder="1" applyAlignment="1">
      <alignment horizontal="center" vertical="center" wrapText="1"/>
    </xf>
    <xf numFmtId="0" fontId="30" fillId="0" borderId="3" xfId="4" applyFont="1" applyBorder="1" applyAlignment="1">
      <alignment horizontal="center" vertical="center"/>
    </xf>
    <xf numFmtId="0" fontId="30" fillId="0" borderId="13" xfId="4" applyFont="1" applyBorder="1" applyAlignment="1">
      <alignment horizontal="justify" vertical="center" wrapText="1"/>
    </xf>
    <xf numFmtId="0" fontId="30" fillId="0" borderId="32" xfId="4" applyFont="1" applyBorder="1" applyAlignment="1">
      <alignment horizontal="justify" vertical="center" wrapText="1"/>
    </xf>
    <xf numFmtId="0" fontId="30" fillId="17" borderId="13" xfId="4" applyFont="1" applyFill="1" applyBorder="1" applyAlignment="1">
      <alignment horizontal="left" vertical="center" wrapText="1"/>
    </xf>
    <xf numFmtId="0" fontId="30" fillId="17" borderId="32" xfId="4" applyFont="1" applyFill="1" applyBorder="1" applyAlignment="1">
      <alignment horizontal="left" vertical="center" wrapText="1"/>
    </xf>
    <xf numFmtId="0" fontId="46" fillId="17" borderId="3" xfId="4" applyFont="1" applyFill="1" applyBorder="1" applyAlignment="1">
      <alignment horizontal="center" vertical="center" wrapText="1"/>
    </xf>
    <xf numFmtId="0" fontId="30" fillId="17" borderId="3" xfId="4" applyFont="1" applyFill="1" applyBorder="1" applyAlignment="1">
      <alignment horizontal="center" vertical="center" wrapText="1"/>
    </xf>
    <xf numFmtId="0" fontId="30" fillId="17" borderId="3" xfId="4" applyFont="1" applyFill="1" applyBorder="1" applyAlignment="1">
      <alignment horizontal="center" vertical="center"/>
    </xf>
    <xf numFmtId="0" fontId="30" fillId="0" borderId="13" xfId="4" applyFont="1" applyBorder="1" applyAlignment="1">
      <alignment horizontal="center" vertical="center" wrapText="1"/>
    </xf>
    <xf numFmtId="0" fontId="30" fillId="0" borderId="20" xfId="4" applyFont="1" applyBorder="1" applyAlignment="1">
      <alignment horizontal="center" vertical="center" wrapText="1"/>
    </xf>
    <xf numFmtId="0" fontId="30" fillId="0" borderId="32" xfId="4" applyFont="1" applyBorder="1" applyAlignment="1">
      <alignment horizontal="center" vertical="center" wrapText="1"/>
    </xf>
    <xf numFmtId="0" fontId="32" fillId="0" borderId="3" xfId="4" applyFont="1" applyBorder="1" applyAlignment="1">
      <alignment horizontal="center" vertical="center" wrapText="1"/>
    </xf>
    <xf numFmtId="14" fontId="30" fillId="0" borderId="3" xfId="4" applyNumberFormat="1" applyFont="1" applyBorder="1" applyAlignment="1">
      <alignment horizontal="center" vertical="center"/>
    </xf>
    <xf numFmtId="10" fontId="48" fillId="0" borderId="20" xfId="4" applyNumberFormat="1" applyFont="1" applyBorder="1" applyAlignment="1">
      <alignment horizontal="center" vertical="center" wrapText="1"/>
    </xf>
    <xf numFmtId="10" fontId="48" fillId="0" borderId="64" xfId="4" applyNumberFormat="1" applyFont="1" applyBorder="1" applyAlignment="1">
      <alignment horizontal="center" vertical="center" wrapText="1"/>
    </xf>
    <xf numFmtId="10" fontId="48" fillId="0" borderId="31" xfId="4" applyNumberFormat="1" applyFont="1" applyBorder="1" applyAlignment="1">
      <alignment horizontal="center" vertical="center" wrapText="1"/>
    </xf>
    <xf numFmtId="0" fontId="30" fillId="0" borderId="91" xfId="4" applyFont="1" applyBorder="1" applyAlignment="1">
      <alignment horizontal="center" vertical="center" wrapText="1"/>
    </xf>
    <xf numFmtId="0" fontId="30" fillId="0" borderId="93" xfId="4" applyFont="1" applyBorder="1" applyAlignment="1">
      <alignment horizontal="center" vertical="center"/>
    </xf>
    <xf numFmtId="0" fontId="30" fillId="0" borderId="65" xfId="4" applyFont="1" applyBorder="1" applyAlignment="1">
      <alignment horizontal="center" vertical="center"/>
    </xf>
    <xf numFmtId="0" fontId="30" fillId="0" borderId="35" xfId="4" applyFont="1" applyBorder="1" applyAlignment="1">
      <alignment horizontal="center" vertical="center"/>
    </xf>
    <xf numFmtId="10" fontId="48" fillId="0" borderId="32" xfId="4" applyNumberFormat="1" applyFont="1" applyBorder="1" applyAlignment="1">
      <alignment horizontal="center" vertical="center" wrapText="1"/>
    </xf>
    <xf numFmtId="0" fontId="48" fillId="0" borderId="90" xfId="4" applyFont="1" applyBorder="1" applyAlignment="1">
      <alignment horizontal="center" vertical="center"/>
    </xf>
    <xf numFmtId="0" fontId="48" fillId="0" borderId="52" xfId="4" applyFont="1" applyBorder="1" applyAlignment="1">
      <alignment horizontal="center" vertical="center"/>
    </xf>
    <xf numFmtId="0" fontId="48" fillId="0" borderId="29" xfId="4" applyFont="1" applyBorder="1" applyAlignment="1">
      <alignment horizontal="center" vertical="center"/>
    </xf>
    <xf numFmtId="0" fontId="30" fillId="0" borderId="91" xfId="4" applyFont="1" applyBorder="1" applyAlignment="1">
      <alignment horizontal="justify" vertical="center" wrapText="1"/>
    </xf>
    <xf numFmtId="0" fontId="30" fillId="0" borderId="20" xfId="4" applyFont="1" applyBorder="1" applyAlignment="1">
      <alignment horizontal="justify" vertical="center" wrapText="1"/>
    </xf>
    <xf numFmtId="0" fontId="48" fillId="0" borderId="92" xfId="4" applyFont="1" applyBorder="1" applyAlignment="1">
      <alignment horizontal="center" vertical="center"/>
    </xf>
    <xf numFmtId="0" fontId="48" fillId="0" borderId="64" xfId="4" applyFont="1" applyBorder="1" applyAlignment="1">
      <alignment horizontal="center" vertical="center"/>
    </xf>
    <xf numFmtId="0" fontId="48" fillId="0" borderId="31" xfId="4" applyFont="1" applyBorder="1" applyAlignment="1">
      <alignment horizontal="center" vertical="center"/>
    </xf>
    <xf numFmtId="0" fontId="46" fillId="0" borderId="64" xfId="4" applyFont="1" applyBorder="1" applyAlignment="1">
      <alignment horizontal="center" vertical="center"/>
    </xf>
    <xf numFmtId="0" fontId="46" fillId="0" borderId="31" xfId="4" applyFont="1" applyBorder="1" applyAlignment="1">
      <alignment horizontal="center" vertical="center"/>
    </xf>
    <xf numFmtId="0" fontId="47" fillId="39" borderId="3" xfId="4" applyFont="1" applyFill="1" applyBorder="1" applyAlignment="1">
      <alignment horizontal="center" vertical="center" wrapText="1"/>
    </xf>
    <xf numFmtId="0" fontId="48" fillId="0" borderId="20" xfId="4" applyFont="1" applyBorder="1" applyAlignment="1">
      <alignment horizontal="center" vertical="center" wrapText="1"/>
    </xf>
    <xf numFmtId="0" fontId="48" fillId="0" borderId="64" xfId="4" applyFont="1" applyBorder="1" applyAlignment="1">
      <alignment horizontal="center" vertical="center" wrapText="1"/>
    </xf>
    <xf numFmtId="0" fontId="48" fillId="17" borderId="63" xfId="4" applyFont="1" applyFill="1" applyBorder="1" applyAlignment="1">
      <alignment horizontal="center" vertical="center"/>
    </xf>
    <xf numFmtId="0" fontId="48" fillId="17" borderId="68" xfId="4" applyFont="1" applyFill="1" applyBorder="1" applyAlignment="1">
      <alignment horizontal="center" vertical="center"/>
    </xf>
    <xf numFmtId="0" fontId="30" fillId="0" borderId="63" xfId="4" applyFont="1" applyBorder="1" applyAlignment="1">
      <alignment horizontal="center" vertical="center" wrapText="1"/>
    </xf>
    <xf numFmtId="0" fontId="30" fillId="0" borderId="68" xfId="4" applyFont="1" applyBorder="1" applyAlignment="1">
      <alignment horizontal="center" vertical="center" wrapText="1"/>
    </xf>
    <xf numFmtId="0" fontId="30" fillId="0" borderId="63" xfId="4" applyFont="1" applyBorder="1" applyAlignment="1">
      <alignment horizontal="center" vertical="center"/>
    </xf>
    <xf numFmtId="0" fontId="30" fillId="0" borderId="68" xfId="4" applyFont="1" applyBorder="1" applyAlignment="1">
      <alignment horizontal="center" vertical="center"/>
    </xf>
    <xf numFmtId="0" fontId="30" fillId="34" borderId="63" xfId="4" applyFont="1" applyFill="1" applyBorder="1" applyAlignment="1">
      <alignment horizontal="center" vertical="center"/>
    </xf>
    <xf numFmtId="0" fontId="30" fillId="34" borderId="80" xfId="4" applyFont="1" applyFill="1" applyBorder="1" applyAlignment="1">
      <alignment horizontal="center" vertical="center"/>
    </xf>
    <xf numFmtId="0" fontId="30" fillId="38" borderId="63" xfId="4" applyFont="1" applyFill="1" applyBorder="1" applyAlignment="1">
      <alignment horizontal="justify" vertical="center" wrapText="1"/>
    </xf>
    <xf numFmtId="0" fontId="30" fillId="38" borderId="68" xfId="4" applyFont="1" applyFill="1" applyBorder="1" applyAlignment="1">
      <alignment horizontal="justify" vertical="center" wrapText="1"/>
    </xf>
    <xf numFmtId="0" fontId="30" fillId="17" borderId="63" xfId="4" applyFont="1" applyFill="1" applyBorder="1" applyAlignment="1">
      <alignment horizontal="justify" vertical="center" wrapText="1"/>
    </xf>
    <xf numFmtId="0" fontId="30" fillId="17" borderId="68" xfId="4" applyFont="1" applyFill="1" applyBorder="1" applyAlignment="1">
      <alignment horizontal="justify" vertical="center" wrapText="1"/>
    </xf>
    <xf numFmtId="0" fontId="32" fillId="17" borderId="63" xfId="4" applyFont="1" applyFill="1" applyBorder="1" applyAlignment="1">
      <alignment horizontal="center" vertical="center" wrapText="1"/>
    </xf>
    <xf numFmtId="0" fontId="32" fillId="17" borderId="80" xfId="4" applyFont="1" applyFill="1" applyBorder="1" applyAlignment="1">
      <alignment horizontal="center" vertical="center" wrapText="1"/>
    </xf>
    <xf numFmtId="14" fontId="30" fillId="0" borderId="63" xfId="4" applyNumberFormat="1" applyFont="1" applyBorder="1" applyAlignment="1">
      <alignment horizontal="center" vertical="center"/>
    </xf>
    <xf numFmtId="14" fontId="30" fillId="0" borderId="80" xfId="4" applyNumberFormat="1" applyFont="1" applyBorder="1" applyAlignment="1">
      <alignment horizontal="center" vertical="center"/>
    </xf>
    <xf numFmtId="0" fontId="30" fillId="33" borderId="63" xfId="4" applyFont="1" applyFill="1" applyBorder="1" applyAlignment="1">
      <alignment horizontal="center" vertical="center"/>
    </xf>
    <xf numFmtId="0" fontId="30" fillId="33" borderId="80" xfId="4" applyFont="1" applyFill="1" applyBorder="1" applyAlignment="1">
      <alignment horizontal="center" vertical="center"/>
    </xf>
    <xf numFmtId="0" fontId="30" fillId="0" borderId="80" xfId="4" applyFont="1" applyBorder="1" applyAlignment="1">
      <alignment horizontal="center" vertical="center"/>
    </xf>
    <xf numFmtId="0" fontId="46" fillId="0" borderId="17" xfId="4" applyFont="1" applyBorder="1" applyAlignment="1">
      <alignment horizontal="center" vertical="center"/>
    </xf>
    <xf numFmtId="0" fontId="46" fillId="17" borderId="13" xfId="4" applyFont="1" applyFill="1" applyBorder="1" applyAlignment="1">
      <alignment horizontal="center" vertical="center" wrapText="1"/>
    </xf>
    <xf numFmtId="0" fontId="46" fillId="17" borderId="20" xfId="4" applyFont="1" applyFill="1" applyBorder="1" applyAlignment="1">
      <alignment horizontal="center" vertical="center" wrapText="1"/>
    </xf>
    <xf numFmtId="0" fontId="30" fillId="17" borderId="87" xfId="4" applyFont="1" applyFill="1" applyBorder="1" applyAlignment="1">
      <alignment horizontal="center" vertical="center" wrapText="1"/>
    </xf>
    <xf numFmtId="0" fontId="30" fillId="17" borderId="89" xfId="4" applyFont="1" applyFill="1" applyBorder="1" applyAlignment="1">
      <alignment horizontal="center" vertical="center" wrapText="1"/>
    </xf>
    <xf numFmtId="0" fontId="30" fillId="17" borderId="63" xfId="4" applyFont="1" applyFill="1" applyBorder="1" applyAlignment="1">
      <alignment horizontal="center" vertical="center" wrapText="1"/>
    </xf>
    <xf numFmtId="0" fontId="30" fillId="17" borderId="80" xfId="4" applyFont="1" applyFill="1" applyBorder="1" applyAlignment="1">
      <alignment horizontal="center" vertical="center" wrapText="1"/>
    </xf>
    <xf numFmtId="0" fontId="30" fillId="0" borderId="88" xfId="4" applyFont="1" applyBorder="1" applyAlignment="1">
      <alignment horizontal="center" vertical="center" wrapText="1"/>
    </xf>
    <xf numFmtId="0" fontId="30" fillId="0" borderId="80" xfId="4" applyFont="1" applyBorder="1" applyAlignment="1">
      <alignment horizontal="center" vertical="center" wrapText="1"/>
    </xf>
    <xf numFmtId="0" fontId="30" fillId="17" borderId="4" xfId="4" applyFont="1" applyFill="1" applyBorder="1" applyAlignment="1">
      <alignment horizontal="center" vertical="center"/>
    </xf>
    <xf numFmtId="0" fontId="30" fillId="17" borderId="19" xfId="4" applyFont="1" applyFill="1" applyBorder="1" applyAlignment="1">
      <alignment horizontal="center" vertical="center"/>
    </xf>
    <xf numFmtId="0" fontId="30" fillId="17" borderId="18" xfId="4" applyFont="1" applyFill="1" applyBorder="1" applyAlignment="1">
      <alignment horizontal="center" vertical="center"/>
    </xf>
    <xf numFmtId="0" fontId="30" fillId="17" borderId="73" xfId="4" applyFont="1" applyFill="1" applyBorder="1" applyAlignment="1">
      <alignment horizontal="center" vertical="center"/>
    </xf>
    <xf numFmtId="0" fontId="30" fillId="17" borderId="75" xfId="4" applyFont="1" applyFill="1" applyBorder="1" applyAlignment="1">
      <alignment horizontal="center" vertical="center"/>
    </xf>
    <xf numFmtId="0" fontId="30" fillId="17" borderId="77" xfId="4" applyFont="1" applyFill="1" applyBorder="1" applyAlignment="1">
      <alignment horizontal="center" vertical="center"/>
    </xf>
    <xf numFmtId="0" fontId="30" fillId="0" borderId="74" xfId="4" applyFont="1" applyBorder="1" applyAlignment="1">
      <alignment horizontal="center" vertical="center"/>
    </xf>
    <xf numFmtId="0" fontId="30" fillId="0" borderId="76" xfId="4" applyFont="1" applyBorder="1" applyAlignment="1">
      <alignment horizontal="center" vertical="center"/>
    </xf>
    <xf numFmtId="0" fontId="30" fillId="0" borderId="78" xfId="4" applyFont="1" applyBorder="1" applyAlignment="1">
      <alignment horizontal="center" vertical="center"/>
    </xf>
    <xf numFmtId="0" fontId="30" fillId="0" borderId="56" xfId="4" applyFont="1" applyBorder="1" applyAlignment="1">
      <alignment horizontal="center" vertical="center"/>
    </xf>
    <xf numFmtId="0" fontId="30" fillId="0" borderId="54" xfId="4" applyFont="1" applyBorder="1" applyAlignment="1">
      <alignment horizontal="center" vertical="center"/>
    </xf>
    <xf numFmtId="0" fontId="30" fillId="0" borderId="84" xfId="4" applyFont="1" applyBorder="1" applyAlignment="1">
      <alignment horizontal="center" vertical="center"/>
    </xf>
    <xf numFmtId="0" fontId="30" fillId="0" borderId="17" xfId="4" applyFont="1" applyBorder="1" applyAlignment="1">
      <alignment horizontal="center" vertical="center"/>
    </xf>
    <xf numFmtId="0" fontId="30" fillId="0" borderId="64" xfId="4" applyFont="1" applyBorder="1" applyAlignment="1">
      <alignment horizontal="center" vertical="center"/>
    </xf>
    <xf numFmtId="0" fontId="30" fillId="0" borderId="31" xfId="4" applyFont="1" applyBorder="1" applyAlignment="1">
      <alignment horizontal="center" vertical="center"/>
    </xf>
    <xf numFmtId="0" fontId="46" fillId="17" borderId="32" xfId="4" applyFont="1" applyFill="1" applyBorder="1" applyAlignment="1">
      <alignment horizontal="center" vertical="center" wrapText="1"/>
    </xf>
    <xf numFmtId="0" fontId="30" fillId="17" borderId="17" xfId="4" applyFont="1" applyFill="1" applyBorder="1" applyAlignment="1">
      <alignment horizontal="center" vertical="center" wrapText="1"/>
    </xf>
    <xf numFmtId="0" fontId="30" fillId="17" borderId="64" xfId="4" applyFont="1" applyFill="1" applyBorder="1" applyAlignment="1">
      <alignment horizontal="center" vertical="center" wrapText="1"/>
    </xf>
    <xf numFmtId="0" fontId="30" fillId="17" borderId="82" xfId="4" applyFont="1" applyFill="1" applyBorder="1" applyAlignment="1">
      <alignment horizontal="center" vertical="center" wrapText="1"/>
    </xf>
    <xf numFmtId="0" fontId="30" fillId="17" borderId="19" xfId="4" applyFont="1" applyFill="1" applyBorder="1" applyAlignment="1">
      <alignment horizontal="center" vertical="center" wrapText="1"/>
    </xf>
    <xf numFmtId="0" fontId="30" fillId="17" borderId="83" xfId="4" applyFont="1" applyFill="1" applyBorder="1" applyAlignment="1">
      <alignment horizontal="center" vertical="center" wrapText="1"/>
    </xf>
    <xf numFmtId="0" fontId="32" fillId="17" borderId="19" xfId="4" applyFont="1" applyFill="1" applyBorder="1" applyAlignment="1">
      <alignment horizontal="center" vertical="center" wrapText="1"/>
    </xf>
    <xf numFmtId="0" fontId="32" fillId="17" borderId="83" xfId="4" applyFont="1" applyFill="1" applyBorder="1" applyAlignment="1">
      <alignment horizontal="center" vertical="center" wrapText="1"/>
    </xf>
    <xf numFmtId="0" fontId="30" fillId="17" borderId="13" xfId="4" applyFont="1" applyFill="1" applyBorder="1" applyAlignment="1">
      <alignment horizontal="justify" vertical="center" wrapText="1"/>
    </xf>
    <xf numFmtId="0" fontId="30" fillId="17" borderId="20" xfId="4" applyFont="1" applyFill="1" applyBorder="1" applyAlignment="1">
      <alignment horizontal="justify" vertical="center" wrapText="1"/>
    </xf>
    <xf numFmtId="0" fontId="30" fillId="17" borderId="32" xfId="4" applyFont="1" applyFill="1" applyBorder="1" applyAlignment="1">
      <alignment horizontal="justify" vertical="center" wrapText="1"/>
    </xf>
    <xf numFmtId="0" fontId="48" fillId="17" borderId="28" xfId="4" applyFont="1" applyFill="1" applyBorder="1" applyAlignment="1">
      <alignment horizontal="center" vertical="center"/>
    </xf>
    <xf numFmtId="0" fontId="48" fillId="17" borderId="65" xfId="4" applyFont="1" applyFill="1" applyBorder="1" applyAlignment="1">
      <alignment horizontal="center" vertical="center"/>
    </xf>
    <xf numFmtId="0" fontId="48" fillId="17" borderId="86" xfId="4" applyFont="1" applyFill="1" applyBorder="1" applyAlignment="1">
      <alignment horizontal="center" vertical="center"/>
    </xf>
    <xf numFmtId="0" fontId="30" fillId="0" borderId="66" xfId="4" applyFont="1" applyBorder="1" applyAlignment="1">
      <alignment horizontal="center" vertical="center" wrapText="1"/>
    </xf>
    <xf numFmtId="0" fontId="30" fillId="0" borderId="65" xfId="4" applyFont="1" applyBorder="1" applyAlignment="1">
      <alignment horizontal="center" vertical="center" wrapText="1"/>
    </xf>
    <xf numFmtId="0" fontId="30" fillId="0" borderId="35" xfId="4" applyFont="1" applyBorder="1" applyAlignment="1">
      <alignment horizontal="center" vertical="center" wrapText="1"/>
    </xf>
    <xf numFmtId="0" fontId="30" fillId="0" borderId="28" xfId="4" applyFont="1" applyBorder="1" applyAlignment="1">
      <alignment horizontal="center" vertical="center"/>
    </xf>
    <xf numFmtId="0" fontId="30" fillId="0" borderId="86" xfId="4" applyFont="1" applyBorder="1" applyAlignment="1">
      <alignment horizontal="center" vertical="center"/>
    </xf>
    <xf numFmtId="0" fontId="30" fillId="17" borderId="85" xfId="4" applyFont="1" applyFill="1" applyBorder="1" applyAlignment="1">
      <alignment horizontal="justify" vertical="center" wrapText="1"/>
    </xf>
    <xf numFmtId="0" fontId="30" fillId="0" borderId="28" xfId="4" applyFont="1" applyBorder="1" applyAlignment="1">
      <alignment horizontal="center" vertical="center" wrapText="1"/>
    </xf>
    <xf numFmtId="0" fontId="30" fillId="0" borderId="13" xfId="4" applyFont="1" applyBorder="1" applyAlignment="1">
      <alignment horizontal="center" vertical="center"/>
    </xf>
    <xf numFmtId="0" fontId="30" fillId="0" borderId="20" xfId="4" applyFont="1" applyBorder="1" applyAlignment="1">
      <alignment horizontal="center" vertical="center"/>
    </xf>
    <xf numFmtId="0" fontId="30" fillId="0" borderId="32" xfId="4" applyFont="1" applyBorder="1" applyAlignment="1">
      <alignment horizontal="center" vertical="center"/>
    </xf>
    <xf numFmtId="0" fontId="48" fillId="17" borderId="17" xfId="4" applyFont="1" applyFill="1" applyBorder="1" applyAlignment="1">
      <alignment horizontal="center" vertical="center"/>
    </xf>
    <xf numFmtId="0" fontId="48" fillId="17" borderId="64" xfId="4" applyFont="1" applyFill="1" applyBorder="1" applyAlignment="1">
      <alignment horizontal="center" vertical="center"/>
    </xf>
    <xf numFmtId="0" fontId="48" fillId="17" borderId="82" xfId="4" applyFont="1" applyFill="1" applyBorder="1" applyAlignment="1">
      <alignment horizontal="center" vertical="center"/>
    </xf>
    <xf numFmtId="0" fontId="30" fillId="38" borderId="13" xfId="4" applyFont="1" applyFill="1" applyBorder="1" applyAlignment="1">
      <alignment horizontal="justify" vertical="center" wrapText="1"/>
    </xf>
    <xf numFmtId="0" fontId="30" fillId="38" borderId="20" xfId="4" applyFont="1" applyFill="1" applyBorder="1" applyAlignment="1">
      <alignment horizontal="justify" vertical="center" wrapText="1"/>
    </xf>
    <xf numFmtId="0" fontId="30" fillId="38" borderId="32" xfId="4" applyFont="1" applyFill="1" applyBorder="1" applyAlignment="1">
      <alignment horizontal="justify" vertical="center" wrapText="1"/>
    </xf>
    <xf numFmtId="0" fontId="30" fillId="38" borderId="85" xfId="4" applyFont="1" applyFill="1" applyBorder="1" applyAlignment="1">
      <alignment horizontal="justify" vertical="center" wrapText="1"/>
    </xf>
    <xf numFmtId="0" fontId="30" fillId="0" borderId="61" xfId="4" applyFont="1" applyBorder="1" applyAlignment="1">
      <alignment horizontal="center" vertical="center"/>
    </xf>
    <xf numFmtId="0" fontId="47" fillId="37" borderId="66" xfId="4" applyFont="1" applyFill="1" applyBorder="1" applyAlignment="1">
      <alignment horizontal="center" vertical="center" wrapText="1"/>
    </xf>
    <xf numFmtId="0" fontId="47" fillId="37" borderId="65" xfId="4" applyFont="1" applyFill="1" applyBorder="1" applyAlignment="1">
      <alignment horizontal="center" vertical="center" wrapText="1"/>
    </xf>
    <xf numFmtId="0" fontId="30" fillId="17" borderId="31" xfId="4" applyFont="1" applyFill="1" applyBorder="1" applyAlignment="1">
      <alignment horizontal="center" vertical="center" wrapText="1"/>
    </xf>
    <xf numFmtId="14" fontId="30" fillId="17" borderId="4" xfId="4" applyNumberFormat="1" applyFont="1" applyFill="1" applyBorder="1" applyAlignment="1">
      <alignment horizontal="center" vertical="center"/>
    </xf>
    <xf numFmtId="14" fontId="30" fillId="17" borderId="19" xfId="4" applyNumberFormat="1" applyFont="1" applyFill="1" applyBorder="1" applyAlignment="1">
      <alignment horizontal="center" vertical="center"/>
    </xf>
    <xf numFmtId="14" fontId="30" fillId="17" borderId="18" xfId="4" applyNumberFormat="1" applyFont="1" applyFill="1" applyBorder="1" applyAlignment="1">
      <alignment horizontal="center" vertical="center"/>
    </xf>
    <xf numFmtId="14" fontId="30" fillId="17" borderId="73" xfId="4" applyNumberFormat="1" applyFont="1" applyFill="1" applyBorder="1" applyAlignment="1">
      <alignment horizontal="center" vertical="center"/>
    </xf>
    <xf numFmtId="14" fontId="30" fillId="17" borderId="75" xfId="4" applyNumberFormat="1" applyFont="1" applyFill="1" applyBorder="1" applyAlignment="1">
      <alignment horizontal="center" vertical="center"/>
    </xf>
    <xf numFmtId="14" fontId="30" fillId="17" borderId="77" xfId="4" applyNumberFormat="1" applyFont="1" applyFill="1" applyBorder="1" applyAlignment="1">
      <alignment horizontal="center" vertical="center"/>
    </xf>
    <xf numFmtId="0" fontId="46" fillId="0" borderId="13" xfId="4" applyFont="1" applyBorder="1" applyAlignment="1">
      <alignment horizontal="center" vertical="center" wrapText="1"/>
    </xf>
    <xf numFmtId="0" fontId="46" fillId="0" borderId="20" xfId="4" applyFont="1" applyBorder="1" applyAlignment="1">
      <alignment horizontal="center" vertical="center" wrapText="1"/>
    </xf>
    <xf numFmtId="0" fontId="46" fillId="0" borderId="32" xfId="4" applyFont="1" applyBorder="1" applyAlignment="1">
      <alignment horizontal="center" vertical="center" wrapText="1"/>
    </xf>
    <xf numFmtId="0" fontId="30" fillId="0" borderId="67" xfId="4" applyFont="1" applyBorder="1" applyAlignment="1">
      <alignment horizontal="center" vertical="center"/>
    </xf>
    <xf numFmtId="0" fontId="30" fillId="0" borderId="81" xfId="4" applyFont="1" applyBorder="1" applyAlignment="1">
      <alignment horizontal="center" vertical="center"/>
    </xf>
    <xf numFmtId="0" fontId="30" fillId="0" borderId="72" xfId="4" applyFont="1" applyBorder="1" applyAlignment="1">
      <alignment horizontal="center" vertical="center"/>
    </xf>
    <xf numFmtId="0" fontId="44" fillId="0" borderId="17" xfId="4" applyFont="1" applyBorder="1" applyAlignment="1">
      <alignment horizontal="center" vertical="center" wrapText="1"/>
    </xf>
    <xf numFmtId="0" fontId="44" fillId="0" borderId="64" xfId="4" applyFont="1" applyBorder="1" applyAlignment="1">
      <alignment horizontal="center" vertical="center" wrapText="1"/>
    </xf>
    <xf numFmtId="0" fontId="44" fillId="0" borderId="31"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19" xfId="4" applyFont="1" applyBorder="1" applyAlignment="1">
      <alignment horizontal="center" vertical="center" wrapText="1"/>
    </xf>
    <xf numFmtId="0" fontId="30" fillId="0" borderId="18" xfId="4" applyFont="1" applyBorder="1" applyAlignment="1">
      <alignment horizontal="center" vertical="center" wrapText="1"/>
    </xf>
    <xf numFmtId="0" fontId="32" fillId="17" borderId="4" xfId="4" applyFont="1" applyFill="1" applyBorder="1" applyAlignment="1">
      <alignment horizontal="center" vertical="center"/>
    </xf>
    <xf numFmtId="0" fontId="32" fillId="17" borderId="19" xfId="4" applyFont="1" applyFill="1" applyBorder="1" applyAlignment="1">
      <alignment horizontal="center" vertical="center"/>
    </xf>
    <xf numFmtId="0" fontId="32" fillId="17" borderId="18" xfId="4" applyFont="1" applyFill="1" applyBorder="1" applyAlignment="1">
      <alignment horizontal="center" vertical="center"/>
    </xf>
    <xf numFmtId="0" fontId="32" fillId="17" borderId="73" xfId="4" applyFont="1" applyFill="1" applyBorder="1" applyAlignment="1">
      <alignment horizontal="center" vertical="center"/>
    </xf>
    <xf numFmtId="0" fontId="32" fillId="17" borderId="75" xfId="4" applyFont="1" applyFill="1" applyBorder="1" applyAlignment="1">
      <alignment horizontal="center" vertical="center"/>
    </xf>
    <xf numFmtId="0" fontId="32" fillId="17" borderId="77" xfId="4" applyFont="1" applyFill="1" applyBorder="1" applyAlignment="1">
      <alignment horizontal="center" vertical="center"/>
    </xf>
    <xf numFmtId="0" fontId="30" fillId="0" borderId="17" xfId="4" applyFont="1" applyBorder="1" applyAlignment="1">
      <alignment horizontal="center" vertical="center" wrapText="1"/>
    </xf>
    <xf numFmtId="0" fontId="30" fillId="0" borderId="64" xfId="4" applyFont="1" applyBorder="1" applyAlignment="1">
      <alignment horizontal="center" vertical="center" wrapText="1"/>
    </xf>
    <xf numFmtId="0" fontId="30" fillId="0" borderId="31" xfId="4" applyFont="1" applyBorder="1" applyAlignment="1">
      <alignment horizontal="center" vertical="center" wrapText="1"/>
    </xf>
    <xf numFmtId="0" fontId="32" fillId="0" borderId="4" xfId="4" applyFont="1" applyBorder="1" applyAlignment="1">
      <alignment horizontal="center" vertical="center"/>
    </xf>
    <xf numFmtId="0" fontId="32" fillId="0" borderId="18" xfId="4" applyFont="1" applyBorder="1" applyAlignment="1">
      <alignment horizontal="center" vertical="center"/>
    </xf>
    <xf numFmtId="0" fontId="32" fillId="0" borderId="13" xfId="4" applyFont="1" applyBorder="1" applyAlignment="1">
      <alignment horizontal="center" vertical="center"/>
    </xf>
    <xf numFmtId="0" fontId="32" fillId="0" borderId="32" xfId="4" applyFont="1" applyBorder="1" applyAlignment="1">
      <alignment horizontal="center" vertical="center"/>
    </xf>
    <xf numFmtId="0" fontId="32" fillId="0" borderId="13" xfId="4" applyFont="1" applyBorder="1" applyAlignment="1">
      <alignment horizontal="justify" vertical="center" wrapText="1"/>
    </xf>
    <xf numFmtId="0" fontId="32" fillId="0" borderId="20" xfId="4" applyFont="1" applyBorder="1" applyAlignment="1">
      <alignment horizontal="justify" vertical="center" wrapText="1"/>
    </xf>
    <xf numFmtId="0" fontId="32" fillId="0" borderId="32" xfId="4" applyFont="1" applyBorder="1" applyAlignment="1">
      <alignment horizontal="justify" vertical="center" wrapText="1"/>
    </xf>
    <xf numFmtId="0" fontId="32" fillId="0" borderId="17" xfId="4" applyFont="1" applyBorder="1" applyAlignment="1">
      <alignment horizontal="center" vertical="center"/>
    </xf>
    <xf numFmtId="0" fontId="32" fillId="0" borderId="31" xfId="4" applyFont="1" applyBorder="1" applyAlignment="1">
      <alignment horizontal="center" vertical="center"/>
    </xf>
    <xf numFmtId="10" fontId="48" fillId="0" borderId="25" xfId="4" applyNumberFormat="1" applyFont="1" applyBorder="1" applyAlignment="1">
      <alignment horizontal="center" vertical="center" wrapText="1"/>
    </xf>
    <xf numFmtId="0" fontId="48" fillId="0" borderId="23" xfId="4" applyFont="1" applyBorder="1" applyAlignment="1">
      <alignment horizontal="center" vertical="center" wrapText="1"/>
    </xf>
    <xf numFmtId="0" fontId="30" fillId="17" borderId="25" xfId="4" applyFont="1" applyFill="1" applyBorder="1" applyAlignment="1">
      <alignment horizontal="justify" vertical="center" wrapText="1"/>
    </xf>
    <xf numFmtId="0" fontId="48" fillId="17" borderId="31" xfId="4" applyFont="1" applyFill="1" applyBorder="1" applyAlignment="1">
      <alignment horizontal="center" vertical="center"/>
    </xf>
    <xf numFmtId="0" fontId="30" fillId="17" borderId="25" xfId="4" applyFont="1" applyFill="1" applyBorder="1" applyAlignment="1">
      <alignment horizontal="center" vertical="center" wrapText="1"/>
    </xf>
    <xf numFmtId="0" fontId="30" fillId="17" borderId="20" xfId="4" applyFont="1" applyFill="1" applyBorder="1" applyAlignment="1">
      <alignment horizontal="center" vertical="center" wrapText="1"/>
    </xf>
    <xf numFmtId="0" fontId="30" fillId="17" borderId="32" xfId="4" applyFont="1" applyFill="1" applyBorder="1" applyAlignment="1">
      <alignment horizontal="center" vertical="center" wrapText="1"/>
    </xf>
    <xf numFmtId="0" fontId="30" fillId="0" borderId="23" xfId="4" applyFont="1" applyBorder="1" applyAlignment="1">
      <alignment horizontal="center" vertical="center"/>
    </xf>
    <xf numFmtId="0" fontId="30" fillId="17" borderId="24" xfId="4" applyFont="1" applyFill="1" applyBorder="1" applyAlignment="1">
      <alignment horizontal="center" vertical="center"/>
    </xf>
    <xf numFmtId="0" fontId="30" fillId="0" borderId="25" xfId="4" applyFont="1" applyBorder="1" applyAlignment="1">
      <alignment horizontal="center" vertical="center"/>
    </xf>
    <xf numFmtId="0" fontId="30" fillId="0" borderId="25" xfId="4" applyFont="1" applyBorder="1" applyAlignment="1">
      <alignment horizontal="justify" vertical="center" wrapText="1"/>
    </xf>
    <xf numFmtId="0" fontId="30" fillId="17" borderId="79" xfId="4" applyFont="1" applyFill="1" applyBorder="1" applyAlignment="1">
      <alignment horizontal="center" vertical="center"/>
    </xf>
    <xf numFmtId="0" fontId="30" fillId="0" borderId="53" xfId="4" applyFont="1" applyBorder="1" applyAlignment="1">
      <alignment horizontal="center" vertical="center"/>
    </xf>
    <xf numFmtId="0" fontId="47" fillId="36" borderId="28" xfId="4" applyFont="1" applyFill="1" applyBorder="1" applyAlignment="1">
      <alignment horizontal="center" vertical="center" wrapText="1"/>
    </xf>
    <xf numFmtId="0" fontId="47" fillId="36" borderId="65" xfId="4" applyFont="1" applyFill="1" applyBorder="1" applyAlignment="1">
      <alignment horizontal="center" vertical="center" wrapText="1"/>
    </xf>
    <xf numFmtId="0" fontId="47" fillId="36" borderId="36" xfId="4" applyFont="1" applyFill="1" applyBorder="1" applyAlignment="1">
      <alignment horizontal="center" vertical="center" wrapText="1"/>
    </xf>
    <xf numFmtId="0" fontId="30" fillId="0" borderId="13" xfId="4" applyFont="1" applyBorder="1" applyAlignment="1">
      <alignment horizontal="left" vertical="center" wrapText="1"/>
    </xf>
    <xf numFmtId="0" fontId="30" fillId="0" borderId="20" xfId="4" applyFont="1" applyBorder="1" applyAlignment="1">
      <alignment horizontal="left" vertical="center" wrapText="1"/>
    </xf>
    <xf numFmtId="0" fontId="30" fillId="0" borderId="58" xfId="4" applyFont="1" applyBorder="1" applyAlignment="1">
      <alignment horizontal="left" vertical="center" wrapText="1"/>
    </xf>
    <xf numFmtId="0" fontId="30" fillId="17" borderId="20" xfId="4" applyFont="1" applyFill="1" applyBorder="1" applyAlignment="1">
      <alignment horizontal="left" vertical="center" wrapText="1"/>
    </xf>
    <xf numFmtId="0" fontId="30" fillId="17" borderId="58" xfId="4" applyFont="1" applyFill="1" applyBorder="1" applyAlignment="1">
      <alignment horizontal="left" vertical="center" wrapText="1"/>
    </xf>
    <xf numFmtId="0" fontId="30" fillId="0" borderId="55" xfId="4" applyFont="1" applyBorder="1" applyAlignment="1">
      <alignment horizontal="center" vertical="center"/>
    </xf>
    <xf numFmtId="0" fontId="32" fillId="0" borderId="4" xfId="4" applyFont="1" applyBorder="1" applyAlignment="1">
      <alignment horizontal="center" vertical="center" wrapText="1"/>
    </xf>
    <xf numFmtId="0" fontId="32" fillId="0" borderId="19" xfId="4" applyFont="1" applyBorder="1" applyAlignment="1">
      <alignment horizontal="center" vertical="center" wrapText="1"/>
    </xf>
    <xf numFmtId="0" fontId="32" fillId="0" borderId="18" xfId="4" applyFont="1" applyBorder="1" applyAlignment="1">
      <alignment horizontal="center" vertical="center" wrapText="1"/>
    </xf>
    <xf numFmtId="10" fontId="48" fillId="0" borderId="58" xfId="4" applyNumberFormat="1" applyFont="1" applyBorder="1" applyAlignment="1">
      <alignment horizontal="center" vertical="center" wrapText="1"/>
    </xf>
    <xf numFmtId="0" fontId="48" fillId="0" borderId="70" xfId="4" applyFont="1" applyBorder="1" applyAlignment="1">
      <alignment horizontal="center" vertical="center" wrapText="1"/>
    </xf>
    <xf numFmtId="0" fontId="30" fillId="17" borderId="25" xfId="4" applyFont="1" applyFill="1" applyBorder="1" applyAlignment="1">
      <alignment horizontal="left" vertical="center" wrapText="1"/>
    </xf>
    <xf numFmtId="0" fontId="48" fillId="17" borderId="23" xfId="4" applyFont="1" applyFill="1" applyBorder="1" applyAlignment="1">
      <alignment horizontal="center" vertical="center"/>
    </xf>
    <xf numFmtId="0" fontId="30" fillId="17" borderId="71" xfId="4" applyFont="1" applyFill="1" applyBorder="1" applyAlignment="1">
      <alignment horizontal="center" vertical="center"/>
    </xf>
    <xf numFmtId="0" fontId="30" fillId="17" borderId="72" xfId="4" applyFont="1" applyFill="1" applyBorder="1" applyAlignment="1">
      <alignment horizontal="center" vertical="center"/>
    </xf>
    <xf numFmtId="0" fontId="30" fillId="17" borderId="13" xfId="4" applyFont="1" applyFill="1" applyBorder="1" applyAlignment="1">
      <alignment horizontal="center" vertical="center" wrapText="1"/>
    </xf>
    <xf numFmtId="0" fontId="30" fillId="17" borderId="58" xfId="4" applyFont="1" applyFill="1" applyBorder="1" applyAlignment="1">
      <alignment horizontal="center" vertical="center" wrapText="1"/>
    </xf>
    <xf numFmtId="0" fontId="46" fillId="17" borderId="17" xfId="4" applyFont="1" applyFill="1" applyBorder="1" applyAlignment="1">
      <alignment horizontal="center" vertical="center"/>
    </xf>
    <xf numFmtId="0" fontId="46" fillId="17" borderId="64" xfId="4" applyFont="1" applyFill="1" applyBorder="1" applyAlignment="1">
      <alignment horizontal="center" vertical="center"/>
    </xf>
    <xf numFmtId="0" fontId="46" fillId="17" borderId="31" xfId="4" applyFont="1" applyFill="1" applyBorder="1" applyAlignment="1">
      <alignment horizontal="center" vertical="center"/>
    </xf>
    <xf numFmtId="0" fontId="47" fillId="35" borderId="28" xfId="4" applyFont="1" applyFill="1" applyBorder="1" applyAlignment="1">
      <alignment horizontal="center" vertical="center" wrapText="1"/>
    </xf>
    <xf numFmtId="0" fontId="47" fillId="35" borderId="65" xfId="4" applyFont="1" applyFill="1" applyBorder="1" applyAlignment="1">
      <alignment horizontal="center" vertical="center" wrapText="1"/>
    </xf>
    <xf numFmtId="0" fontId="47" fillId="35" borderId="35" xfId="4" applyFont="1" applyFill="1" applyBorder="1" applyAlignment="1">
      <alignment horizontal="center" vertical="center" wrapText="1"/>
    </xf>
    <xf numFmtId="0" fontId="44" fillId="17" borderId="17" xfId="4" applyFont="1" applyFill="1" applyBorder="1" applyAlignment="1">
      <alignment horizontal="center" vertical="center" wrapText="1"/>
    </xf>
    <xf numFmtId="0" fontId="44" fillId="17" borderId="31" xfId="4" applyFont="1" applyFill="1" applyBorder="1" applyAlignment="1">
      <alignment horizontal="center" vertical="center" wrapText="1"/>
    </xf>
    <xf numFmtId="0" fontId="32" fillId="17" borderId="27" xfId="4" applyFont="1" applyFill="1" applyBorder="1" applyAlignment="1">
      <alignment horizontal="center" vertical="center" wrapText="1"/>
    </xf>
    <xf numFmtId="0" fontId="32" fillId="17" borderId="30" xfId="4" applyFont="1" applyFill="1" applyBorder="1" applyAlignment="1">
      <alignment horizontal="center" vertical="center" wrapText="1"/>
    </xf>
    <xf numFmtId="9" fontId="30" fillId="0" borderId="67" xfId="4" applyNumberFormat="1" applyFont="1" applyBorder="1" applyAlignment="1">
      <alignment horizontal="center" vertical="center"/>
    </xf>
    <xf numFmtId="9" fontId="30" fillId="0" borderId="69" xfId="4" applyNumberFormat="1" applyFont="1" applyBorder="1" applyAlignment="1">
      <alignment horizontal="center" vertical="center"/>
    </xf>
    <xf numFmtId="9" fontId="30" fillId="0" borderId="13" xfId="4" applyNumberFormat="1" applyFont="1" applyBorder="1" applyAlignment="1">
      <alignment horizontal="center" vertical="center"/>
    </xf>
    <xf numFmtId="9" fontId="30" fillId="0" borderId="32" xfId="4" applyNumberFormat="1" applyFont="1" applyBorder="1" applyAlignment="1">
      <alignment horizontal="center" vertical="center"/>
    </xf>
    <xf numFmtId="0" fontId="49" fillId="17" borderId="4" xfId="4" applyFont="1" applyFill="1" applyBorder="1" applyAlignment="1">
      <alignment horizontal="center" vertical="center" wrapText="1"/>
    </xf>
    <xf numFmtId="0" fontId="49" fillId="17" borderId="18" xfId="4" applyFont="1" applyFill="1" applyBorder="1" applyAlignment="1">
      <alignment horizontal="center" vertical="center" wrapText="1"/>
    </xf>
    <xf numFmtId="10" fontId="48" fillId="0" borderId="23" xfId="4" applyNumberFormat="1" applyFont="1" applyBorder="1" applyAlignment="1">
      <alignment horizontal="center" vertical="center" wrapText="1"/>
    </xf>
    <xf numFmtId="10" fontId="48" fillId="0" borderId="70" xfId="4" applyNumberFormat="1" applyFont="1" applyBorder="1" applyAlignment="1">
      <alignment horizontal="center" vertical="center" wrapText="1"/>
    </xf>
    <xf numFmtId="0" fontId="48" fillId="17" borderId="70" xfId="4" applyFont="1" applyFill="1" applyBorder="1" applyAlignment="1">
      <alignment horizontal="center" vertical="center"/>
    </xf>
    <xf numFmtId="0" fontId="30" fillId="0" borderId="66" xfId="4" applyFont="1" applyBorder="1" applyAlignment="1">
      <alignment horizontal="center" vertical="center"/>
    </xf>
    <xf numFmtId="0" fontId="32" fillId="17" borderId="13" xfId="4" applyFont="1" applyFill="1" applyBorder="1" applyAlignment="1">
      <alignment horizontal="left" vertical="center" wrapText="1"/>
    </xf>
    <xf numFmtId="0" fontId="32" fillId="17" borderId="32" xfId="4" applyFont="1" applyFill="1" applyBorder="1" applyAlignment="1">
      <alignment horizontal="left" vertical="center" wrapText="1"/>
    </xf>
    <xf numFmtId="0" fontId="30" fillId="0" borderId="58" xfId="4" applyFont="1" applyBorder="1" applyAlignment="1">
      <alignment horizontal="justify" vertical="center" wrapText="1"/>
    </xf>
    <xf numFmtId="0" fontId="30" fillId="17" borderId="24" xfId="4" applyFont="1" applyFill="1" applyBorder="1" applyAlignment="1">
      <alignment horizontal="center" vertical="center" wrapText="1"/>
    </xf>
    <xf numFmtId="0" fontId="32" fillId="17" borderId="24" xfId="4" applyFont="1" applyFill="1" applyBorder="1" applyAlignment="1">
      <alignment horizontal="center" vertical="center" wrapText="1"/>
    </xf>
    <xf numFmtId="0" fontId="32" fillId="17" borderId="37" xfId="4" applyFont="1" applyFill="1" applyBorder="1" applyAlignment="1">
      <alignment horizontal="center" vertical="center" wrapText="1"/>
    </xf>
    <xf numFmtId="9" fontId="30" fillId="0" borderId="25" xfId="4" applyNumberFormat="1" applyFont="1" applyBorder="1" applyAlignment="1">
      <alignment horizontal="center" vertical="center"/>
    </xf>
    <xf numFmtId="0" fontId="46" fillId="0" borderId="23" xfId="4" applyFont="1" applyBorder="1" applyAlignment="1">
      <alignment horizontal="center" vertical="center"/>
    </xf>
    <xf numFmtId="0" fontId="46" fillId="17" borderId="25" xfId="4" applyFont="1" applyFill="1" applyBorder="1" applyAlignment="1">
      <alignment horizontal="center" vertical="center" wrapText="1"/>
    </xf>
    <xf numFmtId="0" fontId="47" fillId="32" borderId="66" xfId="4" applyFont="1" applyFill="1" applyBorder="1" applyAlignment="1">
      <alignment horizontal="center" vertical="center" wrapText="1"/>
    </xf>
    <xf numFmtId="0" fontId="47" fillId="32" borderId="65" xfId="4" applyFont="1" applyFill="1" applyBorder="1" applyAlignment="1">
      <alignment horizontal="center" vertical="center" wrapText="1"/>
    </xf>
    <xf numFmtId="0" fontId="47" fillId="32" borderId="35" xfId="4" applyFont="1" applyFill="1" applyBorder="1" applyAlignment="1">
      <alignment horizontal="center" vertical="center" wrapText="1"/>
    </xf>
    <xf numFmtId="0" fontId="30" fillId="17" borderId="23" xfId="4" applyFont="1" applyFill="1" applyBorder="1" applyAlignment="1">
      <alignment horizontal="center" vertical="center" wrapText="1"/>
    </xf>
    <xf numFmtId="0" fontId="30" fillId="0" borderId="41" xfId="4" applyFont="1" applyBorder="1" applyAlignment="1">
      <alignment horizontal="center"/>
    </xf>
    <xf numFmtId="0" fontId="30" fillId="0" borderId="39" xfId="4" applyFont="1" applyBorder="1" applyAlignment="1">
      <alignment horizontal="center"/>
    </xf>
    <xf numFmtId="0" fontId="30" fillId="0" borderId="0" xfId="4" applyFont="1" applyAlignment="1">
      <alignment horizontal="center"/>
    </xf>
    <xf numFmtId="0" fontId="30" fillId="0" borderId="38" xfId="4" applyFont="1" applyBorder="1" applyAlignment="1">
      <alignment horizontal="center"/>
    </xf>
    <xf numFmtId="0" fontId="45" fillId="17" borderId="3" xfId="4" applyFont="1" applyFill="1" applyBorder="1" applyAlignment="1">
      <alignment horizontal="center" vertical="center" wrapText="1"/>
    </xf>
    <xf numFmtId="14" fontId="32" fillId="26" borderId="4" xfId="0" applyNumberFormat="1" applyFont="1" applyFill="1" applyBorder="1" applyAlignment="1">
      <alignment horizontal="center" vertical="center" wrapText="1"/>
    </xf>
    <xf numFmtId="14" fontId="32" fillId="26" borderId="18" xfId="0" applyNumberFormat="1" applyFont="1" applyFill="1" applyBorder="1" applyAlignment="1">
      <alignment horizontal="center" vertical="center" wrapText="1"/>
    </xf>
    <xf numFmtId="0" fontId="30" fillId="26" borderId="4" xfId="0" applyFont="1" applyFill="1" applyBorder="1" applyAlignment="1">
      <alignment horizontal="center" vertical="center" wrapText="1"/>
    </xf>
    <xf numFmtId="0" fontId="30" fillId="26" borderId="18" xfId="0" applyFont="1" applyFill="1" applyBorder="1" applyAlignment="1">
      <alignment horizontal="center" vertical="center" wrapText="1"/>
    </xf>
    <xf numFmtId="0" fontId="32" fillId="26" borderId="4" xfId="0" applyFont="1" applyFill="1" applyBorder="1" applyAlignment="1">
      <alignment horizontal="center" vertical="center" wrapText="1"/>
    </xf>
    <xf numFmtId="0" fontId="32" fillId="26" borderId="18" xfId="0" applyFont="1" applyFill="1" applyBorder="1" applyAlignment="1">
      <alignment horizontal="center" vertical="center" wrapText="1"/>
    </xf>
    <xf numFmtId="0" fontId="30" fillId="41" borderId="4" xfId="0" applyFont="1" applyFill="1" applyBorder="1" applyAlignment="1">
      <alignment horizontal="center" vertical="center" wrapText="1"/>
    </xf>
    <xf numFmtId="0" fontId="30" fillId="41" borderId="18" xfId="0" applyFont="1" applyFill="1" applyBorder="1" applyAlignment="1">
      <alignment horizontal="center" vertical="center" wrapText="1"/>
    </xf>
    <xf numFmtId="0" fontId="30" fillId="0" borderId="3" xfId="0" applyFont="1" applyBorder="1" applyAlignment="1">
      <alignment horizontal="center" vertical="center" wrapText="1"/>
    </xf>
    <xf numFmtId="0" fontId="34" fillId="19" borderId="52" xfId="0" applyFont="1" applyFill="1" applyBorder="1" applyAlignment="1">
      <alignment horizontal="center" vertical="center" wrapText="1"/>
    </xf>
    <xf numFmtId="9" fontId="34" fillId="5" borderId="26" xfId="0" applyNumberFormat="1" applyFont="1" applyFill="1" applyBorder="1" applyAlignment="1">
      <alignment horizontal="center" vertical="center" wrapText="1"/>
    </xf>
    <xf numFmtId="9" fontId="34" fillId="5" borderId="52" xfId="0" applyNumberFormat="1" applyFont="1" applyFill="1" applyBorder="1" applyAlignment="1">
      <alignment horizontal="center" vertical="center" wrapText="1"/>
    </xf>
    <xf numFmtId="9" fontId="34" fillId="5" borderId="29" xfId="0" applyNumberFormat="1" applyFont="1" applyFill="1" applyBorder="1" applyAlignment="1">
      <alignment horizontal="center" vertical="center" wrapText="1"/>
    </xf>
    <xf numFmtId="14" fontId="30" fillId="26" borderId="4" xfId="0" applyNumberFormat="1" applyFont="1" applyFill="1" applyBorder="1" applyAlignment="1">
      <alignment horizontal="center" vertical="center" wrapText="1"/>
    </xf>
    <xf numFmtId="14" fontId="30" fillId="26" borderId="18" xfId="0" applyNumberFormat="1" applyFont="1" applyFill="1" applyBorder="1" applyAlignment="1">
      <alignment horizontal="center" vertical="center" wrapText="1"/>
    </xf>
    <xf numFmtId="0" fontId="34" fillId="19" borderId="27" xfId="0" applyFont="1" applyFill="1" applyBorder="1" applyAlignment="1">
      <alignment horizontal="center" vertical="center"/>
    </xf>
    <xf numFmtId="0" fontId="34" fillId="19" borderId="51" xfId="0" applyFont="1" applyFill="1" applyBorder="1" applyAlignment="1">
      <alignment horizontal="center" vertical="center"/>
    </xf>
    <xf numFmtId="0" fontId="34" fillId="19" borderId="46" xfId="0" applyFont="1" applyFill="1" applyBorder="1" applyAlignment="1">
      <alignment horizontal="center" vertical="center"/>
    </xf>
    <xf numFmtId="0" fontId="53" fillId="0" borderId="4" xfId="0" applyFont="1" applyBorder="1" applyAlignment="1">
      <alignment horizontal="center" vertical="center" wrapText="1"/>
    </xf>
    <xf numFmtId="0" fontId="53" fillId="0" borderId="18" xfId="0" applyFont="1" applyBorder="1" applyAlignment="1">
      <alignment horizontal="center" vertical="center" wrapText="1"/>
    </xf>
    <xf numFmtId="0" fontId="20" fillId="28" borderId="3" xfId="0" applyFont="1" applyFill="1" applyBorder="1" applyAlignment="1">
      <alignment vertical="center" wrapText="1"/>
    </xf>
    <xf numFmtId="0" fontId="20" fillId="28" borderId="3" xfId="0" applyFont="1" applyFill="1" applyBorder="1" applyAlignment="1">
      <alignment vertical="center"/>
    </xf>
    <xf numFmtId="0" fontId="30" fillId="0" borderId="51" xfId="4" applyFont="1" applyBorder="1" applyAlignment="1"/>
    <xf numFmtId="0" fontId="30" fillId="0" borderId="0" xfId="4" applyFont="1" applyAlignment="1"/>
    <xf numFmtId="0" fontId="30" fillId="0" borderId="54" xfId="4" applyFont="1" applyBorder="1" applyAlignment="1"/>
    <xf numFmtId="0" fontId="30" fillId="0" borderId="48" xfId="4" applyFont="1" applyBorder="1" applyAlignment="1"/>
    <xf numFmtId="0" fontId="30" fillId="17" borderId="0" xfId="4" applyFont="1" applyFill="1" applyAlignment="1"/>
    <xf numFmtId="0" fontId="30" fillId="17" borderId="54" xfId="4" applyFont="1" applyFill="1" applyBorder="1" applyAlignment="1"/>
    <xf numFmtId="0" fontId="30" fillId="17" borderId="48" xfId="4" applyFont="1" applyFill="1" applyBorder="1" applyAlignment="1"/>
    <xf numFmtId="0" fontId="30" fillId="0" borderId="63" xfId="4" applyFont="1" applyBorder="1" applyAlignment="1"/>
    <xf numFmtId="0" fontId="30" fillId="0" borderId="81" xfId="4" applyFont="1" applyBorder="1" applyAlignment="1"/>
    <xf numFmtId="0" fontId="30" fillId="0" borderId="68" xfId="4" applyFont="1" applyBorder="1" applyAlignment="1"/>
  </cellXfs>
  <cellStyles count="8">
    <cellStyle name="BodyStyle" xfId="6" xr:uid="{4B07DE25-44A9-4C6D-9D4A-C1DCA38E3160}"/>
    <cellStyle name="Currency" xfId="7" xr:uid="{03572155-C162-4791-9109-C10292CBF250}"/>
    <cellStyle name="HeaderStyle" xfId="5" xr:uid="{ACF2BE0B-6308-4E70-9C67-70CC8A6F1CE4}"/>
    <cellStyle name="Normal" xfId="0" builtinId="0"/>
    <cellStyle name="Normal 2" xfId="2" xr:uid="{F6D7B5C7-EAA5-41B2-A428-B1E4829B4239}"/>
    <cellStyle name="Normal 3" xfId="4" xr:uid="{8069BBAF-1CE5-4F46-BC5E-D38D0AE969E4}"/>
    <cellStyle name="Normal 98" xfId="3" xr:uid="{FE56FDC3-B997-4D23-979B-AD55E7AB71E0}"/>
    <cellStyle name="Porcentaje" xfId="1" builtinId="5"/>
  </cellStyles>
  <dxfs count="162">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colors>
    <mruColors>
      <color rgb="FFFF33CC"/>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13. PSPI'!A1"/><Relationship Id="rId13" Type="http://schemas.openxmlformats.org/officeDocument/2006/relationships/hyperlink" Target="#'03. PINAR'!A1"/><Relationship Id="rId18" Type="http://schemas.openxmlformats.org/officeDocument/2006/relationships/hyperlink" Target="#'08. PSST'!A1"/><Relationship Id="rId3" Type="http://schemas.openxmlformats.org/officeDocument/2006/relationships/hyperlink" Target="#'06. PETH'!A1"/><Relationship Id="rId21" Type="http://schemas.openxmlformats.org/officeDocument/2006/relationships/hyperlink" Target="#'06. PIC'!A1"/><Relationship Id="rId7" Type="http://schemas.openxmlformats.org/officeDocument/2006/relationships/hyperlink" Target="#'03. PAA'!A1"/><Relationship Id="rId12" Type="http://schemas.openxmlformats.org/officeDocument/2006/relationships/hyperlink" Target="#'01. Plan Acci&#243;n Anual'!A1"/><Relationship Id="rId17" Type="http://schemas.openxmlformats.org/officeDocument/2006/relationships/hyperlink" Target="#'09. PAAC'!A1"/><Relationship Id="rId2" Type="http://schemas.openxmlformats.org/officeDocument/2006/relationships/hyperlink" Target="#'02. INTITUCIONAL'!A1"/><Relationship Id="rId16" Type="http://schemas.openxmlformats.org/officeDocument/2006/relationships/hyperlink" Target="#'10.PETI'!A1"/><Relationship Id="rId20" Type="http://schemas.openxmlformats.org/officeDocument/2006/relationships/hyperlink" Target="#'04. PAA'!A1"/><Relationship Id="rId1" Type="http://schemas.openxmlformats.org/officeDocument/2006/relationships/image" Target="../media/image1.png"/><Relationship Id="rId6" Type="http://schemas.openxmlformats.org/officeDocument/2006/relationships/hyperlink" Target="#'11. PETI'!A1"/><Relationship Id="rId11" Type="http://schemas.openxmlformats.org/officeDocument/2006/relationships/hyperlink" Target="#'01. SECTORIAL'!A1"/><Relationship Id="rId24" Type="http://schemas.openxmlformats.org/officeDocument/2006/relationships/hyperlink" Target="#'07. PII'!A1"/><Relationship Id="rId5" Type="http://schemas.openxmlformats.org/officeDocument/2006/relationships/hyperlink" Target="#'12. Trat. riesgos'!A1"/><Relationship Id="rId15" Type="http://schemas.openxmlformats.org/officeDocument/2006/relationships/hyperlink" Target="#'11. PTRSPI'!A1"/><Relationship Id="rId23" Type="http://schemas.openxmlformats.org/officeDocument/2006/relationships/hyperlink" Target="#'08. PII'!A1"/><Relationship Id="rId10" Type="http://schemas.openxmlformats.org/officeDocument/2006/relationships/hyperlink" Target="#'07. PIC'!A1"/><Relationship Id="rId19" Type="http://schemas.openxmlformats.org/officeDocument/2006/relationships/hyperlink" Target="#'05. PETH'!A1"/><Relationship Id="rId4" Type="http://schemas.openxmlformats.org/officeDocument/2006/relationships/hyperlink" Target="#'09. PSST'!A1"/><Relationship Id="rId9" Type="http://schemas.openxmlformats.org/officeDocument/2006/relationships/hyperlink" Target="#'10. PAAC'!A1"/><Relationship Id="rId14" Type="http://schemas.openxmlformats.org/officeDocument/2006/relationships/hyperlink" Target="#'11.PSPI'!A1"/><Relationship Id="rId22" Type="http://schemas.openxmlformats.org/officeDocument/2006/relationships/hyperlink" Target="#'02. PINAR'!A1"/></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368300</xdr:colOff>
      <xdr:row>21</xdr:row>
      <xdr:rowOff>88900</xdr:rowOff>
    </xdr:from>
    <xdr:to>
      <xdr:col>11</xdr:col>
      <xdr:colOff>396875</xdr:colOff>
      <xdr:row>45</xdr:row>
      <xdr:rowOff>184150</xdr:rowOff>
    </xdr:to>
    <xdr:sp macro="" textlink="">
      <xdr:nvSpPr>
        <xdr:cNvPr id="2" name="TextBox 121">
          <a:extLst>
            <a:ext uri="{FF2B5EF4-FFF2-40B4-BE49-F238E27FC236}">
              <a16:creationId xmlns:a16="http://schemas.microsoft.com/office/drawing/2014/main" id="{4EFAAC6E-78E8-470F-820E-0116D83A46E6}"/>
            </a:ext>
          </a:extLst>
        </xdr:cNvPr>
        <xdr:cNvSpPr txBox="1"/>
      </xdr:nvSpPr>
      <xdr:spPr>
        <a:xfrm>
          <a:off x="3568700" y="3911600"/>
          <a:ext cx="562927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Planes</a:t>
          </a:r>
          <a:r>
            <a:rPr lang="en-US" sz="5200" b="1" kern="0" baseline="0">
              <a:solidFill>
                <a:sysClr val="windowText" lastClr="000000"/>
              </a:solidFill>
              <a:latin typeface="Arial" pitchFamily="34" charset="0"/>
              <a:cs typeface="Arial" pitchFamily="34" charset="0"/>
            </a:rPr>
            <a:t> Institucionales</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2023</a:t>
          </a:r>
          <a:endParaRPr lang="en-US" sz="5200" b="1" kern="0">
            <a:solidFill>
              <a:srgbClr val="204D38"/>
            </a:solidFill>
            <a:latin typeface="Arial" pitchFamily="34" charset="0"/>
            <a:cs typeface="Arial" pitchFamily="34" charset="0"/>
          </a:endParaRPr>
        </a:p>
      </xdr:txBody>
    </xdr:sp>
    <xdr:clientData/>
  </xdr:twoCellAnchor>
  <xdr:twoCellAnchor editAs="oneCell">
    <xdr:from>
      <xdr:col>5</xdr:col>
      <xdr:colOff>367240</xdr:colOff>
      <xdr:row>35</xdr:row>
      <xdr:rowOff>64556</xdr:rowOff>
    </xdr:from>
    <xdr:to>
      <xdr:col>10</xdr:col>
      <xdr:colOff>623237</xdr:colOff>
      <xdr:row>46</xdr:row>
      <xdr:rowOff>174625</xdr:rowOff>
    </xdr:to>
    <xdr:pic>
      <xdr:nvPicPr>
        <xdr:cNvPr id="3" name="6 Imagen">
          <a:extLst>
            <a:ext uri="{FF2B5EF4-FFF2-40B4-BE49-F238E27FC236}">
              <a16:creationId xmlns:a16="http://schemas.microsoft.com/office/drawing/2014/main" id="{51A1F3B8-F599-4F13-95A4-075E2AFB42BB}"/>
            </a:ext>
            <a:ext uri="{147F2762-F138-4A5C-976F-8EAC2B608ADB}">
              <a16:predDERef xmlns:a16="http://schemas.microsoft.com/office/drawing/2014/main" pred="{3DF6C39E-6CBE-4C97-A6A7-2F0585D1EB8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7740" y="6465356"/>
          <a:ext cx="4256497" cy="213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496546</xdr:colOff>
      <xdr:row>5</xdr:row>
      <xdr:rowOff>35979</xdr:rowOff>
    </xdr:from>
    <xdr:to>
      <xdr:col>9</xdr:col>
      <xdr:colOff>455231</xdr:colOff>
      <xdr:row>17</xdr:row>
      <xdr:rowOff>247646</xdr:rowOff>
    </xdr:to>
    <xdr:sp macro="" textlink="">
      <xdr:nvSpPr>
        <xdr:cNvPr id="4" name="Lágrima 3">
          <a:hlinkClick xmlns:r="http://schemas.openxmlformats.org/officeDocument/2006/relationships" r:id="rId2"/>
          <a:extLst>
            <a:ext uri="{FF2B5EF4-FFF2-40B4-BE49-F238E27FC236}">
              <a16:creationId xmlns:a16="http://schemas.microsoft.com/office/drawing/2014/main" id="{015AE69A-3F47-4AB9-AC34-53239212A6F8}"/>
            </a:ext>
          </a:extLst>
        </xdr:cNvPr>
        <xdr:cNvSpPr/>
      </xdr:nvSpPr>
      <xdr:spPr>
        <a:xfrm rot="19034445">
          <a:off x="5297146" y="829729"/>
          <a:ext cx="2358985" cy="2421467"/>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5" name="Lágrima 4">
          <a:extLst>
            <a:ext uri="{FF2B5EF4-FFF2-40B4-BE49-F238E27FC236}">
              <a16:creationId xmlns:a16="http://schemas.microsoft.com/office/drawing/2014/main" id="{FECFCF0E-897B-4FD5-9FF1-6282CA61CCD3}"/>
            </a:ext>
          </a:extLst>
        </xdr:cNvPr>
        <xdr:cNvSpPr/>
      </xdr:nvSpPr>
      <xdr:spPr>
        <a:xfrm rot="20924410">
          <a:off x="7617876" y="1300525"/>
          <a:ext cx="2396395" cy="2413779"/>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6" name="Lágrima 137">
          <a:hlinkClick xmlns:r="http://schemas.openxmlformats.org/officeDocument/2006/relationships" r:id="rId3"/>
          <a:extLst>
            <a:ext uri="{FF2B5EF4-FFF2-40B4-BE49-F238E27FC236}">
              <a16:creationId xmlns:a16="http://schemas.microsoft.com/office/drawing/2014/main" id="{EA23039C-ADE0-4FF0-860E-869FF00C2E38}"/>
            </a:ext>
          </a:extLst>
        </xdr:cNvPr>
        <xdr:cNvSpPr/>
      </xdr:nvSpPr>
      <xdr:spPr>
        <a:xfrm rot="5888503">
          <a:off x="8415877" y="9420779"/>
          <a:ext cx="2305890" cy="2485746"/>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7" name="Lágrima 6">
          <a:hlinkClick xmlns:r="http://schemas.openxmlformats.org/officeDocument/2006/relationships" r:id="rId4"/>
          <a:extLst>
            <a:ext uri="{FF2B5EF4-FFF2-40B4-BE49-F238E27FC236}">
              <a16:creationId xmlns:a16="http://schemas.microsoft.com/office/drawing/2014/main" id="{D170D7A3-1497-4232-AD22-7587D0BCE67A}"/>
            </a:ext>
          </a:extLst>
        </xdr:cNvPr>
        <xdr:cNvSpPr/>
      </xdr:nvSpPr>
      <xdr:spPr>
        <a:xfrm rot="10073442">
          <a:off x="1727238" y="9648320"/>
          <a:ext cx="2372732" cy="241589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8" name="Lágrima 7">
          <a:hlinkClick xmlns:r="http://schemas.openxmlformats.org/officeDocument/2006/relationships" r:id="rId5"/>
          <a:extLst>
            <a:ext uri="{FF2B5EF4-FFF2-40B4-BE49-F238E27FC236}">
              <a16:creationId xmlns:a16="http://schemas.microsoft.com/office/drawing/2014/main" id="{7A9C677A-D123-4693-99FB-D7144D97CC1A}"/>
            </a:ext>
          </a:extLst>
        </xdr:cNvPr>
        <xdr:cNvSpPr/>
      </xdr:nvSpPr>
      <xdr:spPr>
        <a:xfrm rot="16200000">
          <a:off x="1049756" y="2735384"/>
          <a:ext cx="2316473" cy="24857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9" name="Lágrima 8">
          <a:hlinkClick xmlns:r="http://schemas.openxmlformats.org/officeDocument/2006/relationships" r:id="rId6"/>
          <a:extLst>
            <a:ext uri="{FF2B5EF4-FFF2-40B4-BE49-F238E27FC236}">
              <a16:creationId xmlns:a16="http://schemas.microsoft.com/office/drawing/2014/main" id="{D98A9EF9-6B04-4B4E-BC64-528677E1BF8A}"/>
            </a:ext>
          </a:extLst>
        </xdr:cNvPr>
        <xdr:cNvSpPr/>
      </xdr:nvSpPr>
      <xdr:spPr>
        <a:xfrm rot="13197227">
          <a:off x="543963" y="5099046"/>
          <a:ext cx="2388440" cy="2420630"/>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10" name="Lágrima 141">
          <a:hlinkClick xmlns:r="http://schemas.openxmlformats.org/officeDocument/2006/relationships" r:id="rId7"/>
          <a:extLst>
            <a:ext uri="{FF2B5EF4-FFF2-40B4-BE49-F238E27FC236}">
              <a16:creationId xmlns:a16="http://schemas.microsoft.com/office/drawing/2014/main" id="{D98BF169-01ED-441A-844F-728ED0291C0F}"/>
            </a:ext>
          </a:extLst>
        </xdr:cNvPr>
        <xdr:cNvSpPr/>
      </xdr:nvSpPr>
      <xdr:spPr>
        <a:xfrm>
          <a:off x="9462242" y="2855379"/>
          <a:ext cx="2374157" cy="2419350"/>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1" name="Lágrima 10">
          <a:extLst>
            <a:ext uri="{FF2B5EF4-FFF2-40B4-BE49-F238E27FC236}">
              <a16:creationId xmlns:a16="http://schemas.microsoft.com/office/drawing/2014/main" id="{848CF211-DEA1-4687-A4D5-657C71149870}"/>
            </a:ext>
          </a:extLst>
        </xdr:cNvPr>
        <xdr:cNvSpPr/>
      </xdr:nvSpPr>
      <xdr:spPr>
        <a:xfrm rot="2716324">
          <a:off x="9962139" y="5074606"/>
          <a:ext cx="2291773"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2" name="Lágrima 11">
          <a:hlinkClick xmlns:r="http://schemas.openxmlformats.org/officeDocument/2006/relationships" r:id="rId8"/>
          <a:extLst>
            <a:ext uri="{FF2B5EF4-FFF2-40B4-BE49-F238E27FC236}">
              <a16:creationId xmlns:a16="http://schemas.microsoft.com/office/drawing/2014/main" id="{307237E3-BB89-4523-8AD1-B3C46100C258}"/>
            </a:ext>
          </a:extLst>
        </xdr:cNvPr>
        <xdr:cNvSpPr/>
      </xdr:nvSpPr>
      <xdr:spPr>
        <a:xfrm rot="17063044">
          <a:off x="3010835" y="1360412"/>
          <a:ext cx="2310123" cy="24857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3" name="Lágrima 12">
          <a:hlinkClick xmlns:r="http://schemas.openxmlformats.org/officeDocument/2006/relationships" r:id="rId9"/>
          <a:extLst>
            <a:ext uri="{FF2B5EF4-FFF2-40B4-BE49-F238E27FC236}">
              <a16:creationId xmlns:a16="http://schemas.microsoft.com/office/drawing/2014/main" id="{60150D2D-3996-4373-8EF9-8DA82D1FC2F8}"/>
            </a:ext>
          </a:extLst>
        </xdr:cNvPr>
        <xdr:cNvSpPr/>
      </xdr:nvSpPr>
      <xdr:spPr>
        <a:xfrm rot="11835076">
          <a:off x="1254678" y="7355754"/>
          <a:ext cx="2362692" cy="241589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 name="Lágrima 13">
          <a:extLst>
            <a:ext uri="{FF2B5EF4-FFF2-40B4-BE49-F238E27FC236}">
              <a16:creationId xmlns:a16="http://schemas.microsoft.com/office/drawing/2014/main" id="{5B25704D-4007-47F2-AAF1-B7B2D1712543}"/>
            </a:ext>
          </a:extLst>
        </xdr:cNvPr>
        <xdr:cNvSpPr/>
      </xdr:nvSpPr>
      <xdr:spPr>
        <a:xfrm rot="5400000">
          <a:off x="9432103" y="7320827"/>
          <a:ext cx="2312240" cy="24857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5" name="Lágrima 14">
          <a:hlinkClick xmlns:r="http://schemas.openxmlformats.org/officeDocument/2006/relationships" r:id="rId10"/>
          <a:extLst>
            <a:ext uri="{FF2B5EF4-FFF2-40B4-BE49-F238E27FC236}">
              <a16:creationId xmlns:a16="http://schemas.microsoft.com/office/drawing/2014/main" id="{30741EFA-4D9D-4EA4-B896-3AC5CDCACA2E}"/>
            </a:ext>
          </a:extLst>
        </xdr:cNvPr>
        <xdr:cNvSpPr/>
      </xdr:nvSpPr>
      <xdr:spPr>
        <a:xfrm rot="7274512">
          <a:off x="6324588" y="10262445"/>
          <a:ext cx="2331042" cy="2485746"/>
        </a:xfrm>
        <a:prstGeom prst="teardrop">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6" name="TextBox 121">
          <a:hlinkClick xmlns:r="http://schemas.openxmlformats.org/officeDocument/2006/relationships" r:id="rId11"/>
          <a:extLst>
            <a:ext uri="{FF2B5EF4-FFF2-40B4-BE49-F238E27FC236}">
              <a16:creationId xmlns:a16="http://schemas.microsoft.com/office/drawing/2014/main" id="{89AB238D-AB73-4090-9844-A82876A45F46}"/>
            </a:ext>
          </a:extLst>
        </xdr:cNvPr>
        <xdr:cNvSpPr txBox="1"/>
      </xdr:nvSpPr>
      <xdr:spPr bwMode="auto">
        <a:xfrm>
          <a:off x="5817696" y="1828800"/>
          <a:ext cx="126114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7" name="Straight Connector 72">
          <a:extLst>
            <a:ext uri="{FF2B5EF4-FFF2-40B4-BE49-F238E27FC236}">
              <a16:creationId xmlns:a16="http://schemas.microsoft.com/office/drawing/2014/main" id="{2B291905-5A26-48CA-8D27-2782AA7F317E}"/>
            </a:ext>
          </a:extLst>
        </xdr:cNvPr>
        <xdr:cNvCxnSpPr/>
      </xdr:nvCxnSpPr>
      <xdr:spPr bwMode="auto">
        <a:xfrm>
          <a:off x="5971508" y="1752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8" name="TextBox 70">
          <a:hlinkClick xmlns:r="http://schemas.openxmlformats.org/officeDocument/2006/relationships" r:id="rId12"/>
          <a:extLst>
            <a:ext uri="{FF2B5EF4-FFF2-40B4-BE49-F238E27FC236}">
              <a16:creationId xmlns:a16="http://schemas.microsoft.com/office/drawing/2014/main" id="{201C65B9-9EE2-40F8-ABFD-7927422C9947}"/>
            </a:ext>
          </a:extLst>
        </xdr:cNvPr>
        <xdr:cNvSpPr txBox="1"/>
      </xdr:nvSpPr>
      <xdr:spPr bwMode="auto">
        <a:xfrm>
          <a:off x="6066052" y="101811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9" name="TextBox 121">
          <a:hlinkClick xmlns:r="http://schemas.openxmlformats.org/officeDocument/2006/relationships" r:id="rId13"/>
          <a:extLst>
            <a:ext uri="{FF2B5EF4-FFF2-40B4-BE49-F238E27FC236}">
              <a16:creationId xmlns:a16="http://schemas.microsoft.com/office/drawing/2014/main" id="{FDE9F310-DF7A-4D3D-8CCD-1C26EB8FD009}"/>
            </a:ext>
          </a:extLst>
        </xdr:cNvPr>
        <xdr:cNvSpPr txBox="1"/>
      </xdr:nvSpPr>
      <xdr:spPr bwMode="auto">
        <a:xfrm>
          <a:off x="7996894" y="2297552"/>
          <a:ext cx="184560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20" name="TextBox 121">
          <a:hlinkClick xmlns:r="http://schemas.openxmlformats.org/officeDocument/2006/relationships" r:id="rId14"/>
          <a:extLst>
            <a:ext uri="{FF2B5EF4-FFF2-40B4-BE49-F238E27FC236}">
              <a16:creationId xmlns:a16="http://schemas.microsoft.com/office/drawing/2014/main" id="{89333198-F2A6-461E-AC94-ADD9FDDCA587}"/>
            </a:ext>
          </a:extLst>
        </xdr:cNvPr>
        <xdr:cNvSpPr txBox="1"/>
      </xdr:nvSpPr>
      <xdr:spPr bwMode="auto">
        <a:xfrm>
          <a:off x="3229152" y="2211407"/>
          <a:ext cx="18730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1" name="TextBox 121">
          <a:hlinkClick xmlns:r="http://schemas.openxmlformats.org/officeDocument/2006/relationships" r:id="rId15"/>
          <a:extLst>
            <a:ext uri="{FF2B5EF4-FFF2-40B4-BE49-F238E27FC236}">
              <a16:creationId xmlns:a16="http://schemas.microsoft.com/office/drawing/2014/main" id="{B52E91A5-D995-4A0C-A039-C9FFEBE2725E}"/>
            </a:ext>
          </a:extLst>
        </xdr:cNvPr>
        <xdr:cNvSpPr txBox="1"/>
      </xdr:nvSpPr>
      <xdr:spPr bwMode="auto">
        <a:xfrm>
          <a:off x="1070038" y="3400731"/>
          <a:ext cx="22732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2" name="TextBox 121">
          <a:hlinkClick xmlns:r="http://schemas.openxmlformats.org/officeDocument/2006/relationships" r:id="rId16"/>
          <a:extLst>
            <a:ext uri="{FF2B5EF4-FFF2-40B4-BE49-F238E27FC236}">
              <a16:creationId xmlns:a16="http://schemas.microsoft.com/office/drawing/2014/main" id="{74E33CDE-2CF8-4ABB-A009-7AB97B406F9A}"/>
            </a:ext>
          </a:extLst>
        </xdr:cNvPr>
        <xdr:cNvSpPr txBox="1"/>
      </xdr:nvSpPr>
      <xdr:spPr bwMode="auto">
        <a:xfrm>
          <a:off x="815579" y="6100897"/>
          <a:ext cx="17300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3" name="TextBox 121">
          <a:hlinkClick xmlns:r="http://schemas.openxmlformats.org/officeDocument/2006/relationships" r:id="rId17"/>
          <a:extLst>
            <a:ext uri="{FF2B5EF4-FFF2-40B4-BE49-F238E27FC236}">
              <a16:creationId xmlns:a16="http://schemas.microsoft.com/office/drawing/2014/main" id="{0D908F98-96FD-405F-ABB9-D1B06F9EAC43}"/>
            </a:ext>
          </a:extLst>
        </xdr:cNvPr>
        <xdr:cNvSpPr txBox="1"/>
      </xdr:nvSpPr>
      <xdr:spPr bwMode="auto">
        <a:xfrm>
          <a:off x="1093909" y="8323243"/>
          <a:ext cx="248902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4" name="TextBox 121">
          <a:hlinkClick xmlns:r="http://schemas.openxmlformats.org/officeDocument/2006/relationships" r:id="rId18"/>
          <a:extLst>
            <a:ext uri="{FF2B5EF4-FFF2-40B4-BE49-F238E27FC236}">
              <a16:creationId xmlns:a16="http://schemas.microsoft.com/office/drawing/2014/main" id="{B28EBEF5-0C7D-4E3D-BB8E-59D2E7F68C7E}"/>
            </a:ext>
          </a:extLst>
        </xdr:cNvPr>
        <xdr:cNvSpPr txBox="1"/>
      </xdr:nvSpPr>
      <xdr:spPr bwMode="auto">
        <a:xfrm>
          <a:off x="1653422" y="10512998"/>
          <a:ext cx="248478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5" name="TextBox 121">
          <a:hlinkClick xmlns:r="http://schemas.openxmlformats.org/officeDocument/2006/relationships" r:id="rId10"/>
          <a:extLst>
            <a:ext uri="{FF2B5EF4-FFF2-40B4-BE49-F238E27FC236}">
              <a16:creationId xmlns:a16="http://schemas.microsoft.com/office/drawing/2014/main" id="{5C1D70C8-D4EA-4D39-90DE-BC5B79765C71}"/>
            </a:ext>
          </a:extLst>
        </xdr:cNvPr>
        <xdr:cNvSpPr txBox="1"/>
      </xdr:nvSpPr>
      <xdr:spPr bwMode="auto">
        <a:xfrm>
          <a:off x="6498039" y="11442216"/>
          <a:ext cx="20997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6" name="TextBox 121">
          <a:hlinkClick xmlns:r="http://schemas.openxmlformats.org/officeDocument/2006/relationships" r:id="rId19"/>
          <a:extLst>
            <a:ext uri="{FF2B5EF4-FFF2-40B4-BE49-F238E27FC236}">
              <a16:creationId xmlns:a16="http://schemas.microsoft.com/office/drawing/2014/main" id="{1FD9D5D9-5E8D-455E-B830-42E0E54F6B2F}"/>
            </a:ext>
          </a:extLst>
        </xdr:cNvPr>
        <xdr:cNvSpPr txBox="1"/>
      </xdr:nvSpPr>
      <xdr:spPr bwMode="auto">
        <a:xfrm>
          <a:off x="8654539" y="10390361"/>
          <a:ext cx="183091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7" name="TextBox 121">
          <a:extLst>
            <a:ext uri="{FF2B5EF4-FFF2-40B4-BE49-F238E27FC236}">
              <a16:creationId xmlns:a16="http://schemas.microsoft.com/office/drawing/2014/main" id="{3189B46D-63E1-4FE2-A569-21C688DAF7EA}"/>
            </a:ext>
          </a:extLst>
        </xdr:cNvPr>
        <xdr:cNvSpPr txBox="1"/>
      </xdr:nvSpPr>
      <xdr:spPr bwMode="auto">
        <a:xfrm>
          <a:off x="9458464" y="8425455"/>
          <a:ext cx="24008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8" name="TextBox 121">
          <a:extLst>
            <a:ext uri="{FF2B5EF4-FFF2-40B4-BE49-F238E27FC236}">
              <a16:creationId xmlns:a16="http://schemas.microsoft.com/office/drawing/2014/main" id="{A9399857-C8C8-4DB0-B478-2D861BD1545D}"/>
            </a:ext>
          </a:extLst>
        </xdr:cNvPr>
        <xdr:cNvSpPr txBox="1"/>
      </xdr:nvSpPr>
      <xdr:spPr bwMode="auto">
        <a:xfrm>
          <a:off x="10305693" y="6126603"/>
          <a:ext cx="172641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9" name="TextBox 121">
          <a:hlinkClick xmlns:r="http://schemas.openxmlformats.org/officeDocument/2006/relationships" r:id="rId20"/>
          <a:extLst>
            <a:ext uri="{FF2B5EF4-FFF2-40B4-BE49-F238E27FC236}">
              <a16:creationId xmlns:a16="http://schemas.microsoft.com/office/drawing/2014/main" id="{3149C6FC-E61A-48E1-ABCD-16BA63C1A737}"/>
            </a:ext>
          </a:extLst>
        </xdr:cNvPr>
        <xdr:cNvSpPr txBox="1"/>
      </xdr:nvSpPr>
      <xdr:spPr bwMode="auto">
        <a:xfrm>
          <a:off x="9712618" y="3778250"/>
          <a:ext cx="19401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30" name="Straight Connector 72">
          <a:extLst>
            <a:ext uri="{FF2B5EF4-FFF2-40B4-BE49-F238E27FC236}">
              <a16:creationId xmlns:a16="http://schemas.microsoft.com/office/drawing/2014/main" id="{CCCEC601-2385-476A-A5B5-3C2E23B20A79}"/>
            </a:ext>
          </a:extLst>
        </xdr:cNvPr>
        <xdr:cNvCxnSpPr/>
      </xdr:nvCxnSpPr>
      <xdr:spPr bwMode="auto">
        <a:xfrm>
          <a:off x="8321008" y="220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1" name="Straight Connector 72">
          <a:extLst>
            <a:ext uri="{FF2B5EF4-FFF2-40B4-BE49-F238E27FC236}">
              <a16:creationId xmlns:a16="http://schemas.microsoft.com/office/drawing/2014/main" id="{81BC54EE-21C3-420E-A7F4-44E1B77773F6}"/>
            </a:ext>
          </a:extLst>
        </xdr:cNvPr>
        <xdr:cNvCxnSpPr/>
      </xdr:nvCxnSpPr>
      <xdr:spPr bwMode="auto">
        <a:xfrm>
          <a:off x="10236259" y="3750554"/>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2" name="Straight Connector 72">
          <a:extLst>
            <a:ext uri="{FF2B5EF4-FFF2-40B4-BE49-F238E27FC236}">
              <a16:creationId xmlns:a16="http://schemas.microsoft.com/office/drawing/2014/main" id="{8A293E83-ABB1-44C9-9910-C4A8569E68ED}"/>
            </a:ext>
          </a:extLst>
        </xdr:cNvPr>
        <xdr:cNvCxnSpPr/>
      </xdr:nvCxnSpPr>
      <xdr:spPr bwMode="auto">
        <a:xfrm>
          <a:off x="10680760" y="6098755"/>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3" name="Straight Connector 72">
          <a:extLst>
            <a:ext uri="{FF2B5EF4-FFF2-40B4-BE49-F238E27FC236}">
              <a16:creationId xmlns:a16="http://schemas.microsoft.com/office/drawing/2014/main" id="{0490C54C-C791-4CA2-BC7D-4ADC45B9B222}"/>
            </a:ext>
          </a:extLst>
        </xdr:cNvPr>
        <xdr:cNvCxnSpPr/>
      </xdr:nvCxnSpPr>
      <xdr:spPr bwMode="auto">
        <a:xfrm>
          <a:off x="10165110" y="8387356"/>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4" name="Straight Connector 72">
          <a:hlinkClick xmlns:r="http://schemas.openxmlformats.org/officeDocument/2006/relationships" r:id="rId3"/>
          <a:extLst>
            <a:ext uri="{FF2B5EF4-FFF2-40B4-BE49-F238E27FC236}">
              <a16:creationId xmlns:a16="http://schemas.microsoft.com/office/drawing/2014/main" id="{606E8EED-56B8-44A0-A61E-83EF1DB1F1FB}"/>
            </a:ext>
          </a:extLst>
        </xdr:cNvPr>
        <xdr:cNvCxnSpPr/>
      </xdr:nvCxnSpPr>
      <xdr:spPr bwMode="auto">
        <a:xfrm>
          <a:off x="9074540" y="10365317"/>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5" name="Straight Connector 72">
          <a:hlinkClick xmlns:r="http://schemas.openxmlformats.org/officeDocument/2006/relationships" r:id="rId21"/>
          <a:extLst>
            <a:ext uri="{FF2B5EF4-FFF2-40B4-BE49-F238E27FC236}">
              <a16:creationId xmlns:a16="http://schemas.microsoft.com/office/drawing/2014/main" id="{80BBC437-857D-419F-AB0B-609BD1B0E27A}"/>
            </a:ext>
          </a:extLst>
        </xdr:cNvPr>
        <xdr:cNvCxnSpPr/>
      </xdr:nvCxnSpPr>
      <xdr:spPr bwMode="auto">
        <a:xfrm>
          <a:off x="7071970" y="11438288"/>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6" name="Straight Connector 72">
          <a:extLst>
            <a:ext uri="{FF2B5EF4-FFF2-40B4-BE49-F238E27FC236}">
              <a16:creationId xmlns:a16="http://schemas.microsoft.com/office/drawing/2014/main" id="{B9A49C02-5109-4448-9EC4-94E419E51D9C}"/>
            </a:ext>
          </a:extLst>
        </xdr:cNvPr>
        <xdr:cNvCxnSpPr/>
      </xdr:nvCxnSpPr>
      <xdr:spPr bwMode="auto">
        <a:xfrm>
          <a:off x="2414232" y="10504533"/>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7" name="Straight Connector 72">
          <a:extLst>
            <a:ext uri="{FF2B5EF4-FFF2-40B4-BE49-F238E27FC236}">
              <a16:creationId xmlns:a16="http://schemas.microsoft.com/office/drawing/2014/main" id="{C12A331E-73F5-4028-BD7C-246C433E3569}"/>
            </a:ext>
          </a:extLst>
        </xdr:cNvPr>
        <xdr:cNvCxnSpPr/>
      </xdr:nvCxnSpPr>
      <xdr:spPr bwMode="auto">
        <a:xfrm>
          <a:off x="1869408" y="8280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8" name="Straight Connector 72">
          <a:extLst>
            <a:ext uri="{FF2B5EF4-FFF2-40B4-BE49-F238E27FC236}">
              <a16:creationId xmlns:a16="http://schemas.microsoft.com/office/drawing/2014/main" id="{F0A6AD4C-BE0F-4D20-BDD7-A23CCBC5ABBD}"/>
            </a:ext>
          </a:extLst>
        </xdr:cNvPr>
        <xdr:cNvCxnSpPr/>
      </xdr:nvCxnSpPr>
      <xdr:spPr bwMode="auto">
        <a:xfrm>
          <a:off x="1183608" y="6113902"/>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9" name="Straight Connector 72">
          <a:extLst>
            <a:ext uri="{FF2B5EF4-FFF2-40B4-BE49-F238E27FC236}">
              <a16:creationId xmlns:a16="http://schemas.microsoft.com/office/drawing/2014/main" id="{818B5299-32D8-4BC8-ADD3-18CFD2C78583}"/>
            </a:ext>
          </a:extLst>
        </xdr:cNvPr>
        <xdr:cNvCxnSpPr/>
      </xdr:nvCxnSpPr>
      <xdr:spPr bwMode="auto">
        <a:xfrm>
          <a:off x="1740113" y="3428311"/>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40" name="Straight Connector 72">
          <a:extLst>
            <a:ext uri="{FF2B5EF4-FFF2-40B4-BE49-F238E27FC236}">
              <a16:creationId xmlns:a16="http://schemas.microsoft.com/office/drawing/2014/main" id="{40E061D6-56BC-48B9-A05A-EC9601BCC36E}"/>
            </a:ext>
          </a:extLst>
        </xdr:cNvPr>
        <xdr:cNvCxnSpPr/>
      </xdr:nvCxnSpPr>
      <xdr:spPr bwMode="auto">
        <a:xfrm>
          <a:off x="3710908" y="2184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1" name="TextBox 70">
          <a:hlinkClick xmlns:r="http://schemas.openxmlformats.org/officeDocument/2006/relationships" r:id="rId22"/>
          <a:extLst>
            <a:ext uri="{FF2B5EF4-FFF2-40B4-BE49-F238E27FC236}">
              <a16:creationId xmlns:a16="http://schemas.microsoft.com/office/drawing/2014/main" id="{341B029E-6DBC-4D61-A962-7AA2BBF5D6D2}"/>
            </a:ext>
          </a:extLst>
        </xdr:cNvPr>
        <xdr:cNvSpPr txBox="1"/>
      </xdr:nvSpPr>
      <xdr:spPr bwMode="auto">
        <a:xfrm>
          <a:off x="8453652" y="15324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2" name="TextBox 70">
          <a:hlinkClick xmlns:r="http://schemas.openxmlformats.org/officeDocument/2006/relationships" r:id="rId7"/>
          <a:extLst>
            <a:ext uri="{FF2B5EF4-FFF2-40B4-BE49-F238E27FC236}">
              <a16:creationId xmlns:a16="http://schemas.microsoft.com/office/drawing/2014/main" id="{A3639515-CEC7-41CF-B2DF-8CBB65F79738}"/>
            </a:ext>
          </a:extLst>
        </xdr:cNvPr>
        <xdr:cNvSpPr txBox="1"/>
      </xdr:nvSpPr>
      <xdr:spPr bwMode="auto">
        <a:xfrm>
          <a:off x="10292550" y="3079416"/>
          <a:ext cx="86814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3" name="TextBox 70">
          <a:extLst>
            <a:ext uri="{FF2B5EF4-FFF2-40B4-BE49-F238E27FC236}">
              <a16:creationId xmlns:a16="http://schemas.microsoft.com/office/drawing/2014/main" id="{181AC67D-DDC1-4065-B9A1-CE5D6275B83A}"/>
            </a:ext>
          </a:extLst>
        </xdr:cNvPr>
        <xdr:cNvSpPr txBox="1"/>
      </xdr:nvSpPr>
      <xdr:spPr bwMode="auto">
        <a:xfrm>
          <a:off x="10765052" y="54377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4" name="TextBox 70">
          <a:extLst>
            <a:ext uri="{FF2B5EF4-FFF2-40B4-BE49-F238E27FC236}">
              <a16:creationId xmlns:a16="http://schemas.microsoft.com/office/drawing/2014/main" id="{BC824233-6387-4538-92FB-CE5EA71053D1}"/>
            </a:ext>
          </a:extLst>
        </xdr:cNvPr>
        <xdr:cNvSpPr txBox="1"/>
      </xdr:nvSpPr>
      <xdr:spPr bwMode="auto">
        <a:xfrm>
          <a:off x="10257206" y="7701450"/>
          <a:ext cx="86814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5" name="TextBox 70">
          <a:hlinkClick xmlns:r="http://schemas.openxmlformats.org/officeDocument/2006/relationships" r:id="rId3"/>
          <a:extLst>
            <a:ext uri="{FF2B5EF4-FFF2-40B4-BE49-F238E27FC236}">
              <a16:creationId xmlns:a16="http://schemas.microsoft.com/office/drawing/2014/main" id="{86366A9C-615E-453B-A33C-E82FF01AE139}"/>
            </a:ext>
          </a:extLst>
        </xdr:cNvPr>
        <xdr:cNvSpPr txBox="1"/>
      </xdr:nvSpPr>
      <xdr:spPr bwMode="auto">
        <a:xfrm>
          <a:off x="9177552" y="9730314"/>
          <a:ext cx="86814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6" name="TextBox 70">
          <a:hlinkClick xmlns:r="http://schemas.openxmlformats.org/officeDocument/2006/relationships" r:id="rId6"/>
          <a:extLst>
            <a:ext uri="{FF2B5EF4-FFF2-40B4-BE49-F238E27FC236}">
              <a16:creationId xmlns:a16="http://schemas.microsoft.com/office/drawing/2014/main" id="{B3C463E3-7C2E-41A9-8C63-1BA00A3B76CB}"/>
            </a:ext>
          </a:extLst>
        </xdr:cNvPr>
        <xdr:cNvSpPr txBox="1"/>
      </xdr:nvSpPr>
      <xdr:spPr bwMode="auto">
        <a:xfrm>
          <a:off x="7174011" y="10785052"/>
          <a:ext cx="8649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7" name="TextBox 70">
          <a:hlinkClick xmlns:r="http://schemas.openxmlformats.org/officeDocument/2006/relationships" r:id="rId4"/>
          <a:extLst>
            <a:ext uri="{FF2B5EF4-FFF2-40B4-BE49-F238E27FC236}">
              <a16:creationId xmlns:a16="http://schemas.microsoft.com/office/drawing/2014/main" id="{C55283A3-A00C-408F-AF76-8958C1CA2C38}"/>
            </a:ext>
          </a:extLst>
        </xdr:cNvPr>
        <xdr:cNvSpPr txBox="1"/>
      </xdr:nvSpPr>
      <xdr:spPr bwMode="auto">
        <a:xfrm>
          <a:off x="2487304" y="9845429"/>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8" name="TextBox 70">
          <a:hlinkClick xmlns:r="http://schemas.openxmlformats.org/officeDocument/2006/relationships" r:id="rId9"/>
          <a:extLst>
            <a:ext uri="{FF2B5EF4-FFF2-40B4-BE49-F238E27FC236}">
              <a16:creationId xmlns:a16="http://schemas.microsoft.com/office/drawing/2014/main" id="{38D98A97-9384-4EC6-9926-682AD1459CF5}"/>
            </a:ext>
          </a:extLst>
        </xdr:cNvPr>
        <xdr:cNvSpPr txBox="1"/>
      </xdr:nvSpPr>
      <xdr:spPr bwMode="auto">
        <a:xfrm>
          <a:off x="1976652" y="76221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9" name="TextBox 70">
          <a:hlinkClick xmlns:r="http://schemas.openxmlformats.org/officeDocument/2006/relationships" r:id="rId6"/>
          <a:extLst>
            <a:ext uri="{FF2B5EF4-FFF2-40B4-BE49-F238E27FC236}">
              <a16:creationId xmlns:a16="http://schemas.microsoft.com/office/drawing/2014/main" id="{E7128238-132C-486E-BF5B-ED9C63ED8362}"/>
            </a:ext>
          </a:extLst>
        </xdr:cNvPr>
        <xdr:cNvSpPr txBox="1"/>
      </xdr:nvSpPr>
      <xdr:spPr bwMode="auto">
        <a:xfrm>
          <a:off x="1303552" y="54821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50" name="TextBox 70">
          <a:hlinkClick xmlns:r="http://schemas.openxmlformats.org/officeDocument/2006/relationships" r:id="rId5"/>
          <a:extLst>
            <a:ext uri="{FF2B5EF4-FFF2-40B4-BE49-F238E27FC236}">
              <a16:creationId xmlns:a16="http://schemas.microsoft.com/office/drawing/2014/main" id="{D14E8E56-D85D-4EB1-AC9C-9D2C0DB36948}"/>
            </a:ext>
          </a:extLst>
        </xdr:cNvPr>
        <xdr:cNvSpPr txBox="1"/>
      </xdr:nvSpPr>
      <xdr:spPr bwMode="auto">
        <a:xfrm>
          <a:off x="1768249" y="2767424"/>
          <a:ext cx="86814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1" name="TextBox 70">
          <a:hlinkClick xmlns:r="http://schemas.openxmlformats.org/officeDocument/2006/relationships" r:id="rId8"/>
          <a:extLst>
            <a:ext uri="{FF2B5EF4-FFF2-40B4-BE49-F238E27FC236}">
              <a16:creationId xmlns:a16="http://schemas.microsoft.com/office/drawing/2014/main" id="{A07F5A41-94BA-4E44-89F4-42B22099D5C4}"/>
            </a:ext>
          </a:extLst>
        </xdr:cNvPr>
        <xdr:cNvSpPr txBox="1"/>
      </xdr:nvSpPr>
      <xdr:spPr bwMode="auto">
        <a:xfrm>
          <a:off x="3780052" y="15705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2" name="Lágrima 184">
          <a:hlinkClick xmlns:r="http://schemas.openxmlformats.org/officeDocument/2006/relationships" r:id="rId23"/>
          <a:extLst>
            <a:ext uri="{FF2B5EF4-FFF2-40B4-BE49-F238E27FC236}">
              <a16:creationId xmlns:a16="http://schemas.microsoft.com/office/drawing/2014/main" id="{168FF331-9BD3-499E-897D-D76F71D71D54}"/>
            </a:ext>
          </a:extLst>
        </xdr:cNvPr>
        <xdr:cNvSpPr/>
      </xdr:nvSpPr>
      <xdr:spPr>
        <a:xfrm rot="9157431">
          <a:off x="3978259" y="10333352"/>
          <a:ext cx="2400892" cy="2415896"/>
        </a:xfrm>
        <a:prstGeom prst="teardrop">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3" name="TextBox 70">
          <a:hlinkClick xmlns:r="http://schemas.openxmlformats.org/officeDocument/2006/relationships" r:id="rId23"/>
          <a:extLst>
            <a:ext uri="{FF2B5EF4-FFF2-40B4-BE49-F238E27FC236}">
              <a16:creationId xmlns:a16="http://schemas.microsoft.com/office/drawing/2014/main" id="{496A8BE0-0D18-4A30-9C07-60CA463EAA0A}"/>
            </a:ext>
          </a:extLst>
        </xdr:cNvPr>
        <xdr:cNvSpPr txBox="1"/>
      </xdr:nvSpPr>
      <xdr:spPr bwMode="auto">
        <a:xfrm>
          <a:off x="4818137" y="10803820"/>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4" name="Straight Connector 72">
          <a:extLst>
            <a:ext uri="{FF2B5EF4-FFF2-40B4-BE49-F238E27FC236}">
              <a16:creationId xmlns:a16="http://schemas.microsoft.com/office/drawing/2014/main" id="{5C74FA7C-672F-4960-90E6-D58F4A52CD36}"/>
            </a:ext>
          </a:extLst>
        </xdr:cNvPr>
        <xdr:cNvCxnSpPr/>
      </xdr:nvCxnSpPr>
      <xdr:spPr bwMode="auto">
        <a:xfrm>
          <a:off x="4702375" y="11439971"/>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5" name="TextBox 121">
          <a:hlinkClick xmlns:r="http://schemas.openxmlformats.org/officeDocument/2006/relationships" r:id="rId24"/>
          <a:extLst>
            <a:ext uri="{FF2B5EF4-FFF2-40B4-BE49-F238E27FC236}">
              <a16:creationId xmlns:a16="http://schemas.microsoft.com/office/drawing/2014/main" id="{693F7D10-7A07-4D20-80AD-14349F6916CC}"/>
            </a:ext>
          </a:extLst>
        </xdr:cNvPr>
        <xdr:cNvSpPr txBox="1"/>
      </xdr:nvSpPr>
      <xdr:spPr bwMode="auto">
        <a:xfrm>
          <a:off x="4167869" y="11448436"/>
          <a:ext cx="19989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110938</xdr:colOff>
      <xdr:row>4</xdr:row>
      <xdr:rowOff>100105</xdr:rowOff>
    </xdr:from>
    <xdr:to>
      <xdr:col>3</xdr:col>
      <xdr:colOff>657038</xdr:colOff>
      <xdr:row>7</xdr:row>
      <xdr:rowOff>13679</xdr:rowOff>
    </xdr:to>
    <xdr:pic>
      <xdr:nvPicPr>
        <xdr:cNvPr id="2" name="Imagen 1">
          <a:extLst>
            <a:ext uri="{FF2B5EF4-FFF2-40B4-BE49-F238E27FC236}">
              <a16:creationId xmlns:a16="http://schemas.microsoft.com/office/drawing/2014/main" id="{C94EC013-2227-41FE-A654-ED3A5DAB6D29}"/>
            </a:ext>
          </a:extLst>
        </xdr:cNvPr>
        <xdr:cNvPicPr>
          <a:picLocks noChangeAspect="1"/>
        </xdr:cNvPicPr>
      </xdr:nvPicPr>
      <xdr:blipFill>
        <a:blip xmlns:r="http://schemas.openxmlformats.org/officeDocument/2006/relationships" r:embed="rId1"/>
        <a:stretch>
          <a:fillRect/>
        </a:stretch>
      </xdr:blipFill>
      <xdr:spPr>
        <a:xfrm>
          <a:off x="110938" y="836705"/>
          <a:ext cx="2673350" cy="466024"/>
        </a:xfrm>
        <a:prstGeom prst="rect">
          <a:avLst/>
        </a:prstGeom>
      </xdr:spPr>
    </xdr:pic>
    <xdr:clientData/>
  </xdr:twoCellAnchor>
  <xdr:oneCellAnchor>
    <xdr:from>
      <xdr:col>3</xdr:col>
      <xdr:colOff>971550</xdr:colOff>
      <xdr:row>4</xdr:row>
      <xdr:rowOff>107950</xdr:rowOff>
    </xdr:from>
    <xdr:ext cx="2305050" cy="381997"/>
    <xdr:pic>
      <xdr:nvPicPr>
        <xdr:cNvPr id="3" name="Imagen 3">
          <a:extLst>
            <a:ext uri="{FF2B5EF4-FFF2-40B4-BE49-F238E27FC236}">
              <a16:creationId xmlns:a16="http://schemas.microsoft.com/office/drawing/2014/main" id="{235283E9-4F3A-4120-A7D0-9765A861765A}"/>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098800" y="844550"/>
          <a:ext cx="2305050" cy="381997"/>
        </a:xfrm>
        <a:prstGeom prst="rect">
          <a:avLst/>
        </a:prstGeom>
      </xdr:spPr>
    </xdr:pic>
    <xdr:clientData/>
  </xdr:oneCellAnchor>
  <xdr:twoCellAnchor editAs="oneCell">
    <xdr:from>
      <xdr:col>0</xdr:col>
      <xdr:colOff>0</xdr:colOff>
      <xdr:row>11</xdr:row>
      <xdr:rowOff>278202</xdr:rowOff>
    </xdr:from>
    <xdr:to>
      <xdr:col>4</xdr:col>
      <xdr:colOff>1858536</xdr:colOff>
      <xdr:row>34</xdr:row>
      <xdr:rowOff>163097</xdr:rowOff>
    </xdr:to>
    <xdr:pic>
      <xdr:nvPicPr>
        <xdr:cNvPr id="4" name="Imagen 13">
          <a:extLst>
            <a:ext uri="{FF2B5EF4-FFF2-40B4-BE49-F238E27FC236}">
              <a16:creationId xmlns:a16="http://schemas.microsoft.com/office/drawing/2014/main" id="{640340BF-397D-4F0C-8289-6934D1E20EF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829" t="2899" r="5657" b="3836"/>
        <a:stretch/>
      </xdr:blipFill>
      <xdr:spPr bwMode="auto">
        <a:xfrm>
          <a:off x="0" y="2303852"/>
          <a:ext cx="6113036" cy="535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46463</xdr:colOff>
      <xdr:row>13</xdr:row>
      <xdr:rowOff>15487</xdr:rowOff>
    </xdr:from>
    <xdr:to>
      <xdr:col>24</xdr:col>
      <xdr:colOff>1982438</xdr:colOff>
      <xdr:row>32</xdr:row>
      <xdr:rowOff>139390</xdr:rowOff>
    </xdr:to>
    <xdr:sp macro="" textlink="">
      <xdr:nvSpPr>
        <xdr:cNvPr id="5" name="TextBox 121">
          <a:extLst>
            <a:ext uri="{FF2B5EF4-FFF2-40B4-BE49-F238E27FC236}">
              <a16:creationId xmlns:a16="http://schemas.microsoft.com/office/drawing/2014/main" id="{832BEA4A-B492-4A6B-B179-60366B3B3B81}"/>
            </a:ext>
          </a:extLst>
        </xdr:cNvPr>
        <xdr:cNvSpPr txBox="1"/>
      </xdr:nvSpPr>
      <xdr:spPr>
        <a:xfrm>
          <a:off x="6428213" y="2574537"/>
          <a:ext cx="42353725" cy="4587953"/>
        </a:xfrm>
        <a:prstGeom prst="rect">
          <a:avLst/>
        </a:prstGeom>
        <a:noFill/>
        <a:ln>
          <a:solidFill>
            <a:schemeClr val="bg1"/>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4000" kern="0">
            <a:solidFill>
              <a:schemeClr val="tx1">
                <a:lumMod val="50000"/>
                <a:lumOff val="50000"/>
              </a:schemeClr>
            </a:solidFill>
            <a:latin typeface="Arial" pitchFamily="34" charset="0"/>
            <a:cs typeface="Arial" pitchFamily="34" charset="0"/>
          </a:endParaRPr>
        </a:p>
        <a:p>
          <a:pPr algn="ctr"/>
          <a:r>
            <a:rPr lang="en-US" sz="4000" kern="0">
              <a:solidFill>
                <a:schemeClr val="tx1">
                  <a:lumMod val="50000"/>
                  <a:lumOff val="50000"/>
                </a:schemeClr>
              </a:solidFill>
              <a:latin typeface="Arial" pitchFamily="34" charset="0"/>
              <a:cs typeface="Arial" pitchFamily="34" charset="0"/>
            </a:rPr>
            <a:t>Componentes </a:t>
          </a:r>
          <a:r>
            <a:rPr lang="en-US" sz="4000" kern="0" baseline="0">
              <a:solidFill>
                <a:schemeClr val="tx1">
                  <a:lumMod val="50000"/>
                  <a:lumOff val="50000"/>
                </a:schemeClr>
              </a:solidFill>
              <a:latin typeface="Arial" pitchFamily="34" charset="0"/>
              <a:cs typeface="Arial" pitchFamily="34" charset="0"/>
            </a:rPr>
            <a:t>Plan Anticorrupción y de Atención al Ciudadano</a:t>
          </a:r>
        </a:p>
        <a:p>
          <a:pPr algn="ctr"/>
          <a:endParaRPr lang="en-US" sz="4000"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1: </a:t>
          </a:r>
          <a:r>
            <a:rPr lang="en-US" sz="4000" b="0" kern="0" baseline="0">
              <a:solidFill>
                <a:schemeClr val="tx1">
                  <a:lumMod val="50000"/>
                  <a:lumOff val="50000"/>
                </a:schemeClr>
              </a:solidFill>
              <a:latin typeface="Arial" pitchFamily="34" charset="0"/>
              <a:cs typeface="Arial" pitchFamily="34" charset="0"/>
            </a:rPr>
            <a:t>El cronograma de actividades del Plan Anticorrupción y de Atención al Ciudadano se encuentra inmerso en el Plan de Acción Anual de la Entidad dando cumplimiento al Decreto 612 de 2018. Las actividades programadas del Plan Anticorrupción y de Atención al Ciudadano, contemplan los siguientes componentes.</a:t>
          </a:r>
        </a:p>
        <a:p>
          <a:pPr algn="ctr"/>
          <a:endParaRPr lang="en-US" sz="4000" b="1"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a:t>
          </a:r>
          <a:r>
            <a:rPr lang="en-US" sz="4000" kern="0" baseline="0">
              <a:solidFill>
                <a:schemeClr val="tx1">
                  <a:lumMod val="50000"/>
                  <a:lumOff val="50000"/>
                </a:schemeClr>
              </a:solidFill>
              <a:latin typeface="Arial" pitchFamily="34" charset="0"/>
              <a:cs typeface="Arial" pitchFamily="34" charset="0"/>
            </a:rPr>
            <a:t>el componente 02. Racionalización de Trámites no aplica a La Previsora.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698049DA-03EC-480D-9CF9-ADCA98A64CC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69D4EF25-BB49-4059-92EE-1B1EDC87B3F9}"/>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7331A266-48C5-4A61-88BD-98762C0B9A0B}"/>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55CE59F9-434C-49A0-8B76-983BDFB908D8}"/>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FF2E1497-3585-4632-A05E-DD3F8C3B51E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BE0AF39C-F1EB-477C-B09D-F6E3A89DCDB8}"/>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25</xdr:row>
      <xdr:rowOff>0</xdr:rowOff>
    </xdr:to>
    <xdr:sp macro="" textlink="">
      <xdr:nvSpPr>
        <xdr:cNvPr id="2" name="AutoShape 3">
          <a:extLst>
            <a:ext uri="{FF2B5EF4-FFF2-40B4-BE49-F238E27FC236}">
              <a16:creationId xmlns:a16="http://schemas.microsoft.com/office/drawing/2014/main" id="{A837A9BF-762F-4351-BD02-5DCE77BBEAF9}"/>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0F61BB44-6F1B-4A42-A940-8D08803B543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85EC3359-233F-4E18-9B3A-E8E7243CA54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13335000" cy="85344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xdr:from>
      <xdr:col>0</xdr:col>
      <xdr:colOff>0</xdr:colOff>
      <xdr:row>0</xdr:row>
      <xdr:rowOff>0</xdr:rowOff>
    </xdr:from>
    <xdr:to>
      <xdr:col>10</xdr:col>
      <xdr:colOff>0</xdr:colOff>
      <xdr:row>27</xdr:row>
      <xdr:rowOff>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editAs="oneCell">
    <xdr:from>
      <xdr:col>1</xdr:col>
      <xdr:colOff>461930</xdr:colOff>
      <xdr:row>0</xdr:row>
      <xdr:rowOff>95249</xdr:rowOff>
    </xdr:from>
    <xdr:to>
      <xdr:col>2</xdr:col>
      <xdr:colOff>1111250</xdr:colOff>
      <xdr:row>2</xdr:row>
      <xdr:rowOff>130124</xdr:rowOff>
    </xdr:to>
    <xdr:pic>
      <xdr:nvPicPr>
        <xdr:cNvPr id="2" name="Imagen 1">
          <a:extLst>
            <a:ext uri="{FF2B5EF4-FFF2-40B4-BE49-F238E27FC236}">
              <a16:creationId xmlns:a16="http://schemas.microsoft.com/office/drawing/2014/main" id="{3579DEE5-08D2-4302-9419-81229C70B468}"/>
            </a:ext>
          </a:extLst>
        </xdr:cNvPr>
        <xdr:cNvPicPr>
          <a:picLocks noChangeAspect="1"/>
        </xdr:cNvPicPr>
      </xdr:nvPicPr>
      <xdr:blipFill>
        <a:blip xmlns:r="http://schemas.openxmlformats.org/officeDocument/2006/relationships" r:embed="rId1"/>
        <a:stretch>
          <a:fillRect/>
        </a:stretch>
      </xdr:blipFill>
      <xdr:spPr>
        <a:xfrm>
          <a:off x="959347" y="95249"/>
          <a:ext cx="2638986"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B4BB676-2D0A-4A5D-8C24-5DC2CB14CEA4}"/>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1115" y="656167"/>
          <a:ext cx="2501385" cy="4145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27</xdr:row>
      <xdr:rowOff>0</xdr:rowOff>
    </xdr:to>
    <xdr:sp macro="" textlink="">
      <xdr:nvSpPr>
        <xdr:cNvPr id="2" name="AutoShape 3">
          <a:extLst>
            <a:ext uri="{FF2B5EF4-FFF2-40B4-BE49-F238E27FC236}">
              <a16:creationId xmlns:a16="http://schemas.microsoft.com/office/drawing/2014/main" id="{485E5049-E793-44AA-B5CC-6231FDE1AA5F}"/>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A0E2C2C9-BB3D-4A24-A111-103773E0115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2A11E275-C615-4B82-8B44-89D6BED67182}"/>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B361CF51-2F98-4C6A-8E6B-DDD33894B4AC}"/>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50C65D93-6816-4B5D-83B8-56FAB9126708}"/>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43D25698-8C75-45A8-B2A8-D6DD78C344A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xdr:row>
      <xdr:rowOff>88900</xdr:rowOff>
    </xdr:from>
    <xdr:to>
      <xdr:col>1</xdr:col>
      <xdr:colOff>717550</xdr:colOff>
      <xdr:row>4</xdr:row>
      <xdr:rowOff>5088</xdr:rowOff>
    </xdr:to>
    <xdr:pic>
      <xdr:nvPicPr>
        <xdr:cNvPr id="2" name="Imagen 1">
          <a:extLst>
            <a:ext uri="{FF2B5EF4-FFF2-40B4-BE49-F238E27FC236}">
              <a16:creationId xmlns:a16="http://schemas.microsoft.com/office/drawing/2014/main" id="{0C571183-ED99-494D-968E-F6C2EF61CAC1}"/>
            </a:ext>
          </a:extLst>
        </xdr:cNvPr>
        <xdr:cNvPicPr>
          <a:picLocks noChangeAspect="1"/>
        </xdr:cNvPicPr>
      </xdr:nvPicPr>
      <xdr:blipFill>
        <a:blip xmlns:r="http://schemas.openxmlformats.org/officeDocument/2006/relationships" r:embed="rId1"/>
        <a:stretch>
          <a:fillRect/>
        </a:stretch>
      </xdr:blipFill>
      <xdr:spPr>
        <a:xfrm>
          <a:off x="171450" y="273050"/>
          <a:ext cx="2673350" cy="468638"/>
        </a:xfrm>
        <a:prstGeom prst="rect">
          <a:avLst/>
        </a:prstGeom>
      </xdr:spPr>
    </xdr:pic>
    <xdr:clientData/>
  </xdr:twoCellAnchor>
  <xdr:oneCellAnchor>
    <xdr:from>
      <xdr:col>1</xdr:col>
      <xdr:colOff>977900</xdr:colOff>
      <xdr:row>1</xdr:row>
      <xdr:rowOff>95250</xdr:rowOff>
    </xdr:from>
    <xdr:ext cx="2305050" cy="381997"/>
    <xdr:pic>
      <xdr:nvPicPr>
        <xdr:cNvPr id="3" name="Imagen 2">
          <a:extLst>
            <a:ext uri="{FF2B5EF4-FFF2-40B4-BE49-F238E27FC236}">
              <a16:creationId xmlns:a16="http://schemas.microsoft.com/office/drawing/2014/main" id="{C2F32899-20B0-48FC-BDCE-9F9B42E87943}"/>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3105150" y="279400"/>
          <a:ext cx="2305050" cy="38199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EB11344B-1DB4-4362-812C-F568274E7C6B}"/>
            </a:ext>
          </a:extLst>
        </xdr:cNvPr>
        <xdr:cNvSpPr>
          <a:spLocks noChangeArrowheads="1"/>
        </xdr:cNvSpPr>
      </xdr:nvSpPr>
      <xdr:spPr bwMode="auto">
        <a:xfrm>
          <a:off x="501650" y="0"/>
          <a:ext cx="26720800" cy="93218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9F44B349-B899-46CF-8738-1F230280278A}"/>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A78457BD-4156-4643-8AA6-4BDB73DF1BFC}"/>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E8B8A438-2D22-4D94-B96A-AC78FC00D1C6}"/>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E593CF33-62FA-4560-9F68-DBC1B37EC3B4}"/>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91EF97E8-A5C0-4198-A8B1-ABC4293BC66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0</xdr:row>
      <xdr:rowOff>44450</xdr:rowOff>
    </xdr:from>
    <xdr:to>
      <xdr:col>1</xdr:col>
      <xdr:colOff>615950</xdr:colOff>
      <xdr:row>2</xdr:row>
      <xdr:rowOff>144788</xdr:rowOff>
    </xdr:to>
    <xdr:pic>
      <xdr:nvPicPr>
        <xdr:cNvPr id="2" name="Imagen 1">
          <a:extLst>
            <a:ext uri="{FF2B5EF4-FFF2-40B4-BE49-F238E27FC236}">
              <a16:creationId xmlns:a16="http://schemas.microsoft.com/office/drawing/2014/main" id="{14989C25-AF29-417E-87B6-5F444B177683}"/>
            </a:ext>
          </a:extLst>
        </xdr:cNvPr>
        <xdr:cNvPicPr>
          <a:picLocks noChangeAspect="1"/>
        </xdr:cNvPicPr>
      </xdr:nvPicPr>
      <xdr:blipFill>
        <a:blip xmlns:r="http://schemas.openxmlformats.org/officeDocument/2006/relationships" r:embed="rId1"/>
        <a:stretch>
          <a:fillRect/>
        </a:stretch>
      </xdr:blipFill>
      <xdr:spPr>
        <a:xfrm>
          <a:off x="69850" y="44450"/>
          <a:ext cx="2673350" cy="468638"/>
        </a:xfrm>
        <a:prstGeom prst="rect">
          <a:avLst/>
        </a:prstGeom>
      </xdr:spPr>
    </xdr:pic>
    <xdr:clientData/>
  </xdr:twoCellAnchor>
  <xdr:oneCellAnchor>
    <xdr:from>
      <xdr:col>1</xdr:col>
      <xdr:colOff>742950</xdr:colOff>
      <xdr:row>0</xdr:row>
      <xdr:rowOff>69850</xdr:rowOff>
    </xdr:from>
    <xdr:ext cx="2305050" cy="381997"/>
    <xdr:pic>
      <xdr:nvPicPr>
        <xdr:cNvPr id="3" name="Imagen 3">
          <a:extLst>
            <a:ext uri="{FF2B5EF4-FFF2-40B4-BE49-F238E27FC236}">
              <a16:creationId xmlns:a16="http://schemas.microsoft.com/office/drawing/2014/main" id="{0E026DAA-6DF3-4BBC-896F-7604DE62C14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2870200" y="69850"/>
          <a:ext cx="2305050" cy="381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3B2EF293-EE50-4D1E-BF2E-38FF68005C4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1</xdr:col>
      <xdr:colOff>461930</xdr:colOff>
      <xdr:row>0</xdr:row>
      <xdr:rowOff>95249</xdr:rowOff>
    </xdr:from>
    <xdr:to>
      <xdr:col>2</xdr:col>
      <xdr:colOff>1111250</xdr:colOff>
      <xdr:row>2</xdr:row>
      <xdr:rowOff>130124</xdr:rowOff>
    </xdr:to>
    <xdr:pic>
      <xdr:nvPicPr>
        <xdr:cNvPr id="3" name="Imagen 2">
          <a:extLst>
            <a:ext uri="{FF2B5EF4-FFF2-40B4-BE49-F238E27FC236}">
              <a16:creationId xmlns:a16="http://schemas.microsoft.com/office/drawing/2014/main" id="{EF24FD28-B452-4725-BCC3-4805BAA7BDA1}"/>
            </a:ext>
          </a:extLst>
        </xdr:cNvPr>
        <xdr:cNvPicPr>
          <a:picLocks noChangeAspect="1"/>
        </xdr:cNvPicPr>
      </xdr:nvPicPr>
      <xdr:blipFill>
        <a:blip xmlns:r="http://schemas.openxmlformats.org/officeDocument/2006/relationships" r:embed="rId1"/>
        <a:stretch>
          <a:fillRect/>
        </a:stretch>
      </xdr:blipFill>
      <xdr:spPr>
        <a:xfrm>
          <a:off x="963580" y="95249"/>
          <a:ext cx="2643220" cy="479375"/>
        </a:xfrm>
        <a:prstGeom prst="rect">
          <a:avLst/>
        </a:prstGeom>
      </xdr:spPr>
    </xdr:pic>
    <xdr:clientData/>
  </xdr:twoCellAnchor>
  <xdr:oneCellAnchor>
    <xdr:from>
      <xdr:col>1</xdr:col>
      <xdr:colOff>493698</xdr:colOff>
      <xdr:row>2</xdr:row>
      <xdr:rowOff>211667</xdr:rowOff>
    </xdr:from>
    <xdr:ext cx="2501385" cy="414534"/>
    <xdr:pic>
      <xdr:nvPicPr>
        <xdr:cNvPr id="4" name="Imagen 3">
          <a:extLst>
            <a:ext uri="{FF2B5EF4-FFF2-40B4-BE49-F238E27FC236}">
              <a16:creationId xmlns:a16="http://schemas.microsoft.com/office/drawing/2014/main" id="{CD61C7D4-60B6-47A6-9427-5CB875EC15EE}"/>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95348" y="656167"/>
          <a:ext cx="2501385" cy="41453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0FA3-811A-4695-89CC-312731AE2202}">
  <dimension ref="A1:XFC79"/>
  <sheetViews>
    <sheetView showGridLines="0" tabSelected="1" zoomScale="30" zoomScaleNormal="30" zoomScaleSheetLayoutView="40" workbookViewId="0">
      <selection activeCell="B79" sqref="B79:F79"/>
    </sheetView>
  </sheetViews>
  <sheetFormatPr defaultColWidth="0" defaultRowHeight="14.45"/>
  <cols>
    <col min="1" max="16" width="11.42578125" style="89" customWidth="1"/>
    <col min="17" max="4945" width="0" style="89" hidden="1" customWidth="1"/>
    <col min="4946" max="15759" width="11.42578125" style="89" hidden="1"/>
    <col min="15760" max="16382" width="0" style="89" hidden="1"/>
    <col min="16383" max="16383" width="12.42578125" style="89" hidden="1"/>
    <col min="16384" max="16384" width="7.5703125" style="89" hidden="1"/>
  </cols>
  <sheetData>
    <row r="1" ht="4.5" customHeight="1"/>
    <row r="18" spans="8:8" ht="21">
      <c r="H18" s="198"/>
    </row>
    <row r="41" spans="1:11">
      <c r="A41" s="199"/>
      <c r="B41" s="199"/>
      <c r="C41" s="199"/>
      <c r="D41" s="199"/>
      <c r="E41" s="199"/>
      <c r="F41" s="199"/>
      <c r="G41" s="199"/>
      <c r="H41" s="199"/>
      <c r="I41" s="199"/>
      <c r="J41" s="199"/>
      <c r="K41" s="199"/>
    </row>
    <row r="42" spans="1:11">
      <c r="A42" s="199"/>
      <c r="B42" s="199"/>
      <c r="C42" s="199"/>
      <c r="D42" s="199"/>
      <c r="E42" s="199"/>
      <c r="F42" s="199"/>
      <c r="G42" s="199"/>
      <c r="H42" s="199"/>
      <c r="I42" s="199"/>
      <c r="J42" s="199"/>
      <c r="K42" s="199"/>
    </row>
    <row r="57" hidden="1"/>
    <row r="75" spans="1:16" ht="26.1">
      <c r="A75" s="205" t="s">
        <v>0</v>
      </c>
      <c r="B75" s="205"/>
      <c r="C75" s="205"/>
      <c r="D75" s="205"/>
      <c r="E75" s="205"/>
      <c r="F75" s="205"/>
      <c r="G75" s="205"/>
      <c r="H75" s="205"/>
      <c r="I75" s="205"/>
      <c r="J75" s="205"/>
      <c r="K75" s="205"/>
      <c r="L75" s="205"/>
      <c r="M75" s="205"/>
      <c r="N75" s="205"/>
      <c r="O75" s="205"/>
      <c r="P75" s="205"/>
    </row>
    <row r="76" spans="1:16" ht="14.85" customHeight="1">
      <c r="A76" s="206" t="s">
        <v>1</v>
      </c>
      <c r="B76" s="207"/>
      <c r="C76" s="207"/>
      <c r="D76" s="207"/>
      <c r="E76" s="207"/>
      <c r="F76" s="207"/>
      <c r="G76" s="207"/>
      <c r="H76" s="207"/>
      <c r="I76" s="207"/>
      <c r="J76" s="207"/>
      <c r="K76" s="207"/>
      <c r="L76" s="207"/>
      <c r="M76" s="207"/>
      <c r="N76" s="207"/>
      <c r="O76" s="207"/>
      <c r="P76" s="208"/>
    </row>
    <row r="77" spans="1:16" ht="15" customHeight="1">
      <c r="A77" s="209"/>
      <c r="B77" s="210"/>
      <c r="C77" s="210"/>
      <c r="D77" s="210"/>
      <c r="E77" s="210"/>
      <c r="F77" s="210"/>
      <c r="G77" s="210"/>
      <c r="H77" s="210"/>
      <c r="I77" s="210"/>
      <c r="J77" s="210"/>
      <c r="K77" s="210"/>
      <c r="L77" s="210"/>
      <c r="M77" s="210"/>
      <c r="N77" s="210"/>
      <c r="O77" s="210"/>
      <c r="P77" s="211"/>
    </row>
    <row r="78" spans="1:16" ht="44.1" customHeight="1">
      <c r="A78" s="200" t="s">
        <v>2</v>
      </c>
      <c r="B78" s="212" t="s">
        <v>3</v>
      </c>
      <c r="C78" s="213"/>
      <c r="D78" s="213"/>
      <c r="E78" s="213"/>
      <c r="F78" s="214"/>
      <c r="G78" s="212" t="s">
        <v>4</v>
      </c>
      <c r="H78" s="213"/>
      <c r="I78" s="213"/>
      <c r="J78" s="213"/>
      <c r="K78" s="213"/>
      <c r="L78" s="213"/>
      <c r="M78" s="213"/>
      <c r="N78" s="213"/>
      <c r="O78" s="213"/>
      <c r="P78" s="214"/>
    </row>
    <row r="79" spans="1:16" ht="43.35" customHeight="1">
      <c r="A79" s="201">
        <v>1</v>
      </c>
      <c r="B79" s="215">
        <v>44957</v>
      </c>
      <c r="C79" s="216"/>
      <c r="D79" s="216"/>
      <c r="E79" s="216"/>
      <c r="F79" s="217"/>
      <c r="G79" s="218" t="s">
        <v>5</v>
      </c>
      <c r="H79" s="219"/>
      <c r="I79" s="219"/>
      <c r="J79" s="219"/>
      <c r="K79" s="219"/>
      <c r="L79" s="219"/>
      <c r="M79" s="219"/>
      <c r="N79" s="219"/>
      <c r="O79" s="219"/>
      <c r="P79" s="220"/>
    </row>
  </sheetData>
  <sheetProtection autoFilter="0"/>
  <mergeCells count="6">
    <mergeCell ref="A75:P75"/>
    <mergeCell ref="A76:P77"/>
    <mergeCell ref="B78:F78"/>
    <mergeCell ref="G78:P78"/>
    <mergeCell ref="B79:F79"/>
    <mergeCell ref="G79:P79"/>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9476-1993-4393-BAC7-AF45F5018B0D}">
  <dimension ref="A1:AI113"/>
  <sheetViews>
    <sheetView topLeftCell="C1" zoomScale="50" zoomScaleNormal="50" workbookViewId="0">
      <selection activeCell="F1" sqref="F1:Y9"/>
    </sheetView>
  </sheetViews>
  <sheetFormatPr defaultColWidth="11.42578125" defaultRowHeight="14.45"/>
  <cols>
    <col min="1" max="1" width="14.7109375" style="89" hidden="1" customWidth="1"/>
    <col min="2" max="2" width="30.42578125" style="89" hidden="1" customWidth="1"/>
    <col min="3" max="25" width="30.42578125" style="89" customWidth="1"/>
    <col min="26" max="16384" width="11.42578125" style="89"/>
  </cols>
  <sheetData>
    <row r="1" spans="1:35" ht="14.45" customHeight="1">
      <c r="A1" s="92"/>
      <c r="B1" s="93"/>
      <c r="C1" s="642"/>
      <c r="D1" s="642"/>
      <c r="E1" s="642"/>
      <c r="F1" s="346" t="s">
        <v>1059</v>
      </c>
      <c r="G1" s="347"/>
      <c r="H1" s="347"/>
      <c r="I1" s="347"/>
      <c r="J1" s="347"/>
      <c r="K1" s="347"/>
      <c r="L1" s="347"/>
      <c r="M1" s="347"/>
      <c r="N1" s="347"/>
      <c r="O1" s="347"/>
      <c r="P1" s="347"/>
      <c r="Q1" s="347"/>
      <c r="R1" s="347"/>
      <c r="S1" s="347"/>
      <c r="T1" s="347"/>
      <c r="U1" s="347"/>
      <c r="V1" s="347"/>
      <c r="W1" s="347"/>
      <c r="X1" s="347"/>
      <c r="Y1" s="348"/>
      <c r="Z1" s="668"/>
      <c r="AA1" s="669"/>
      <c r="AB1" s="94"/>
      <c r="AC1" s="94"/>
      <c r="AD1" s="94"/>
      <c r="AE1" s="94"/>
      <c r="AF1" s="94"/>
      <c r="AG1" s="94"/>
      <c r="AH1" s="94"/>
      <c r="AI1" s="94"/>
    </row>
    <row r="2" spans="1:35" ht="14.45" customHeight="1">
      <c r="A2" s="95"/>
      <c r="B2" s="94"/>
      <c r="C2" s="643"/>
      <c r="D2" s="643"/>
      <c r="E2" s="643"/>
      <c r="F2" s="349"/>
      <c r="G2" s="350"/>
      <c r="H2" s="350"/>
      <c r="I2" s="350"/>
      <c r="J2" s="350"/>
      <c r="K2" s="350"/>
      <c r="L2" s="350"/>
      <c r="M2" s="350"/>
      <c r="N2" s="350"/>
      <c r="O2" s="350"/>
      <c r="P2" s="350"/>
      <c r="Q2" s="350"/>
      <c r="R2" s="350"/>
      <c r="S2" s="350"/>
      <c r="T2" s="350"/>
      <c r="U2" s="350"/>
      <c r="V2" s="350"/>
      <c r="W2" s="350"/>
      <c r="X2" s="350"/>
      <c r="Y2" s="351"/>
      <c r="Z2" s="96"/>
      <c r="AA2" s="96"/>
      <c r="AB2" s="96"/>
      <c r="AC2" s="94"/>
      <c r="AD2" s="94"/>
      <c r="AE2" s="94"/>
      <c r="AF2" s="94"/>
      <c r="AG2" s="94"/>
      <c r="AH2" s="94"/>
      <c r="AI2" s="94"/>
    </row>
    <row r="3" spans="1:35" ht="14.45" customHeight="1">
      <c r="A3" s="95"/>
      <c r="B3" s="94"/>
      <c r="C3" s="643"/>
      <c r="D3" s="643"/>
      <c r="E3" s="643"/>
      <c r="F3" s="349"/>
      <c r="G3" s="350"/>
      <c r="H3" s="350"/>
      <c r="I3" s="350"/>
      <c r="J3" s="350"/>
      <c r="K3" s="350"/>
      <c r="L3" s="350"/>
      <c r="M3" s="350"/>
      <c r="N3" s="350"/>
      <c r="O3" s="350"/>
      <c r="P3" s="350"/>
      <c r="Q3" s="350"/>
      <c r="R3" s="350"/>
      <c r="S3" s="350"/>
      <c r="T3" s="350"/>
      <c r="U3" s="350"/>
      <c r="V3" s="350"/>
      <c r="W3" s="350"/>
      <c r="X3" s="350"/>
      <c r="Y3" s="351"/>
      <c r="Z3" s="96"/>
      <c r="AA3" s="96"/>
      <c r="AB3" s="96"/>
      <c r="AC3" s="94"/>
      <c r="AD3" s="94"/>
      <c r="AE3" s="94"/>
      <c r="AF3" s="94"/>
      <c r="AG3" s="94"/>
      <c r="AH3" s="94"/>
      <c r="AI3" s="94"/>
    </row>
    <row r="4" spans="1:35" ht="14.45" customHeight="1">
      <c r="A4" s="95"/>
      <c r="B4" s="94"/>
      <c r="C4" s="643"/>
      <c r="D4" s="643"/>
      <c r="E4" s="643"/>
      <c r="F4" s="349"/>
      <c r="G4" s="350"/>
      <c r="H4" s="350"/>
      <c r="I4" s="350"/>
      <c r="J4" s="350"/>
      <c r="K4" s="350"/>
      <c r="L4" s="350"/>
      <c r="M4" s="350"/>
      <c r="N4" s="350"/>
      <c r="O4" s="350"/>
      <c r="P4" s="350"/>
      <c r="Q4" s="350"/>
      <c r="R4" s="350"/>
      <c r="S4" s="350"/>
      <c r="T4" s="350"/>
      <c r="U4" s="350"/>
      <c r="V4" s="350"/>
      <c r="W4" s="350"/>
      <c r="X4" s="350"/>
      <c r="Y4" s="351"/>
      <c r="Z4" s="96"/>
      <c r="AA4" s="96"/>
      <c r="AB4" s="96"/>
      <c r="AC4" s="94"/>
      <c r="AD4" s="94"/>
      <c r="AE4" s="94"/>
      <c r="AF4" s="94"/>
      <c r="AG4" s="94"/>
      <c r="AH4" s="94"/>
      <c r="AI4" s="94"/>
    </row>
    <row r="5" spans="1:35" ht="14.45" customHeight="1">
      <c r="A5" s="95"/>
      <c r="B5" s="94"/>
      <c r="C5" s="643"/>
      <c r="D5" s="643"/>
      <c r="E5" s="643"/>
      <c r="F5" s="349"/>
      <c r="G5" s="350"/>
      <c r="H5" s="350"/>
      <c r="I5" s="350"/>
      <c r="J5" s="350"/>
      <c r="K5" s="350"/>
      <c r="L5" s="350"/>
      <c r="M5" s="350"/>
      <c r="N5" s="350"/>
      <c r="O5" s="350"/>
      <c r="P5" s="350"/>
      <c r="Q5" s="350"/>
      <c r="R5" s="350"/>
      <c r="S5" s="350"/>
      <c r="T5" s="350"/>
      <c r="U5" s="350"/>
      <c r="V5" s="350"/>
      <c r="W5" s="350"/>
      <c r="X5" s="350"/>
      <c r="Y5" s="351"/>
      <c r="Z5" s="96"/>
      <c r="AA5" s="96"/>
      <c r="AB5" s="96"/>
      <c r="AC5" s="94"/>
      <c r="AD5" s="94"/>
      <c r="AE5" s="94"/>
      <c r="AF5" s="94"/>
      <c r="AG5" s="94"/>
      <c r="AH5" s="94"/>
      <c r="AI5" s="94"/>
    </row>
    <row r="6" spans="1:35" ht="14.45" customHeight="1">
      <c r="A6" s="95"/>
      <c r="B6" s="94"/>
      <c r="C6" s="643"/>
      <c r="D6" s="643"/>
      <c r="E6" s="643"/>
      <c r="F6" s="349"/>
      <c r="G6" s="350"/>
      <c r="H6" s="350"/>
      <c r="I6" s="350"/>
      <c r="J6" s="350"/>
      <c r="K6" s="350"/>
      <c r="L6" s="350"/>
      <c r="M6" s="350"/>
      <c r="N6" s="350"/>
      <c r="O6" s="350"/>
      <c r="P6" s="350"/>
      <c r="Q6" s="350"/>
      <c r="R6" s="350"/>
      <c r="S6" s="350"/>
      <c r="T6" s="350"/>
      <c r="U6" s="350"/>
      <c r="V6" s="350"/>
      <c r="W6" s="350"/>
      <c r="X6" s="350"/>
      <c r="Y6" s="351"/>
      <c r="Z6" s="96"/>
      <c r="AA6" s="96"/>
      <c r="AB6" s="96"/>
      <c r="AC6" s="94"/>
      <c r="AD6" s="94"/>
      <c r="AE6" s="94"/>
      <c r="AF6" s="94"/>
      <c r="AG6" s="94"/>
      <c r="AH6" s="94"/>
      <c r="AI6" s="94"/>
    </row>
    <row r="7" spans="1:35" ht="14.45" customHeight="1">
      <c r="A7" s="95"/>
      <c r="B7" s="94"/>
      <c r="C7" s="643"/>
      <c r="D7" s="643"/>
      <c r="E7" s="643"/>
      <c r="F7" s="349"/>
      <c r="G7" s="350"/>
      <c r="H7" s="350"/>
      <c r="I7" s="350"/>
      <c r="J7" s="350"/>
      <c r="K7" s="350"/>
      <c r="L7" s="350"/>
      <c r="M7" s="350"/>
      <c r="N7" s="350"/>
      <c r="O7" s="350"/>
      <c r="P7" s="350"/>
      <c r="Q7" s="350"/>
      <c r="R7" s="350"/>
      <c r="S7" s="350"/>
      <c r="T7" s="350"/>
      <c r="U7" s="350"/>
      <c r="V7" s="350"/>
      <c r="W7" s="350"/>
      <c r="X7" s="350"/>
      <c r="Y7" s="351"/>
      <c r="Z7" s="96"/>
      <c r="AA7" s="96"/>
      <c r="AB7" s="96"/>
      <c r="AC7" s="94"/>
      <c r="AD7" s="94"/>
      <c r="AE7" s="94"/>
      <c r="AF7" s="94"/>
      <c r="AG7" s="94"/>
      <c r="AH7" s="94"/>
      <c r="AI7" s="94"/>
    </row>
    <row r="8" spans="1:35" ht="14.45" customHeight="1">
      <c r="A8" s="95"/>
      <c r="B8" s="94"/>
      <c r="C8" s="643"/>
      <c r="D8" s="643"/>
      <c r="E8" s="643"/>
      <c r="F8" s="349"/>
      <c r="G8" s="350"/>
      <c r="H8" s="350"/>
      <c r="I8" s="350"/>
      <c r="J8" s="350"/>
      <c r="K8" s="350"/>
      <c r="L8" s="350"/>
      <c r="M8" s="350"/>
      <c r="N8" s="350"/>
      <c r="O8" s="350"/>
      <c r="P8" s="350"/>
      <c r="Q8" s="350"/>
      <c r="R8" s="350"/>
      <c r="S8" s="350"/>
      <c r="T8" s="350"/>
      <c r="U8" s="350"/>
      <c r="V8" s="350"/>
      <c r="W8" s="350"/>
      <c r="X8" s="350"/>
      <c r="Y8" s="351"/>
      <c r="Z8" s="96"/>
      <c r="AA8" s="96"/>
      <c r="AB8" s="96"/>
      <c r="AC8" s="94"/>
      <c r="AD8" s="94"/>
      <c r="AE8" s="94"/>
      <c r="AF8" s="94"/>
      <c r="AG8" s="94"/>
      <c r="AH8" s="94"/>
      <c r="AI8" s="94"/>
    </row>
    <row r="9" spans="1:35" ht="14.45" customHeight="1">
      <c r="A9" s="95"/>
      <c r="B9" s="94"/>
      <c r="C9" s="643"/>
      <c r="D9" s="643"/>
      <c r="E9" s="643"/>
      <c r="F9" s="417"/>
      <c r="G9" s="418"/>
      <c r="H9" s="418"/>
      <c r="I9" s="418"/>
      <c r="J9" s="418"/>
      <c r="K9" s="418"/>
      <c r="L9" s="418"/>
      <c r="M9" s="418"/>
      <c r="N9" s="418"/>
      <c r="O9" s="418"/>
      <c r="P9" s="418"/>
      <c r="Q9" s="418"/>
      <c r="R9" s="418"/>
      <c r="S9" s="418"/>
      <c r="T9" s="418"/>
      <c r="U9" s="418"/>
      <c r="V9" s="418"/>
      <c r="W9" s="418"/>
      <c r="X9" s="418"/>
      <c r="Y9" s="419"/>
      <c r="Z9" s="96"/>
      <c r="AA9" s="96"/>
      <c r="AB9" s="96"/>
      <c r="AC9" s="94"/>
      <c r="AD9" s="94"/>
      <c r="AE9" s="94"/>
      <c r="AF9" s="94"/>
      <c r="AG9" s="94"/>
      <c r="AH9" s="94"/>
      <c r="AI9" s="94"/>
    </row>
    <row r="10" spans="1:35" ht="14.45" customHeight="1">
      <c r="A10" s="95"/>
      <c r="B10" s="94"/>
      <c r="C10" s="643"/>
      <c r="D10" s="643"/>
      <c r="E10" s="643"/>
      <c r="F10" s="289" t="s">
        <v>11</v>
      </c>
      <c r="G10" s="289"/>
      <c r="H10" s="420" t="s">
        <v>12</v>
      </c>
      <c r="I10" s="421"/>
      <c r="J10" s="422"/>
      <c r="K10" s="414"/>
      <c r="L10" s="415"/>
      <c r="M10" s="415"/>
      <c r="N10" s="415"/>
      <c r="O10" s="415"/>
      <c r="P10" s="415"/>
      <c r="Q10" s="415"/>
      <c r="R10" s="415"/>
      <c r="S10" s="415"/>
      <c r="T10" s="415"/>
      <c r="U10" s="415"/>
      <c r="V10" s="415"/>
      <c r="W10" s="415"/>
      <c r="X10" s="415"/>
      <c r="Y10" s="416"/>
      <c r="Z10" s="96"/>
      <c r="AA10" s="96"/>
      <c r="AB10" s="96"/>
      <c r="AC10" s="94"/>
      <c r="AD10" s="94"/>
      <c r="AE10" s="94"/>
      <c r="AF10" s="94"/>
      <c r="AG10" s="94"/>
      <c r="AH10" s="94"/>
      <c r="AI10" s="94"/>
    </row>
    <row r="11" spans="1:35" ht="14.45" customHeight="1">
      <c r="A11" s="97"/>
      <c r="B11" s="98"/>
      <c r="C11" s="644"/>
      <c r="D11" s="644"/>
      <c r="E11" s="644"/>
      <c r="F11" s="289"/>
      <c r="G11" s="289"/>
      <c r="H11" s="423"/>
      <c r="I11" s="424"/>
      <c r="J11" s="425"/>
      <c r="K11" s="355"/>
      <c r="L11" s="356"/>
      <c r="M11" s="356"/>
      <c r="N11" s="356"/>
      <c r="O11" s="356"/>
      <c r="P11" s="356"/>
      <c r="Q11" s="356"/>
      <c r="R11" s="356"/>
      <c r="S11" s="356"/>
      <c r="T11" s="356"/>
      <c r="U11" s="356"/>
      <c r="V11" s="356"/>
      <c r="W11" s="356"/>
      <c r="X11" s="356"/>
      <c r="Y11" s="357"/>
      <c r="Z11" s="99"/>
      <c r="AA11" s="94"/>
      <c r="AB11" s="94"/>
      <c r="AC11" s="94"/>
      <c r="AD11" s="94"/>
      <c r="AE11" s="94"/>
      <c r="AF11" s="94"/>
      <c r="AG11" s="94"/>
      <c r="AH11" s="94"/>
      <c r="AI11" s="94"/>
    </row>
    <row r="12" spans="1:35" ht="23.45" customHeight="1">
      <c r="A12" s="100"/>
      <c r="B12" s="100"/>
      <c r="C12" s="645"/>
      <c r="D12" s="645"/>
      <c r="E12" s="645"/>
      <c r="F12" s="645"/>
      <c r="G12" s="645"/>
      <c r="H12" s="645"/>
      <c r="I12" s="645"/>
      <c r="J12" s="645"/>
      <c r="K12" s="645"/>
      <c r="L12" s="645"/>
      <c r="M12" s="645"/>
      <c r="N12" s="645"/>
      <c r="O12" s="645"/>
      <c r="P12" s="645"/>
      <c r="Q12" s="645"/>
      <c r="R12" s="645"/>
      <c r="S12" s="645"/>
      <c r="T12" s="645"/>
      <c r="U12" s="645"/>
      <c r="V12" s="645"/>
      <c r="W12" s="645"/>
      <c r="X12" s="645"/>
      <c r="Y12" s="645"/>
      <c r="Z12" s="669"/>
      <c r="AA12" s="669"/>
      <c r="AB12" s="94"/>
      <c r="AC12" s="94"/>
      <c r="AD12" s="94"/>
      <c r="AE12" s="94"/>
      <c r="AF12" s="94"/>
      <c r="AG12" s="94"/>
      <c r="AH12" s="94"/>
      <c r="AI12" s="94"/>
    </row>
    <row r="13" spans="1:35" ht="18.600000000000001" customHeight="1">
      <c r="A13" s="101"/>
      <c r="B13" s="101"/>
      <c r="C13" s="645"/>
      <c r="D13" s="645"/>
      <c r="E13" s="645"/>
      <c r="F13" s="645"/>
      <c r="G13" s="645"/>
      <c r="H13" s="645"/>
      <c r="I13" s="645"/>
      <c r="J13" s="645"/>
      <c r="K13" s="645"/>
      <c r="L13" s="645"/>
      <c r="M13" s="645"/>
      <c r="N13" s="645"/>
      <c r="O13" s="645"/>
      <c r="P13" s="645"/>
      <c r="Q13" s="645"/>
      <c r="R13" s="645"/>
      <c r="S13" s="645"/>
      <c r="T13" s="645"/>
      <c r="U13" s="645"/>
      <c r="V13" s="645"/>
      <c r="W13" s="645"/>
      <c r="X13" s="645"/>
      <c r="Y13" s="645"/>
      <c r="Z13" s="669"/>
      <c r="AA13" s="669"/>
      <c r="AB13" s="94"/>
      <c r="AC13" s="94"/>
      <c r="AD13" s="94"/>
      <c r="AE13" s="94"/>
      <c r="AF13" s="94"/>
      <c r="AG13" s="94"/>
      <c r="AH13" s="94"/>
      <c r="AI13" s="94"/>
    </row>
    <row r="14" spans="1:35" ht="18.600000000000001" customHeight="1">
      <c r="A14" s="101"/>
      <c r="B14" s="101"/>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69"/>
      <c r="AA14" s="669"/>
      <c r="AB14" s="94"/>
      <c r="AC14" s="94"/>
      <c r="AD14" s="94"/>
      <c r="AE14" s="94"/>
      <c r="AF14" s="94"/>
      <c r="AG14" s="94"/>
      <c r="AH14" s="94"/>
      <c r="AI14" s="94"/>
    </row>
    <row r="15" spans="1:35" ht="18.600000000000001" customHeight="1">
      <c r="A15" s="101"/>
      <c r="B15" s="101"/>
      <c r="C15" s="645"/>
      <c r="D15" s="645"/>
      <c r="E15" s="645"/>
      <c r="F15" s="645"/>
      <c r="G15" s="645"/>
      <c r="H15" s="645"/>
      <c r="I15" s="645"/>
      <c r="J15" s="645"/>
      <c r="K15" s="645"/>
      <c r="L15" s="645"/>
      <c r="M15" s="645"/>
      <c r="N15" s="645"/>
      <c r="O15" s="645"/>
      <c r="P15" s="645"/>
      <c r="Q15" s="645"/>
      <c r="R15" s="645"/>
      <c r="S15" s="645"/>
      <c r="T15" s="645"/>
      <c r="U15" s="645"/>
      <c r="V15" s="645"/>
      <c r="W15" s="645"/>
      <c r="X15" s="645"/>
      <c r="Y15" s="645"/>
      <c r="Z15" s="669"/>
      <c r="AA15" s="669"/>
      <c r="AB15" s="94"/>
      <c r="AC15" s="94"/>
      <c r="AD15" s="94"/>
      <c r="AE15" s="94"/>
      <c r="AF15" s="94"/>
      <c r="AG15" s="94"/>
      <c r="AH15" s="94"/>
      <c r="AI15" s="94"/>
    </row>
    <row r="16" spans="1:35" ht="18.600000000000001" customHeight="1">
      <c r="A16" s="101"/>
      <c r="B16" s="101"/>
      <c r="C16" s="645"/>
      <c r="D16" s="645"/>
      <c r="E16" s="645"/>
      <c r="F16" s="645"/>
      <c r="G16" s="645"/>
      <c r="H16" s="645"/>
      <c r="I16" s="645"/>
      <c r="J16" s="645"/>
      <c r="K16" s="645"/>
      <c r="L16" s="645"/>
      <c r="M16" s="645"/>
      <c r="N16" s="645"/>
      <c r="O16" s="645"/>
      <c r="P16" s="645"/>
      <c r="Q16" s="645"/>
      <c r="R16" s="645"/>
      <c r="S16" s="645"/>
      <c r="T16" s="645"/>
      <c r="U16" s="645"/>
      <c r="V16" s="645"/>
      <c r="W16" s="645"/>
      <c r="X16" s="645"/>
      <c r="Y16" s="645"/>
      <c r="Z16" s="669"/>
      <c r="AA16" s="669"/>
      <c r="AB16" s="94"/>
      <c r="AC16" s="94"/>
      <c r="AD16" s="94"/>
      <c r="AE16" s="94"/>
      <c r="AF16" s="94"/>
      <c r="AG16" s="94"/>
      <c r="AH16" s="94"/>
      <c r="AI16" s="94"/>
    </row>
    <row r="17" spans="1:35" ht="18.600000000000001" customHeight="1">
      <c r="A17" s="101"/>
      <c r="B17" s="101"/>
      <c r="C17" s="645"/>
      <c r="D17" s="645"/>
      <c r="E17" s="645"/>
      <c r="F17" s="645"/>
      <c r="G17" s="645"/>
      <c r="H17" s="645"/>
      <c r="I17" s="645"/>
      <c r="J17" s="645"/>
      <c r="K17" s="645"/>
      <c r="L17" s="645"/>
      <c r="M17" s="645"/>
      <c r="N17" s="645"/>
      <c r="O17" s="645"/>
      <c r="P17" s="645"/>
      <c r="Q17" s="645"/>
      <c r="R17" s="645"/>
      <c r="S17" s="645"/>
      <c r="T17" s="645"/>
      <c r="U17" s="645"/>
      <c r="V17" s="645"/>
      <c r="W17" s="645"/>
      <c r="X17" s="645"/>
      <c r="Y17" s="645"/>
      <c r="Z17" s="669"/>
      <c r="AA17" s="669"/>
      <c r="AB17" s="94"/>
      <c r="AC17" s="94"/>
      <c r="AD17" s="94"/>
      <c r="AE17" s="94"/>
      <c r="AF17" s="94"/>
      <c r="AG17" s="94"/>
      <c r="AH17" s="94"/>
      <c r="AI17" s="94"/>
    </row>
    <row r="18" spans="1:35" ht="18.600000000000001" customHeight="1">
      <c r="A18" s="101"/>
      <c r="B18" s="101"/>
      <c r="C18" s="645"/>
      <c r="D18" s="645"/>
      <c r="E18" s="645"/>
      <c r="F18" s="645"/>
      <c r="G18" s="645"/>
      <c r="H18" s="645"/>
      <c r="I18" s="645"/>
      <c r="J18" s="645"/>
      <c r="K18" s="645"/>
      <c r="L18" s="645"/>
      <c r="M18" s="645"/>
      <c r="N18" s="645"/>
      <c r="O18" s="645"/>
      <c r="P18" s="645"/>
      <c r="Q18" s="645"/>
      <c r="R18" s="645"/>
      <c r="S18" s="645"/>
      <c r="T18" s="645"/>
      <c r="U18" s="645"/>
      <c r="V18" s="645"/>
      <c r="W18" s="645"/>
      <c r="X18" s="645"/>
      <c r="Y18" s="645"/>
      <c r="Z18" s="669"/>
      <c r="AA18" s="669"/>
      <c r="AB18" s="94"/>
      <c r="AC18" s="94"/>
      <c r="AD18" s="94"/>
      <c r="AE18" s="94"/>
      <c r="AF18" s="94"/>
      <c r="AG18" s="94"/>
      <c r="AH18" s="94"/>
      <c r="AI18" s="94"/>
    </row>
    <row r="19" spans="1:35" ht="18.600000000000001" customHeight="1">
      <c r="A19" s="101"/>
      <c r="B19" s="101"/>
      <c r="C19" s="645"/>
      <c r="D19" s="645"/>
      <c r="E19" s="645"/>
      <c r="F19" s="645"/>
      <c r="G19" s="645"/>
      <c r="H19" s="645"/>
      <c r="I19" s="645"/>
      <c r="J19" s="645"/>
      <c r="K19" s="645"/>
      <c r="L19" s="645"/>
      <c r="M19" s="645"/>
      <c r="N19" s="645"/>
      <c r="O19" s="645"/>
      <c r="P19" s="645"/>
      <c r="Q19" s="645"/>
      <c r="R19" s="645"/>
      <c r="S19" s="645"/>
      <c r="T19" s="645"/>
      <c r="U19" s="645"/>
      <c r="V19" s="645"/>
      <c r="W19" s="645"/>
      <c r="X19" s="645"/>
      <c r="Y19" s="645"/>
      <c r="Z19" s="669"/>
      <c r="AA19" s="669"/>
      <c r="AB19" s="94"/>
      <c r="AC19" s="94"/>
      <c r="AD19" s="94"/>
      <c r="AE19" s="94"/>
      <c r="AF19" s="94"/>
      <c r="AG19" s="94"/>
      <c r="AH19" s="94"/>
      <c r="AI19" s="94"/>
    </row>
    <row r="20" spans="1:35" ht="18.600000000000001" customHeight="1">
      <c r="A20" s="101"/>
      <c r="B20" s="101"/>
      <c r="C20" s="645"/>
      <c r="D20" s="645"/>
      <c r="E20" s="645"/>
      <c r="F20" s="645"/>
      <c r="G20" s="645"/>
      <c r="H20" s="645"/>
      <c r="I20" s="645"/>
      <c r="J20" s="645"/>
      <c r="K20" s="645"/>
      <c r="L20" s="645"/>
      <c r="M20" s="645"/>
      <c r="N20" s="645"/>
      <c r="O20" s="645"/>
      <c r="P20" s="645"/>
      <c r="Q20" s="645"/>
      <c r="R20" s="645"/>
      <c r="S20" s="645"/>
      <c r="T20" s="645"/>
      <c r="U20" s="645"/>
      <c r="V20" s="645"/>
      <c r="W20" s="645"/>
      <c r="X20" s="645"/>
      <c r="Y20" s="645"/>
      <c r="Z20" s="669"/>
      <c r="AA20" s="669"/>
      <c r="AB20" s="94"/>
      <c r="AC20" s="94"/>
      <c r="AD20" s="94"/>
      <c r="AE20" s="94"/>
      <c r="AF20" s="94"/>
      <c r="AG20" s="94"/>
      <c r="AH20" s="94"/>
      <c r="AI20" s="94"/>
    </row>
    <row r="21" spans="1:35" ht="18.600000000000001" customHeight="1">
      <c r="A21" s="101"/>
      <c r="B21" s="101"/>
      <c r="C21" s="645"/>
      <c r="D21" s="645"/>
      <c r="E21" s="645"/>
      <c r="F21" s="645"/>
      <c r="G21" s="645"/>
      <c r="H21" s="645"/>
      <c r="I21" s="645"/>
      <c r="J21" s="645"/>
      <c r="K21" s="645"/>
      <c r="L21" s="645"/>
      <c r="M21" s="645"/>
      <c r="N21" s="645"/>
      <c r="O21" s="645"/>
      <c r="P21" s="645"/>
      <c r="Q21" s="645"/>
      <c r="R21" s="645"/>
      <c r="S21" s="645"/>
      <c r="T21" s="645"/>
      <c r="U21" s="645"/>
      <c r="V21" s="645"/>
      <c r="W21" s="645"/>
      <c r="X21" s="645"/>
      <c r="Y21" s="645"/>
      <c r="Z21" s="669"/>
      <c r="AA21" s="669"/>
      <c r="AB21" s="94"/>
      <c r="AC21" s="94"/>
      <c r="AD21" s="94"/>
      <c r="AE21" s="94"/>
      <c r="AF21" s="94"/>
      <c r="AG21" s="94"/>
      <c r="AH21" s="94"/>
      <c r="AI21" s="94"/>
    </row>
    <row r="22" spans="1:35" ht="18.600000000000001" customHeight="1">
      <c r="A22" s="101"/>
      <c r="B22" s="101"/>
      <c r="C22" s="645"/>
      <c r="D22" s="645"/>
      <c r="E22" s="645"/>
      <c r="F22" s="645"/>
      <c r="G22" s="645"/>
      <c r="H22" s="645"/>
      <c r="I22" s="645"/>
      <c r="J22" s="645"/>
      <c r="K22" s="645"/>
      <c r="L22" s="645"/>
      <c r="M22" s="645"/>
      <c r="N22" s="645"/>
      <c r="O22" s="645"/>
      <c r="P22" s="645"/>
      <c r="Q22" s="645"/>
      <c r="R22" s="645"/>
      <c r="S22" s="645"/>
      <c r="T22" s="645"/>
      <c r="U22" s="645"/>
      <c r="V22" s="645"/>
      <c r="W22" s="645"/>
      <c r="X22" s="645"/>
      <c r="Y22" s="645"/>
      <c r="Z22" s="669"/>
      <c r="AA22" s="669"/>
      <c r="AB22" s="94"/>
      <c r="AC22" s="94"/>
      <c r="AD22" s="94"/>
      <c r="AE22" s="94"/>
      <c r="AF22" s="94"/>
      <c r="AG22" s="94"/>
      <c r="AH22" s="94"/>
      <c r="AI22" s="94"/>
    </row>
    <row r="23" spans="1:35" ht="18.600000000000001" customHeight="1">
      <c r="A23" s="101"/>
      <c r="B23" s="101"/>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69"/>
      <c r="AA23" s="669"/>
      <c r="AB23" s="94"/>
      <c r="AC23" s="94"/>
      <c r="AD23" s="94"/>
      <c r="AE23" s="94"/>
      <c r="AF23" s="94"/>
      <c r="AG23" s="94"/>
      <c r="AH23" s="94"/>
      <c r="AI23" s="94"/>
    </row>
    <row r="24" spans="1:35" ht="18.600000000000001" customHeight="1">
      <c r="A24" s="101"/>
      <c r="B24" s="101"/>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69"/>
      <c r="AA24" s="669"/>
      <c r="AB24" s="94"/>
      <c r="AC24" s="94"/>
      <c r="AD24" s="94"/>
      <c r="AE24" s="94"/>
      <c r="AF24" s="94"/>
      <c r="AG24" s="94"/>
      <c r="AH24" s="94"/>
      <c r="AI24" s="94"/>
    </row>
    <row r="25" spans="1:35" ht="18.600000000000001" customHeight="1">
      <c r="A25" s="101"/>
      <c r="B25" s="101"/>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69"/>
      <c r="AA25" s="669"/>
      <c r="AB25" s="94"/>
      <c r="AC25" s="94"/>
      <c r="AD25" s="94"/>
      <c r="AE25" s="94"/>
      <c r="AF25" s="94"/>
      <c r="AG25" s="94"/>
      <c r="AH25" s="94"/>
      <c r="AI25" s="94"/>
    </row>
    <row r="26" spans="1:35" ht="18.600000000000001" customHeight="1">
      <c r="A26" s="101"/>
      <c r="B26" s="101"/>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69"/>
      <c r="AA26" s="669"/>
      <c r="AB26" s="94"/>
      <c r="AC26" s="94"/>
      <c r="AD26" s="94"/>
      <c r="AE26" s="94"/>
      <c r="AF26" s="94"/>
      <c r="AG26" s="94"/>
      <c r="AH26" s="94"/>
      <c r="AI26" s="94"/>
    </row>
    <row r="27" spans="1:35" ht="18.600000000000001" customHeight="1">
      <c r="A27" s="668"/>
      <c r="B27" s="669"/>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69"/>
      <c r="AA27" s="669"/>
      <c r="AB27" s="94"/>
      <c r="AC27" s="94"/>
      <c r="AD27" s="94"/>
      <c r="AE27" s="94"/>
      <c r="AF27" s="94"/>
      <c r="AG27" s="94"/>
      <c r="AH27" s="94"/>
      <c r="AI27" s="94"/>
    </row>
    <row r="28" spans="1:35" ht="18.600000000000001" customHeight="1">
      <c r="A28" s="668"/>
      <c r="B28" s="669"/>
      <c r="C28" s="645"/>
      <c r="D28" s="645"/>
      <c r="E28" s="645"/>
      <c r="F28" s="645"/>
      <c r="G28" s="645"/>
      <c r="H28" s="645"/>
      <c r="I28" s="645"/>
      <c r="J28" s="645"/>
      <c r="K28" s="645"/>
      <c r="L28" s="645"/>
      <c r="M28" s="645"/>
      <c r="N28" s="645"/>
      <c r="O28" s="645"/>
      <c r="P28" s="645"/>
      <c r="Q28" s="645"/>
      <c r="R28" s="645"/>
      <c r="S28" s="645"/>
      <c r="T28" s="645"/>
      <c r="U28" s="645"/>
      <c r="V28" s="645"/>
      <c r="W28" s="645"/>
      <c r="X28" s="645"/>
      <c r="Y28" s="645"/>
      <c r="Z28" s="669"/>
      <c r="AA28" s="669"/>
      <c r="AB28" s="94"/>
      <c r="AC28" s="94"/>
      <c r="AD28" s="94"/>
      <c r="AE28" s="94"/>
      <c r="AF28" s="94"/>
      <c r="AG28" s="94"/>
      <c r="AH28" s="94"/>
      <c r="AI28" s="94"/>
    </row>
    <row r="29" spans="1:35" ht="18.600000000000001" customHeight="1">
      <c r="A29" s="668"/>
      <c r="B29" s="669"/>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69"/>
      <c r="AA29" s="669"/>
      <c r="AB29" s="94"/>
      <c r="AC29" s="94"/>
      <c r="AD29" s="94"/>
      <c r="AE29" s="94"/>
      <c r="AF29" s="94"/>
      <c r="AG29" s="94"/>
      <c r="AH29" s="94"/>
      <c r="AI29" s="94"/>
    </row>
    <row r="30" spans="1:35" ht="18.600000000000001" customHeight="1">
      <c r="A30" s="668"/>
      <c r="B30" s="669"/>
      <c r="C30" s="645"/>
      <c r="D30" s="645"/>
      <c r="E30" s="645"/>
      <c r="F30" s="645"/>
      <c r="G30" s="645"/>
      <c r="H30" s="645"/>
      <c r="I30" s="645"/>
      <c r="J30" s="645"/>
      <c r="K30" s="645"/>
      <c r="L30" s="645"/>
      <c r="M30" s="645"/>
      <c r="N30" s="645"/>
      <c r="O30" s="645"/>
      <c r="P30" s="645"/>
      <c r="Q30" s="645"/>
      <c r="R30" s="645"/>
      <c r="S30" s="645"/>
      <c r="T30" s="645"/>
      <c r="U30" s="645"/>
      <c r="V30" s="645"/>
      <c r="W30" s="645"/>
      <c r="X30" s="645"/>
      <c r="Y30" s="645"/>
      <c r="Z30" s="669"/>
      <c r="AA30" s="669"/>
      <c r="AB30" s="94"/>
      <c r="AC30" s="94"/>
      <c r="AD30" s="94"/>
      <c r="AE30" s="94"/>
      <c r="AF30" s="94"/>
      <c r="AG30" s="94"/>
      <c r="AH30" s="94"/>
      <c r="AI30" s="94"/>
    </row>
    <row r="31" spans="1:35" ht="18.600000000000001" customHeight="1">
      <c r="A31" s="668"/>
      <c r="B31" s="669"/>
      <c r="C31" s="645"/>
      <c r="D31" s="645"/>
      <c r="E31" s="645"/>
      <c r="F31" s="645"/>
      <c r="G31" s="645"/>
      <c r="H31" s="645"/>
      <c r="I31" s="645"/>
      <c r="J31" s="645"/>
      <c r="K31" s="645"/>
      <c r="L31" s="645"/>
      <c r="M31" s="645"/>
      <c r="N31" s="645"/>
      <c r="O31" s="645"/>
      <c r="P31" s="645"/>
      <c r="Q31" s="645"/>
      <c r="R31" s="645"/>
      <c r="S31" s="645"/>
      <c r="T31" s="645"/>
      <c r="U31" s="645"/>
      <c r="V31" s="645"/>
      <c r="W31" s="645"/>
      <c r="X31" s="645"/>
      <c r="Y31" s="645"/>
      <c r="Z31" s="669"/>
      <c r="AA31" s="669"/>
      <c r="AB31" s="94"/>
      <c r="AC31" s="94"/>
      <c r="AD31" s="94"/>
      <c r="AE31" s="94"/>
      <c r="AF31" s="94"/>
      <c r="AG31" s="94"/>
      <c r="AH31" s="94"/>
      <c r="AI31" s="94"/>
    </row>
    <row r="32" spans="1:35" ht="18.600000000000001" customHeight="1">
      <c r="A32" s="668"/>
      <c r="B32" s="669"/>
      <c r="C32" s="645"/>
      <c r="D32" s="645"/>
      <c r="E32" s="645"/>
      <c r="F32" s="645"/>
      <c r="G32" s="645"/>
      <c r="H32" s="645"/>
      <c r="I32" s="645"/>
      <c r="J32" s="645"/>
      <c r="K32" s="645"/>
      <c r="L32" s="645"/>
      <c r="M32" s="645"/>
      <c r="N32" s="645"/>
      <c r="O32" s="645"/>
      <c r="P32" s="645"/>
      <c r="Q32" s="645"/>
      <c r="R32" s="645"/>
      <c r="S32" s="645"/>
      <c r="T32" s="645"/>
      <c r="U32" s="645"/>
      <c r="V32" s="645"/>
      <c r="W32" s="645"/>
      <c r="X32" s="645"/>
      <c r="Y32" s="645"/>
      <c r="Z32" s="669"/>
      <c r="AA32" s="669"/>
      <c r="AB32" s="94"/>
      <c r="AC32" s="94"/>
      <c r="AD32" s="94"/>
      <c r="AE32" s="94"/>
      <c r="AF32" s="94"/>
      <c r="AG32" s="94"/>
      <c r="AH32" s="94"/>
      <c r="AI32" s="94"/>
    </row>
    <row r="33" spans="1:35" ht="18.600000000000001" customHeight="1">
      <c r="A33" s="668"/>
      <c r="B33" s="669"/>
      <c r="C33" s="645"/>
      <c r="D33" s="645"/>
      <c r="E33" s="645"/>
      <c r="F33" s="645"/>
      <c r="G33" s="645"/>
      <c r="H33" s="645"/>
      <c r="I33" s="645"/>
      <c r="J33" s="645"/>
      <c r="K33" s="645"/>
      <c r="L33" s="645"/>
      <c r="M33" s="645"/>
      <c r="N33" s="645"/>
      <c r="O33" s="645"/>
      <c r="P33" s="645"/>
      <c r="Q33" s="645"/>
      <c r="R33" s="645"/>
      <c r="S33" s="645"/>
      <c r="T33" s="645"/>
      <c r="U33" s="645"/>
      <c r="V33" s="645"/>
      <c r="W33" s="645"/>
      <c r="X33" s="645"/>
      <c r="Y33" s="645"/>
      <c r="Z33" s="669"/>
      <c r="AA33" s="669"/>
      <c r="AB33" s="94"/>
      <c r="AC33" s="94"/>
      <c r="AD33" s="94"/>
      <c r="AE33" s="94"/>
      <c r="AF33" s="94"/>
      <c r="AG33" s="94"/>
      <c r="AH33" s="94"/>
      <c r="AI33" s="94"/>
    </row>
    <row r="34" spans="1:35" ht="18.600000000000001" customHeight="1">
      <c r="A34" s="668"/>
      <c r="B34" s="669"/>
      <c r="C34" s="645"/>
      <c r="D34" s="645"/>
      <c r="E34" s="645"/>
      <c r="F34" s="645"/>
      <c r="G34" s="645"/>
      <c r="H34" s="645"/>
      <c r="I34" s="645"/>
      <c r="J34" s="645"/>
      <c r="K34" s="645"/>
      <c r="L34" s="645"/>
      <c r="M34" s="645"/>
      <c r="N34" s="645"/>
      <c r="O34" s="645"/>
      <c r="P34" s="645"/>
      <c r="Q34" s="645"/>
      <c r="R34" s="645"/>
      <c r="S34" s="645"/>
      <c r="T34" s="645"/>
      <c r="U34" s="645"/>
      <c r="V34" s="645"/>
      <c r="W34" s="645"/>
      <c r="X34" s="645"/>
      <c r="Y34" s="645"/>
      <c r="Z34" s="669"/>
      <c r="AA34" s="669"/>
      <c r="AB34" s="94"/>
      <c r="AC34" s="94"/>
      <c r="AD34" s="94"/>
      <c r="AE34" s="94"/>
      <c r="AF34" s="94"/>
      <c r="AG34" s="94"/>
      <c r="AH34" s="94"/>
      <c r="AI34" s="94"/>
    </row>
    <row r="35" spans="1:35" ht="18.600000000000001" customHeight="1">
      <c r="A35" s="668"/>
      <c r="B35" s="669"/>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69"/>
      <c r="AA35" s="669"/>
      <c r="AB35" s="94"/>
      <c r="AC35" s="94"/>
      <c r="AD35" s="94"/>
      <c r="AE35" s="94"/>
      <c r="AF35" s="94"/>
      <c r="AG35" s="94"/>
      <c r="AH35" s="94"/>
      <c r="AI35" s="94"/>
    </row>
    <row r="36" spans="1:35" ht="18.600000000000001" customHeight="1">
      <c r="A36" s="668"/>
      <c r="B36" s="669"/>
      <c r="C36" s="645"/>
      <c r="D36" s="645"/>
      <c r="E36" s="645"/>
      <c r="F36" s="645"/>
      <c r="G36" s="645"/>
      <c r="H36" s="645"/>
      <c r="I36" s="645"/>
      <c r="J36" s="645"/>
      <c r="K36" s="645"/>
      <c r="L36" s="645"/>
      <c r="M36" s="645"/>
      <c r="N36" s="645"/>
      <c r="O36" s="645"/>
      <c r="P36" s="645"/>
      <c r="Q36" s="645"/>
      <c r="R36" s="645"/>
      <c r="S36" s="645"/>
      <c r="T36" s="645"/>
      <c r="U36" s="645"/>
      <c r="V36" s="645"/>
      <c r="W36" s="645"/>
      <c r="X36" s="645"/>
      <c r="Y36" s="645"/>
      <c r="Z36" s="669"/>
      <c r="AA36" s="669"/>
      <c r="AB36" s="94"/>
      <c r="AC36" s="94"/>
      <c r="AD36" s="94"/>
      <c r="AE36" s="94"/>
      <c r="AF36" s="94"/>
      <c r="AG36" s="94"/>
      <c r="AH36" s="94"/>
      <c r="AI36" s="94"/>
    </row>
    <row r="37" spans="1:35" ht="18.95" customHeight="1" thickBot="1">
      <c r="A37" s="669"/>
      <c r="B37" s="669"/>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69"/>
      <c r="AA37" s="669"/>
      <c r="AB37" s="641" t="s">
        <v>1060</v>
      </c>
      <c r="AC37" s="641"/>
      <c r="AD37" s="641" t="s">
        <v>1061</v>
      </c>
      <c r="AE37" s="641"/>
      <c r="AF37" s="641" t="s">
        <v>1062</v>
      </c>
      <c r="AG37" s="641"/>
      <c r="AH37" s="94"/>
      <c r="AI37" s="94"/>
    </row>
    <row r="38" spans="1:35" ht="29.45" thickBot="1">
      <c r="A38" s="669"/>
      <c r="B38" s="670"/>
      <c r="C38" s="102" t="s">
        <v>1063</v>
      </c>
      <c r="D38" s="103" t="s">
        <v>1064</v>
      </c>
      <c r="E38" s="104" t="s">
        <v>1065</v>
      </c>
      <c r="F38" s="105" t="s">
        <v>30</v>
      </c>
      <c r="G38" s="106" t="s">
        <v>1066</v>
      </c>
      <c r="H38" s="106" t="s">
        <v>929</v>
      </c>
      <c r="I38" s="106" t="s">
        <v>1067</v>
      </c>
      <c r="J38" s="106" t="s">
        <v>34</v>
      </c>
      <c r="K38" s="106" t="s">
        <v>35</v>
      </c>
      <c r="L38" s="106" t="s">
        <v>37</v>
      </c>
      <c r="M38" s="106" t="s">
        <v>38</v>
      </c>
      <c r="N38" s="106" t="s">
        <v>1068</v>
      </c>
      <c r="O38" s="103" t="s">
        <v>1069</v>
      </c>
      <c r="P38" s="102" t="s">
        <v>1070</v>
      </c>
      <c r="Q38" s="106" t="s">
        <v>1071</v>
      </c>
      <c r="R38" s="107" t="s">
        <v>1072</v>
      </c>
      <c r="S38" s="102" t="s">
        <v>1073</v>
      </c>
      <c r="T38" s="107" t="s">
        <v>1074</v>
      </c>
      <c r="U38" s="102" t="s">
        <v>1075</v>
      </c>
      <c r="V38" s="107" t="s">
        <v>1076</v>
      </c>
      <c r="W38" s="105" t="s">
        <v>1077</v>
      </c>
      <c r="X38" s="108" t="s">
        <v>1078</v>
      </c>
      <c r="Y38" s="104" t="s">
        <v>1079</v>
      </c>
      <c r="Z38" s="671"/>
      <c r="AA38" s="670"/>
      <c r="AB38" s="109" t="s">
        <v>1080</v>
      </c>
      <c r="AC38" s="110" t="s">
        <v>1081</v>
      </c>
      <c r="AD38" s="111" t="s">
        <v>1080</v>
      </c>
      <c r="AE38" s="112" t="s">
        <v>1081</v>
      </c>
      <c r="AF38" s="111" t="s">
        <v>1080</v>
      </c>
      <c r="AG38" s="112" t="s">
        <v>1081</v>
      </c>
      <c r="AH38" s="94"/>
      <c r="AI38" s="94"/>
    </row>
    <row r="39" spans="1:35" ht="73.5" customHeight="1">
      <c r="A39" s="669"/>
      <c r="B39" s="670"/>
      <c r="C39" s="635"/>
      <c r="D39" s="636">
        <v>1</v>
      </c>
      <c r="E39" s="637">
        <v>1</v>
      </c>
      <c r="F39" s="640" t="s">
        <v>1082</v>
      </c>
      <c r="G39" s="631" t="s">
        <v>1083</v>
      </c>
      <c r="H39" s="631" t="s">
        <v>1084</v>
      </c>
      <c r="I39" s="632" t="s">
        <v>1085</v>
      </c>
      <c r="J39" s="632" t="s">
        <v>1086</v>
      </c>
      <c r="K39" s="632" t="s">
        <v>137</v>
      </c>
      <c r="L39" s="113"/>
      <c r="M39" s="113"/>
      <c r="N39" s="114" t="s">
        <v>70</v>
      </c>
      <c r="O39" s="634">
        <v>0.25</v>
      </c>
      <c r="P39" s="115"/>
      <c r="Q39" s="113"/>
      <c r="R39" s="116"/>
      <c r="S39" s="603"/>
      <c r="T39" s="585"/>
      <c r="U39" s="603"/>
      <c r="V39" s="602"/>
      <c r="W39" s="603"/>
      <c r="X39" s="602"/>
      <c r="Y39" s="627"/>
      <c r="Z39" s="671"/>
      <c r="AA39" s="670"/>
      <c r="AB39" s="624">
        <v>0</v>
      </c>
      <c r="AC39" s="575">
        <v>0</v>
      </c>
      <c r="AD39" s="624">
        <v>0</v>
      </c>
      <c r="AE39" s="575">
        <v>0</v>
      </c>
      <c r="AF39" s="624">
        <v>0</v>
      </c>
      <c r="AG39" s="575">
        <v>0</v>
      </c>
      <c r="AH39" s="94"/>
      <c r="AI39" s="94"/>
    </row>
    <row r="40" spans="1:35" ht="73.5" customHeight="1" thickBot="1">
      <c r="A40" s="669"/>
      <c r="B40" s="670"/>
      <c r="C40" s="456"/>
      <c r="D40" s="504"/>
      <c r="E40" s="638"/>
      <c r="F40" s="538"/>
      <c r="G40" s="384"/>
      <c r="H40" s="384"/>
      <c r="I40" s="382"/>
      <c r="J40" s="382"/>
      <c r="K40" s="633"/>
      <c r="L40" s="174">
        <v>44927</v>
      </c>
      <c r="M40" s="174">
        <v>45275</v>
      </c>
      <c r="N40" s="117" t="s">
        <v>71</v>
      </c>
      <c r="O40" s="621"/>
      <c r="P40" s="118">
        <v>0.35</v>
      </c>
      <c r="Q40" s="119">
        <v>0.35</v>
      </c>
      <c r="R40" s="120">
        <v>0.3</v>
      </c>
      <c r="S40" s="529"/>
      <c r="T40" s="429"/>
      <c r="U40" s="529"/>
      <c r="V40" s="431"/>
      <c r="W40" s="529"/>
      <c r="X40" s="431"/>
      <c r="Y40" s="445"/>
      <c r="Z40" s="671"/>
      <c r="AA40" s="670"/>
      <c r="AB40" s="441"/>
      <c r="AC40" s="440"/>
      <c r="AD40" s="441"/>
      <c r="AE40" s="440"/>
      <c r="AF40" s="441"/>
      <c r="AG40" s="440"/>
      <c r="AH40" s="94"/>
      <c r="AI40" s="94"/>
    </row>
    <row r="41" spans="1:35" ht="73.5" customHeight="1">
      <c r="A41" s="669"/>
      <c r="B41" s="670"/>
      <c r="C41" s="456"/>
      <c r="D41" s="481">
        <v>2</v>
      </c>
      <c r="E41" s="638"/>
      <c r="F41" s="505" t="s">
        <v>1082</v>
      </c>
      <c r="G41" s="622" t="s">
        <v>1083</v>
      </c>
      <c r="H41" s="383" t="s">
        <v>1087</v>
      </c>
      <c r="I41" s="381" t="s">
        <v>1088</v>
      </c>
      <c r="J41" s="381" t="s">
        <v>1086</v>
      </c>
      <c r="K41" s="632" t="s">
        <v>137</v>
      </c>
      <c r="L41" s="175"/>
      <c r="M41" s="175"/>
      <c r="N41" s="114" t="s">
        <v>70</v>
      </c>
      <c r="O41" s="620">
        <v>0.25</v>
      </c>
      <c r="P41" s="121"/>
      <c r="Q41" s="122"/>
      <c r="R41" s="123"/>
      <c r="S41" s="529"/>
      <c r="T41" s="124"/>
      <c r="U41" s="529"/>
      <c r="V41" s="125"/>
      <c r="W41" s="529"/>
      <c r="X41" s="125"/>
      <c r="Y41" s="445"/>
      <c r="Z41" s="671"/>
      <c r="AA41" s="670"/>
      <c r="AB41" s="441"/>
      <c r="AC41" s="440"/>
      <c r="AD41" s="441"/>
      <c r="AE41" s="440"/>
      <c r="AF41" s="441"/>
      <c r="AG41" s="440"/>
      <c r="AH41" s="94"/>
      <c r="AI41" s="94"/>
    </row>
    <row r="42" spans="1:35" ht="73.5" customHeight="1">
      <c r="A42" s="669"/>
      <c r="B42" s="670"/>
      <c r="C42" s="456"/>
      <c r="D42" s="504"/>
      <c r="E42" s="638"/>
      <c r="F42" s="538"/>
      <c r="G42" s="623"/>
      <c r="H42" s="384"/>
      <c r="I42" s="382"/>
      <c r="J42" s="382"/>
      <c r="K42" s="382"/>
      <c r="L42" s="174">
        <v>44927</v>
      </c>
      <c r="M42" s="174">
        <v>45275</v>
      </c>
      <c r="N42" s="117" t="s">
        <v>71</v>
      </c>
      <c r="O42" s="621"/>
      <c r="P42" s="118">
        <v>0.34</v>
      </c>
      <c r="Q42" s="119">
        <v>0.33</v>
      </c>
      <c r="R42" s="120">
        <v>0.33</v>
      </c>
      <c r="S42" s="529"/>
      <c r="T42" s="124"/>
      <c r="U42" s="529"/>
      <c r="V42" s="125"/>
      <c r="W42" s="529"/>
      <c r="X42" s="125"/>
      <c r="Y42" s="445"/>
      <c r="Z42" s="671"/>
      <c r="AA42" s="670"/>
      <c r="AB42" s="441"/>
      <c r="AC42" s="440"/>
      <c r="AD42" s="441"/>
      <c r="AE42" s="440"/>
      <c r="AF42" s="441"/>
      <c r="AG42" s="440"/>
      <c r="AH42" s="94"/>
      <c r="AI42" s="94"/>
    </row>
    <row r="43" spans="1:35" ht="73.5" customHeight="1">
      <c r="A43" s="669"/>
      <c r="B43" s="670"/>
      <c r="C43" s="456"/>
      <c r="D43" s="481">
        <v>3</v>
      </c>
      <c r="E43" s="638"/>
      <c r="F43" s="505" t="s">
        <v>1082</v>
      </c>
      <c r="G43" s="383" t="s">
        <v>1083</v>
      </c>
      <c r="H43" s="383" t="s">
        <v>1089</v>
      </c>
      <c r="I43" s="381" t="s">
        <v>1090</v>
      </c>
      <c r="J43" s="381" t="s">
        <v>1086</v>
      </c>
      <c r="K43" s="381" t="s">
        <v>137</v>
      </c>
      <c r="L43" s="176"/>
      <c r="M43" s="176"/>
      <c r="N43" s="114" t="s">
        <v>70</v>
      </c>
      <c r="O43" s="620">
        <v>0.25</v>
      </c>
      <c r="P43" s="126"/>
      <c r="Q43" s="176"/>
      <c r="R43" s="127"/>
      <c r="S43" s="529"/>
      <c r="T43" s="428"/>
      <c r="U43" s="529"/>
      <c r="V43" s="628"/>
      <c r="W43" s="529"/>
      <c r="X43" s="628"/>
      <c r="Y43" s="445"/>
      <c r="Z43" s="671"/>
      <c r="AA43" s="670"/>
      <c r="AB43" s="441"/>
      <c r="AC43" s="440"/>
      <c r="AD43" s="441"/>
      <c r="AE43" s="440"/>
      <c r="AF43" s="441"/>
      <c r="AG43" s="440"/>
      <c r="AH43" s="94"/>
      <c r="AI43" s="94"/>
    </row>
    <row r="44" spans="1:35" ht="73.5" customHeight="1">
      <c r="A44" s="669"/>
      <c r="B44" s="670"/>
      <c r="C44" s="456"/>
      <c r="D44" s="504"/>
      <c r="E44" s="638"/>
      <c r="F44" s="538"/>
      <c r="G44" s="384"/>
      <c r="H44" s="384"/>
      <c r="I44" s="382"/>
      <c r="J44" s="382"/>
      <c r="K44" s="382"/>
      <c r="L44" s="174">
        <v>44927</v>
      </c>
      <c r="M44" s="174">
        <v>45275</v>
      </c>
      <c r="N44" s="117" t="s">
        <v>71</v>
      </c>
      <c r="O44" s="621"/>
      <c r="P44" s="128">
        <v>0.35</v>
      </c>
      <c r="Q44" s="129">
        <v>0.35</v>
      </c>
      <c r="R44" s="130">
        <v>0.3</v>
      </c>
      <c r="S44" s="529"/>
      <c r="T44" s="429"/>
      <c r="U44" s="529"/>
      <c r="V44" s="629"/>
      <c r="W44" s="529"/>
      <c r="X44" s="629"/>
      <c r="Y44" s="445"/>
      <c r="Z44" s="671"/>
      <c r="AA44" s="670"/>
      <c r="AB44" s="441"/>
      <c r="AC44" s="440"/>
      <c r="AD44" s="441"/>
      <c r="AE44" s="440"/>
      <c r="AF44" s="441"/>
      <c r="AG44" s="440"/>
      <c r="AH44" s="94"/>
      <c r="AI44" s="94"/>
    </row>
    <row r="45" spans="1:35" ht="73.5" customHeight="1">
      <c r="A45" s="669"/>
      <c r="B45" s="670"/>
      <c r="C45" s="456"/>
      <c r="D45" s="481">
        <v>4</v>
      </c>
      <c r="E45" s="638"/>
      <c r="F45" s="614" t="s">
        <v>1091</v>
      </c>
      <c r="G45" s="383" t="s">
        <v>1083</v>
      </c>
      <c r="H45" s="383" t="s">
        <v>1092</v>
      </c>
      <c r="I45" s="131" t="s">
        <v>1093</v>
      </c>
      <c r="J45" s="381" t="s">
        <v>1086</v>
      </c>
      <c r="K45" s="616" t="s">
        <v>137</v>
      </c>
      <c r="L45" s="176"/>
      <c r="M45" s="176"/>
      <c r="N45" s="132" t="s">
        <v>70</v>
      </c>
      <c r="O45" s="618">
        <v>0.25</v>
      </c>
      <c r="P45" s="126"/>
      <c r="Q45" s="175"/>
      <c r="R45" s="127"/>
      <c r="S45" s="529"/>
      <c r="T45" s="428"/>
      <c r="U45" s="529"/>
      <c r="V45" s="430"/>
      <c r="W45" s="529"/>
      <c r="X45" s="606"/>
      <c r="Y45" s="445"/>
      <c r="Z45" s="671"/>
      <c r="AA45" s="670"/>
      <c r="AB45" s="441"/>
      <c r="AC45" s="440"/>
      <c r="AD45" s="441"/>
      <c r="AE45" s="440"/>
      <c r="AF45" s="441"/>
      <c r="AG45" s="440"/>
      <c r="AH45" s="94"/>
      <c r="AI45" s="94"/>
    </row>
    <row r="46" spans="1:35" ht="73.5" customHeight="1" thickBot="1">
      <c r="A46" s="669"/>
      <c r="B46" s="670"/>
      <c r="C46" s="457"/>
      <c r="D46" s="504"/>
      <c r="E46" s="639"/>
      <c r="F46" s="615"/>
      <c r="G46" s="384"/>
      <c r="H46" s="384"/>
      <c r="I46" s="133" t="s">
        <v>1094</v>
      </c>
      <c r="J46" s="382"/>
      <c r="K46" s="617"/>
      <c r="L46" s="134">
        <v>44927</v>
      </c>
      <c r="M46" s="135">
        <v>45291</v>
      </c>
      <c r="N46" s="136" t="s">
        <v>71</v>
      </c>
      <c r="O46" s="619"/>
      <c r="P46" s="137">
        <v>0.33</v>
      </c>
      <c r="Q46" s="138">
        <v>0.33</v>
      </c>
      <c r="R46" s="139">
        <v>0.34</v>
      </c>
      <c r="S46" s="578"/>
      <c r="T46" s="630"/>
      <c r="U46" s="578"/>
      <c r="V46" s="595"/>
      <c r="W46" s="626"/>
      <c r="X46" s="607"/>
      <c r="Y46" s="446"/>
      <c r="Z46" s="671"/>
      <c r="AA46" s="670"/>
      <c r="AB46" s="625"/>
      <c r="AC46" s="600"/>
      <c r="AD46" s="625"/>
      <c r="AE46" s="600"/>
      <c r="AF46" s="625"/>
      <c r="AG46" s="600"/>
      <c r="AH46" s="94"/>
      <c r="AI46" s="94"/>
    </row>
    <row r="47" spans="1:35" ht="73.5" customHeight="1">
      <c r="A47" s="672"/>
      <c r="B47" s="673"/>
      <c r="C47" s="608"/>
      <c r="D47" s="481">
        <v>4</v>
      </c>
      <c r="E47" s="611">
        <v>3</v>
      </c>
      <c r="F47" s="505" t="s">
        <v>1095</v>
      </c>
      <c r="G47" s="145" t="s">
        <v>1096</v>
      </c>
      <c r="H47" s="383" t="s">
        <v>1097</v>
      </c>
      <c r="I47" s="383" t="s">
        <v>1098</v>
      </c>
      <c r="J47" s="597" t="s">
        <v>1086</v>
      </c>
      <c r="K47" s="381" t="s">
        <v>137</v>
      </c>
      <c r="L47" s="146"/>
      <c r="M47" s="146"/>
      <c r="N47" s="132" t="s">
        <v>70</v>
      </c>
      <c r="O47" s="604"/>
      <c r="P47" s="147"/>
      <c r="Q47" s="146"/>
      <c r="R47" s="140"/>
      <c r="S47" s="528"/>
      <c r="T47" s="585"/>
      <c r="U47" s="528"/>
      <c r="V47" s="602"/>
      <c r="W47" s="603"/>
      <c r="X47" s="579"/>
      <c r="Y47" s="521"/>
      <c r="Z47" s="674"/>
      <c r="AA47" s="673"/>
      <c r="AB47" s="576" t="s">
        <v>1099</v>
      </c>
      <c r="AC47" s="575">
        <v>0</v>
      </c>
      <c r="AD47" s="576" t="s">
        <v>1099</v>
      </c>
      <c r="AE47" s="575">
        <v>0</v>
      </c>
      <c r="AF47" s="576" t="s">
        <v>1099</v>
      </c>
      <c r="AG47" s="575">
        <v>0</v>
      </c>
      <c r="AH47" s="141"/>
      <c r="AI47" s="141"/>
    </row>
    <row r="48" spans="1:35" ht="73.5" customHeight="1">
      <c r="A48" s="672"/>
      <c r="B48" s="673"/>
      <c r="C48" s="609"/>
      <c r="D48" s="504"/>
      <c r="E48" s="612"/>
      <c r="F48" s="538"/>
      <c r="G48" s="133" t="s">
        <v>1100</v>
      </c>
      <c r="H48" s="384"/>
      <c r="I48" s="384"/>
      <c r="J48" s="599"/>
      <c r="K48" s="382"/>
      <c r="L48" s="162">
        <v>44958</v>
      </c>
      <c r="M48" s="162">
        <v>45019</v>
      </c>
      <c r="N48" s="136" t="s">
        <v>71</v>
      </c>
      <c r="O48" s="605"/>
      <c r="P48" s="118">
        <v>1</v>
      </c>
      <c r="Q48" s="122"/>
      <c r="R48" s="123"/>
      <c r="S48" s="529"/>
      <c r="T48" s="429"/>
      <c r="U48" s="529"/>
      <c r="V48" s="431"/>
      <c r="W48" s="529"/>
      <c r="X48" s="581"/>
      <c r="Y48" s="445"/>
      <c r="Z48" s="674"/>
      <c r="AA48" s="673"/>
      <c r="AB48" s="460"/>
      <c r="AC48" s="440"/>
      <c r="AD48" s="460"/>
      <c r="AE48" s="440"/>
      <c r="AF48" s="460"/>
      <c r="AG48" s="440"/>
      <c r="AH48" s="141"/>
      <c r="AI48" s="141"/>
    </row>
    <row r="49" spans="1:35" ht="73.5" customHeight="1">
      <c r="A49" s="669"/>
      <c r="B49" s="670"/>
      <c r="C49" s="609"/>
      <c r="D49" s="481">
        <v>5</v>
      </c>
      <c r="E49" s="612"/>
      <c r="F49" s="505" t="s">
        <v>1095</v>
      </c>
      <c r="G49" s="131" t="s">
        <v>1096</v>
      </c>
      <c r="H49" s="383" t="s">
        <v>1101</v>
      </c>
      <c r="I49" s="383" t="s">
        <v>1102</v>
      </c>
      <c r="J49" s="597" t="s">
        <v>1086</v>
      </c>
      <c r="K49" s="381" t="s">
        <v>137</v>
      </c>
      <c r="L49" s="175"/>
      <c r="M49" s="175"/>
      <c r="N49" s="132" t="s">
        <v>70</v>
      </c>
      <c r="O49" s="548"/>
      <c r="P49" s="142"/>
      <c r="Q49" s="176"/>
      <c r="R49" s="143"/>
      <c r="S49" s="529"/>
      <c r="T49" s="428"/>
      <c r="U49" s="529"/>
      <c r="V49" s="430"/>
      <c r="W49" s="529"/>
      <c r="X49" s="435"/>
      <c r="Y49" s="445"/>
      <c r="Z49" s="671"/>
      <c r="AA49" s="670"/>
      <c r="AB49" s="460"/>
      <c r="AC49" s="440"/>
      <c r="AD49" s="460"/>
      <c r="AE49" s="440"/>
      <c r="AF49" s="460"/>
      <c r="AG49" s="440"/>
      <c r="AH49" s="94"/>
      <c r="AI49" s="94"/>
    </row>
    <row r="50" spans="1:35" ht="73.5" customHeight="1">
      <c r="A50" s="669"/>
      <c r="B50" s="670"/>
      <c r="C50" s="609"/>
      <c r="D50" s="504"/>
      <c r="E50" s="612"/>
      <c r="F50" s="538"/>
      <c r="G50" s="133" t="s">
        <v>1100</v>
      </c>
      <c r="H50" s="384"/>
      <c r="I50" s="384"/>
      <c r="J50" s="599"/>
      <c r="K50" s="382"/>
      <c r="L50" s="174">
        <v>45124</v>
      </c>
      <c r="M50" s="174">
        <v>45169</v>
      </c>
      <c r="N50" s="136" t="s">
        <v>71</v>
      </c>
      <c r="O50" s="550"/>
      <c r="P50" s="121"/>
      <c r="Q50" s="118">
        <v>1</v>
      </c>
      <c r="R50" s="122"/>
      <c r="S50" s="529"/>
      <c r="T50" s="429"/>
      <c r="U50" s="529"/>
      <c r="V50" s="431"/>
      <c r="W50" s="529"/>
      <c r="X50" s="437"/>
      <c r="Y50" s="445"/>
      <c r="Z50" s="671"/>
      <c r="AA50" s="670"/>
      <c r="AB50" s="460"/>
      <c r="AC50" s="440"/>
      <c r="AD50" s="460"/>
      <c r="AE50" s="440"/>
      <c r="AF50" s="460"/>
      <c r="AG50" s="440"/>
      <c r="AH50" s="94"/>
      <c r="AI50" s="94"/>
    </row>
    <row r="51" spans="1:35" ht="73.5" customHeight="1">
      <c r="A51" s="672"/>
      <c r="B51" s="673"/>
      <c r="C51" s="609"/>
      <c r="D51" s="481">
        <v>6</v>
      </c>
      <c r="E51" s="612"/>
      <c r="F51" s="505" t="s">
        <v>1095</v>
      </c>
      <c r="G51" s="131" t="s">
        <v>1096</v>
      </c>
      <c r="H51" s="383" t="s">
        <v>1103</v>
      </c>
      <c r="I51" s="383" t="s">
        <v>1104</v>
      </c>
      <c r="J51" s="597" t="s">
        <v>1086</v>
      </c>
      <c r="K51" s="381" t="s">
        <v>137</v>
      </c>
      <c r="L51" s="176"/>
      <c r="M51" s="176"/>
      <c r="N51" s="132" t="s">
        <v>70</v>
      </c>
      <c r="O51" s="548"/>
      <c r="P51" s="142"/>
      <c r="Q51" s="176"/>
      <c r="R51" s="127"/>
      <c r="S51" s="529"/>
      <c r="T51" s="428"/>
      <c r="U51" s="529"/>
      <c r="V51" s="512"/>
      <c r="W51" s="529"/>
      <c r="X51" s="435"/>
      <c r="Y51" s="445"/>
      <c r="Z51" s="674"/>
      <c r="AA51" s="673"/>
      <c r="AB51" s="460"/>
      <c r="AC51" s="440"/>
      <c r="AD51" s="460"/>
      <c r="AE51" s="440"/>
      <c r="AF51" s="460"/>
      <c r="AG51" s="440"/>
      <c r="AH51" s="141"/>
      <c r="AI51" s="141"/>
    </row>
    <row r="52" spans="1:35" ht="73.5" customHeight="1">
      <c r="A52" s="672"/>
      <c r="B52" s="673"/>
      <c r="C52" s="609"/>
      <c r="D52" s="504"/>
      <c r="E52" s="612"/>
      <c r="F52" s="538"/>
      <c r="G52" s="133" t="s">
        <v>1100</v>
      </c>
      <c r="H52" s="384"/>
      <c r="I52" s="384"/>
      <c r="J52" s="599"/>
      <c r="K52" s="382"/>
      <c r="L52" s="144">
        <v>44958</v>
      </c>
      <c r="M52" s="144">
        <v>45291</v>
      </c>
      <c r="N52" s="136" t="s">
        <v>71</v>
      </c>
      <c r="O52" s="550"/>
      <c r="P52" s="118">
        <v>0.33</v>
      </c>
      <c r="Q52" s="119">
        <v>0.33</v>
      </c>
      <c r="R52" s="120">
        <v>0.34</v>
      </c>
      <c r="S52" s="529"/>
      <c r="T52" s="429"/>
      <c r="U52" s="529"/>
      <c r="V52" s="514"/>
      <c r="W52" s="529"/>
      <c r="X52" s="437"/>
      <c r="Y52" s="445"/>
      <c r="Z52" s="674"/>
      <c r="AA52" s="673"/>
      <c r="AB52" s="460"/>
      <c r="AC52" s="440"/>
      <c r="AD52" s="460"/>
      <c r="AE52" s="440"/>
      <c r="AF52" s="460"/>
      <c r="AG52" s="440"/>
      <c r="AH52" s="141"/>
      <c r="AI52" s="141"/>
    </row>
    <row r="53" spans="1:35" ht="73.5" customHeight="1">
      <c r="A53" s="669"/>
      <c r="B53" s="670"/>
      <c r="C53" s="609"/>
      <c r="D53" s="481">
        <v>7</v>
      </c>
      <c r="E53" s="612"/>
      <c r="F53" s="505" t="s">
        <v>1095</v>
      </c>
      <c r="G53" s="131" t="s">
        <v>1096</v>
      </c>
      <c r="H53" s="383" t="s">
        <v>1105</v>
      </c>
      <c r="I53" s="383" t="s">
        <v>1106</v>
      </c>
      <c r="J53" s="597" t="s">
        <v>1086</v>
      </c>
      <c r="K53" s="381" t="s">
        <v>137</v>
      </c>
      <c r="L53" s="175"/>
      <c r="M53" s="175"/>
      <c r="N53" s="132" t="s">
        <v>70</v>
      </c>
      <c r="O53" s="548"/>
      <c r="P53" s="142"/>
      <c r="Q53" s="176"/>
      <c r="R53" s="127"/>
      <c r="S53" s="529"/>
      <c r="T53" s="428"/>
      <c r="U53" s="529"/>
      <c r="V53" s="430"/>
      <c r="W53" s="529"/>
      <c r="X53" s="435"/>
      <c r="Y53" s="445"/>
      <c r="Z53" s="671"/>
      <c r="AA53" s="670"/>
      <c r="AB53" s="460"/>
      <c r="AC53" s="440"/>
      <c r="AD53" s="460"/>
      <c r="AE53" s="440"/>
      <c r="AF53" s="460"/>
      <c r="AG53" s="440"/>
      <c r="AH53" s="94"/>
      <c r="AI53" s="94"/>
    </row>
    <row r="54" spans="1:35" ht="73.5" customHeight="1">
      <c r="A54" s="669"/>
      <c r="B54" s="670"/>
      <c r="C54" s="609"/>
      <c r="D54" s="504"/>
      <c r="E54" s="612"/>
      <c r="F54" s="538"/>
      <c r="G54" s="133" t="s">
        <v>1100</v>
      </c>
      <c r="H54" s="384"/>
      <c r="I54" s="384"/>
      <c r="J54" s="599"/>
      <c r="K54" s="382"/>
      <c r="L54" s="174">
        <v>45108</v>
      </c>
      <c r="M54" s="174">
        <v>45169</v>
      </c>
      <c r="N54" s="136" t="s">
        <v>71</v>
      </c>
      <c r="O54" s="550"/>
      <c r="P54" s="121"/>
      <c r="Q54" s="119">
        <v>1</v>
      </c>
      <c r="R54" s="123"/>
      <c r="S54" s="529"/>
      <c r="T54" s="429"/>
      <c r="U54" s="529"/>
      <c r="V54" s="431"/>
      <c r="W54" s="529"/>
      <c r="X54" s="437"/>
      <c r="Y54" s="445"/>
      <c r="Z54" s="671"/>
      <c r="AA54" s="670"/>
      <c r="AB54" s="460"/>
      <c r="AC54" s="440"/>
      <c r="AD54" s="460"/>
      <c r="AE54" s="440"/>
      <c r="AF54" s="460"/>
      <c r="AG54" s="440"/>
      <c r="AH54" s="94"/>
      <c r="AI54" s="94"/>
    </row>
    <row r="55" spans="1:35" ht="73.5" customHeight="1">
      <c r="A55" s="669"/>
      <c r="B55" s="670"/>
      <c r="C55" s="609"/>
      <c r="D55" s="481">
        <v>8</v>
      </c>
      <c r="E55" s="612"/>
      <c r="F55" s="505" t="s">
        <v>1095</v>
      </c>
      <c r="G55" s="131" t="s">
        <v>1107</v>
      </c>
      <c r="H55" s="383" t="s">
        <v>1108</v>
      </c>
      <c r="I55" s="383" t="s">
        <v>1109</v>
      </c>
      <c r="J55" s="597" t="s">
        <v>1086</v>
      </c>
      <c r="K55" s="381" t="s">
        <v>137</v>
      </c>
      <c r="L55" s="175"/>
      <c r="M55" s="175"/>
      <c r="N55" s="132" t="s">
        <v>70</v>
      </c>
      <c r="O55" s="548"/>
      <c r="P55" s="142"/>
      <c r="Q55" s="176"/>
      <c r="R55" s="127"/>
      <c r="S55" s="529"/>
      <c r="T55" s="428"/>
      <c r="U55" s="529"/>
      <c r="V55" s="430"/>
      <c r="W55" s="529"/>
      <c r="X55" s="435"/>
      <c r="Y55" s="445"/>
      <c r="Z55" s="671"/>
      <c r="AA55" s="670"/>
      <c r="AB55" s="460"/>
      <c r="AC55" s="440"/>
      <c r="AD55" s="460"/>
      <c r="AE55" s="440"/>
      <c r="AF55" s="460"/>
      <c r="AG55" s="440"/>
      <c r="AH55" s="94"/>
      <c r="AI55" s="94"/>
    </row>
    <row r="56" spans="1:35" ht="73.5" customHeight="1">
      <c r="A56" s="669"/>
      <c r="B56" s="670"/>
      <c r="C56" s="609"/>
      <c r="D56" s="504"/>
      <c r="E56" s="612"/>
      <c r="F56" s="538"/>
      <c r="G56" s="133" t="s">
        <v>1110</v>
      </c>
      <c r="H56" s="384"/>
      <c r="I56" s="384"/>
      <c r="J56" s="599"/>
      <c r="K56" s="382"/>
      <c r="L56" s="174">
        <v>44959</v>
      </c>
      <c r="M56" s="174">
        <v>45291</v>
      </c>
      <c r="N56" s="136" t="s">
        <v>71</v>
      </c>
      <c r="O56" s="550"/>
      <c r="P56" s="118">
        <v>0.33</v>
      </c>
      <c r="Q56" s="119">
        <v>0.33</v>
      </c>
      <c r="R56" s="120">
        <v>0.34</v>
      </c>
      <c r="S56" s="529"/>
      <c r="T56" s="429"/>
      <c r="U56" s="529"/>
      <c r="V56" s="431"/>
      <c r="W56" s="529"/>
      <c r="X56" s="437"/>
      <c r="Y56" s="445"/>
      <c r="Z56" s="671"/>
      <c r="AA56" s="670"/>
      <c r="AB56" s="460"/>
      <c r="AC56" s="440"/>
      <c r="AD56" s="460"/>
      <c r="AE56" s="440"/>
      <c r="AF56" s="460"/>
      <c r="AG56" s="440"/>
      <c r="AH56" s="94"/>
      <c r="AI56" s="94"/>
    </row>
    <row r="57" spans="1:35" ht="73.5" customHeight="1">
      <c r="A57" s="672"/>
      <c r="B57" s="673"/>
      <c r="C57" s="609"/>
      <c r="D57" s="481">
        <v>9</v>
      </c>
      <c r="E57" s="612"/>
      <c r="F57" s="505" t="s">
        <v>1095</v>
      </c>
      <c r="G57" s="131" t="s">
        <v>1107</v>
      </c>
      <c r="H57" s="383" t="s">
        <v>1111</v>
      </c>
      <c r="I57" s="383" t="s">
        <v>1112</v>
      </c>
      <c r="J57" s="597" t="s">
        <v>1086</v>
      </c>
      <c r="K57" s="381" t="s">
        <v>137</v>
      </c>
      <c r="L57" s="176"/>
      <c r="M57" s="176"/>
      <c r="N57" s="132" t="s">
        <v>70</v>
      </c>
      <c r="O57" s="548"/>
      <c r="P57" s="142"/>
      <c r="Q57" s="176"/>
      <c r="R57" s="127"/>
      <c r="S57" s="529"/>
      <c r="T57" s="428"/>
      <c r="U57" s="529"/>
      <c r="V57" s="430"/>
      <c r="W57" s="529"/>
      <c r="X57" s="435"/>
      <c r="Y57" s="445"/>
      <c r="Z57" s="674"/>
      <c r="AA57" s="673"/>
      <c r="AB57" s="460"/>
      <c r="AC57" s="440"/>
      <c r="AD57" s="460"/>
      <c r="AE57" s="440"/>
      <c r="AF57" s="460"/>
      <c r="AG57" s="440"/>
      <c r="AH57" s="141"/>
      <c r="AI57" s="141"/>
    </row>
    <row r="58" spans="1:35" ht="73.5" customHeight="1">
      <c r="A58" s="672"/>
      <c r="B58" s="673"/>
      <c r="C58" s="609"/>
      <c r="D58" s="504"/>
      <c r="E58" s="612"/>
      <c r="F58" s="538"/>
      <c r="G58" s="133" t="s">
        <v>1110</v>
      </c>
      <c r="H58" s="384"/>
      <c r="I58" s="384"/>
      <c r="J58" s="599"/>
      <c r="K58" s="382"/>
      <c r="L58" s="144">
        <v>44958</v>
      </c>
      <c r="M58" s="144">
        <v>45016</v>
      </c>
      <c r="N58" s="136" t="s">
        <v>71</v>
      </c>
      <c r="O58" s="550"/>
      <c r="P58" s="118">
        <v>1</v>
      </c>
      <c r="Q58" s="122"/>
      <c r="R58" s="123"/>
      <c r="S58" s="529"/>
      <c r="T58" s="429"/>
      <c r="U58" s="529"/>
      <c r="V58" s="431"/>
      <c r="W58" s="529"/>
      <c r="X58" s="437"/>
      <c r="Y58" s="445"/>
      <c r="Z58" s="674"/>
      <c r="AA58" s="673"/>
      <c r="AB58" s="460"/>
      <c r="AC58" s="440"/>
      <c r="AD58" s="460"/>
      <c r="AE58" s="440"/>
      <c r="AF58" s="460"/>
      <c r="AG58" s="440"/>
      <c r="AH58" s="141"/>
      <c r="AI58" s="141"/>
    </row>
    <row r="59" spans="1:35" ht="73.5" customHeight="1">
      <c r="A59" s="669"/>
      <c r="B59" s="670"/>
      <c r="C59" s="609"/>
      <c r="D59" s="481">
        <v>10</v>
      </c>
      <c r="E59" s="612"/>
      <c r="F59" s="505" t="s">
        <v>1095</v>
      </c>
      <c r="G59" s="131" t="s">
        <v>1113</v>
      </c>
      <c r="H59" s="383" t="s">
        <v>1114</v>
      </c>
      <c r="I59" s="383" t="s">
        <v>1115</v>
      </c>
      <c r="J59" s="597" t="s">
        <v>1086</v>
      </c>
      <c r="K59" s="381" t="s">
        <v>137</v>
      </c>
      <c r="L59" s="175"/>
      <c r="M59" s="175"/>
      <c r="N59" s="132" t="s">
        <v>70</v>
      </c>
      <c r="O59" s="548"/>
      <c r="P59" s="142"/>
      <c r="Q59" s="176"/>
      <c r="R59" s="127"/>
      <c r="S59" s="529"/>
      <c r="T59" s="428"/>
      <c r="U59" s="529"/>
      <c r="V59" s="430"/>
      <c r="W59" s="529"/>
      <c r="X59" s="435"/>
      <c r="Y59" s="445"/>
      <c r="Z59" s="671"/>
      <c r="AA59" s="670"/>
      <c r="AB59" s="460"/>
      <c r="AC59" s="440"/>
      <c r="AD59" s="460"/>
      <c r="AE59" s="440"/>
      <c r="AF59" s="460"/>
      <c r="AG59" s="440"/>
      <c r="AH59" s="94"/>
      <c r="AI59" s="94"/>
    </row>
    <row r="60" spans="1:35" ht="73.5" customHeight="1">
      <c r="A60" s="669"/>
      <c r="B60" s="670"/>
      <c r="C60" s="609"/>
      <c r="D60" s="504"/>
      <c r="E60" s="612"/>
      <c r="F60" s="538"/>
      <c r="G60" s="133" t="s">
        <v>1116</v>
      </c>
      <c r="H60" s="384"/>
      <c r="I60" s="384"/>
      <c r="J60" s="599"/>
      <c r="K60" s="382"/>
      <c r="L60" s="174">
        <v>45078</v>
      </c>
      <c r="M60" s="174">
        <v>45291</v>
      </c>
      <c r="N60" s="136" t="s">
        <v>71</v>
      </c>
      <c r="O60" s="550"/>
      <c r="P60" s="121"/>
      <c r="Q60" s="119">
        <v>0.5</v>
      </c>
      <c r="R60" s="120">
        <v>0.5</v>
      </c>
      <c r="S60" s="529"/>
      <c r="T60" s="429"/>
      <c r="U60" s="529"/>
      <c r="V60" s="431"/>
      <c r="W60" s="529"/>
      <c r="X60" s="437"/>
      <c r="Y60" s="445"/>
      <c r="Z60" s="671"/>
      <c r="AA60" s="670"/>
      <c r="AB60" s="460"/>
      <c r="AC60" s="440"/>
      <c r="AD60" s="460"/>
      <c r="AE60" s="440"/>
      <c r="AF60" s="460"/>
      <c r="AG60" s="440"/>
      <c r="AH60" s="94"/>
      <c r="AI60" s="94"/>
    </row>
    <row r="61" spans="1:35" ht="73.5" customHeight="1">
      <c r="A61" s="669"/>
      <c r="B61" s="670"/>
      <c r="C61" s="609"/>
      <c r="D61" s="481">
        <v>11</v>
      </c>
      <c r="E61" s="612"/>
      <c r="F61" s="505" t="s">
        <v>1095</v>
      </c>
      <c r="G61" s="131" t="s">
        <v>1113</v>
      </c>
      <c r="H61" s="131" t="s">
        <v>1117</v>
      </c>
      <c r="I61" s="383" t="s">
        <v>1118</v>
      </c>
      <c r="J61" s="597" t="s">
        <v>1086</v>
      </c>
      <c r="K61" s="381" t="s">
        <v>137</v>
      </c>
      <c r="L61" s="489"/>
      <c r="M61" s="492"/>
      <c r="N61" s="495" t="s">
        <v>70</v>
      </c>
      <c r="O61" s="498"/>
      <c r="P61" s="501"/>
      <c r="Q61" s="489"/>
      <c r="R61" s="525"/>
      <c r="S61" s="529"/>
      <c r="T61" s="591"/>
      <c r="U61" s="529"/>
      <c r="V61" s="430"/>
      <c r="W61" s="529"/>
      <c r="X61" s="435"/>
      <c r="Y61" s="445"/>
      <c r="Z61" s="671"/>
      <c r="AA61" s="670"/>
      <c r="AB61" s="460"/>
      <c r="AC61" s="440"/>
      <c r="AD61" s="460"/>
      <c r="AE61" s="440"/>
      <c r="AF61" s="460"/>
      <c r="AG61" s="440"/>
      <c r="AH61" s="671"/>
      <c r="AI61" s="669"/>
    </row>
    <row r="62" spans="1:35" ht="73.5" customHeight="1">
      <c r="A62" s="669"/>
      <c r="B62" s="670"/>
      <c r="C62" s="609"/>
      <c r="D62" s="482"/>
      <c r="E62" s="612"/>
      <c r="F62" s="506"/>
      <c r="G62" s="145" t="s">
        <v>1116</v>
      </c>
      <c r="H62" s="145" t="s">
        <v>1119</v>
      </c>
      <c r="I62" s="508"/>
      <c r="J62" s="598"/>
      <c r="K62" s="510"/>
      <c r="L62" s="490"/>
      <c r="M62" s="493"/>
      <c r="N62" s="496"/>
      <c r="O62" s="499"/>
      <c r="P62" s="502"/>
      <c r="Q62" s="490"/>
      <c r="R62" s="526"/>
      <c r="S62" s="529"/>
      <c r="T62" s="592"/>
      <c r="U62" s="529"/>
      <c r="V62" s="594"/>
      <c r="W62" s="529"/>
      <c r="X62" s="436"/>
      <c r="Y62" s="445"/>
      <c r="Z62" s="671"/>
      <c r="AA62" s="670"/>
      <c r="AB62" s="460"/>
      <c r="AC62" s="440"/>
      <c r="AD62" s="460"/>
      <c r="AE62" s="440"/>
      <c r="AF62" s="460"/>
      <c r="AG62" s="440"/>
      <c r="AH62" s="671"/>
      <c r="AI62" s="669"/>
    </row>
    <row r="63" spans="1:35" ht="73.5" customHeight="1">
      <c r="A63" s="669"/>
      <c r="B63" s="670"/>
      <c r="C63" s="609"/>
      <c r="D63" s="482"/>
      <c r="E63" s="612"/>
      <c r="F63" s="506"/>
      <c r="G63" s="145"/>
      <c r="H63" s="145" t="s">
        <v>1120</v>
      </c>
      <c r="I63" s="508"/>
      <c r="J63" s="598"/>
      <c r="K63" s="510"/>
      <c r="L63" s="490"/>
      <c r="M63" s="493"/>
      <c r="N63" s="496"/>
      <c r="O63" s="499"/>
      <c r="P63" s="502"/>
      <c r="Q63" s="490"/>
      <c r="R63" s="526"/>
      <c r="S63" s="529"/>
      <c r="T63" s="592"/>
      <c r="U63" s="529"/>
      <c r="V63" s="594"/>
      <c r="W63" s="529"/>
      <c r="X63" s="436"/>
      <c r="Y63" s="445"/>
      <c r="Z63" s="671"/>
      <c r="AA63" s="670"/>
      <c r="AB63" s="460"/>
      <c r="AC63" s="440"/>
      <c r="AD63" s="460"/>
      <c r="AE63" s="440"/>
      <c r="AF63" s="460"/>
      <c r="AG63" s="440"/>
      <c r="AH63" s="671"/>
      <c r="AI63" s="669"/>
    </row>
    <row r="64" spans="1:35" ht="73.5" customHeight="1">
      <c r="A64" s="669"/>
      <c r="B64" s="670"/>
      <c r="C64" s="609"/>
      <c r="D64" s="482"/>
      <c r="E64" s="612"/>
      <c r="F64" s="506"/>
      <c r="G64" s="145"/>
      <c r="H64" s="145" t="s">
        <v>1121</v>
      </c>
      <c r="I64" s="508"/>
      <c r="J64" s="598"/>
      <c r="K64" s="510"/>
      <c r="L64" s="490"/>
      <c r="M64" s="493"/>
      <c r="N64" s="496"/>
      <c r="O64" s="499"/>
      <c r="P64" s="502"/>
      <c r="Q64" s="490"/>
      <c r="R64" s="526"/>
      <c r="S64" s="529"/>
      <c r="T64" s="592"/>
      <c r="U64" s="529"/>
      <c r="V64" s="594"/>
      <c r="W64" s="529"/>
      <c r="X64" s="436"/>
      <c r="Y64" s="445"/>
      <c r="Z64" s="671"/>
      <c r="AA64" s="670"/>
      <c r="AB64" s="460"/>
      <c r="AC64" s="440"/>
      <c r="AD64" s="460"/>
      <c r="AE64" s="440"/>
      <c r="AF64" s="460"/>
      <c r="AG64" s="440"/>
      <c r="AH64" s="671"/>
      <c r="AI64" s="669"/>
    </row>
    <row r="65" spans="1:35" ht="73.5" customHeight="1">
      <c r="A65" s="669"/>
      <c r="B65" s="670"/>
      <c r="C65" s="609"/>
      <c r="D65" s="482"/>
      <c r="E65" s="612"/>
      <c r="F65" s="506"/>
      <c r="G65" s="145"/>
      <c r="H65" s="145" t="s">
        <v>1122</v>
      </c>
      <c r="I65" s="508"/>
      <c r="J65" s="598"/>
      <c r="K65" s="510"/>
      <c r="L65" s="491"/>
      <c r="M65" s="494"/>
      <c r="N65" s="497"/>
      <c r="O65" s="499"/>
      <c r="P65" s="503"/>
      <c r="Q65" s="491"/>
      <c r="R65" s="527"/>
      <c r="S65" s="529"/>
      <c r="T65" s="592"/>
      <c r="U65" s="529"/>
      <c r="V65" s="594"/>
      <c r="W65" s="529"/>
      <c r="X65" s="437"/>
      <c r="Y65" s="445"/>
      <c r="Z65" s="671"/>
      <c r="AA65" s="670"/>
      <c r="AB65" s="460"/>
      <c r="AC65" s="440"/>
      <c r="AD65" s="460"/>
      <c r="AE65" s="440"/>
      <c r="AF65" s="460"/>
      <c r="AG65" s="440"/>
      <c r="AH65" s="671"/>
      <c r="AI65" s="669"/>
    </row>
    <row r="66" spans="1:35" ht="73.5" customHeight="1" thickBot="1">
      <c r="A66" s="669"/>
      <c r="B66" s="670"/>
      <c r="C66" s="610"/>
      <c r="D66" s="504"/>
      <c r="E66" s="613"/>
      <c r="F66" s="538"/>
      <c r="G66" s="133"/>
      <c r="H66" s="133" t="s">
        <v>1123</v>
      </c>
      <c r="I66" s="384"/>
      <c r="J66" s="599"/>
      <c r="K66" s="382"/>
      <c r="L66" s="148">
        <v>45261</v>
      </c>
      <c r="M66" s="148">
        <v>45291</v>
      </c>
      <c r="N66" s="136" t="s">
        <v>71</v>
      </c>
      <c r="O66" s="596"/>
      <c r="P66" s="149"/>
      <c r="Q66" s="150"/>
      <c r="R66" s="151">
        <v>1</v>
      </c>
      <c r="S66" s="578"/>
      <c r="T66" s="593"/>
      <c r="U66" s="578"/>
      <c r="V66" s="595"/>
      <c r="W66" s="578"/>
      <c r="X66" s="152"/>
      <c r="Y66" s="446"/>
      <c r="Z66" s="671"/>
      <c r="AA66" s="670"/>
      <c r="AB66" s="601"/>
      <c r="AC66" s="600"/>
      <c r="AD66" s="601"/>
      <c r="AE66" s="600"/>
      <c r="AF66" s="601"/>
      <c r="AG66" s="600"/>
      <c r="AH66" s="94"/>
      <c r="AI66" s="94"/>
    </row>
    <row r="67" spans="1:35" ht="73.5" customHeight="1">
      <c r="A67" s="669"/>
      <c r="B67" s="670"/>
      <c r="C67" s="480"/>
      <c r="D67" s="545">
        <v>12</v>
      </c>
      <c r="E67" s="588">
        <v>4</v>
      </c>
      <c r="F67" s="563" t="s">
        <v>63</v>
      </c>
      <c r="G67" s="554" t="s">
        <v>1124</v>
      </c>
      <c r="H67" s="554" t="s">
        <v>1125</v>
      </c>
      <c r="I67" s="153" t="s">
        <v>1126</v>
      </c>
      <c r="J67" s="554" t="s">
        <v>1086</v>
      </c>
      <c r="K67" s="381" t="s">
        <v>137</v>
      </c>
      <c r="L67" s="583"/>
      <c r="M67" s="586"/>
      <c r="N67" s="495" t="s">
        <v>70</v>
      </c>
      <c r="O67" s="587"/>
      <c r="P67" s="582"/>
      <c r="Q67" s="583"/>
      <c r="R67" s="584"/>
      <c r="S67" s="528"/>
      <c r="T67" s="585"/>
      <c r="U67" s="528"/>
      <c r="V67" s="577"/>
      <c r="W67" s="528"/>
      <c r="X67" s="579"/>
      <c r="Y67" s="521"/>
      <c r="Z67" s="671"/>
      <c r="AA67" s="670"/>
      <c r="AB67" s="576" t="s">
        <v>1099</v>
      </c>
      <c r="AC67" s="575">
        <v>0</v>
      </c>
      <c r="AD67" s="576" t="s">
        <v>1099</v>
      </c>
      <c r="AE67" s="575">
        <v>0</v>
      </c>
      <c r="AF67" s="576" t="s">
        <v>1099</v>
      </c>
      <c r="AG67" s="575">
        <v>0</v>
      </c>
      <c r="AH67" s="671"/>
      <c r="AI67" s="669"/>
    </row>
    <row r="68" spans="1:35" ht="73.5" customHeight="1">
      <c r="A68" s="669"/>
      <c r="B68" s="670"/>
      <c r="C68" s="456"/>
      <c r="D68" s="546"/>
      <c r="E68" s="589"/>
      <c r="F68" s="564"/>
      <c r="G68" s="555"/>
      <c r="H68" s="555"/>
      <c r="I68" s="153" t="s">
        <v>1127</v>
      </c>
      <c r="J68" s="555"/>
      <c r="K68" s="510"/>
      <c r="L68" s="491"/>
      <c r="M68" s="494"/>
      <c r="N68" s="497"/>
      <c r="O68" s="499"/>
      <c r="P68" s="503"/>
      <c r="Q68" s="491"/>
      <c r="R68" s="527"/>
      <c r="S68" s="529"/>
      <c r="T68" s="452"/>
      <c r="U68" s="529"/>
      <c r="V68" s="513"/>
      <c r="W68" s="529"/>
      <c r="X68" s="580"/>
      <c r="Y68" s="445"/>
      <c r="Z68" s="671"/>
      <c r="AA68" s="670"/>
      <c r="AB68" s="460"/>
      <c r="AC68" s="440"/>
      <c r="AD68" s="460"/>
      <c r="AE68" s="440"/>
      <c r="AF68" s="460"/>
      <c r="AG68" s="440"/>
      <c r="AH68" s="671"/>
      <c r="AI68" s="669"/>
    </row>
    <row r="69" spans="1:35" ht="73.5" customHeight="1">
      <c r="A69" s="669"/>
      <c r="B69" s="670"/>
      <c r="C69" s="456"/>
      <c r="D69" s="547"/>
      <c r="E69" s="589"/>
      <c r="F69" s="565"/>
      <c r="G69" s="556"/>
      <c r="H69" s="556"/>
      <c r="I69" s="154" t="s">
        <v>1128</v>
      </c>
      <c r="J69" s="556"/>
      <c r="K69" s="382"/>
      <c r="L69" s="114"/>
      <c r="M69" s="114"/>
      <c r="N69" s="136" t="s">
        <v>71</v>
      </c>
      <c r="O69" s="535"/>
      <c r="P69" s="121"/>
      <c r="Q69" s="122"/>
      <c r="R69" s="123"/>
      <c r="S69" s="529"/>
      <c r="T69" s="429"/>
      <c r="U69" s="529"/>
      <c r="V69" s="514"/>
      <c r="W69" s="529"/>
      <c r="X69" s="581"/>
      <c r="Y69" s="445"/>
      <c r="Z69" s="671"/>
      <c r="AA69" s="670"/>
      <c r="AB69" s="460"/>
      <c r="AC69" s="440"/>
      <c r="AD69" s="460"/>
      <c r="AE69" s="440"/>
      <c r="AF69" s="460"/>
      <c r="AG69" s="440"/>
      <c r="AH69" s="94"/>
      <c r="AI69" s="94"/>
    </row>
    <row r="70" spans="1:35" ht="73.5" customHeight="1">
      <c r="A70" s="669"/>
      <c r="B70" s="670"/>
      <c r="C70" s="456"/>
      <c r="D70" s="545">
        <v>13</v>
      </c>
      <c r="E70" s="589"/>
      <c r="F70" s="563" t="s">
        <v>63</v>
      </c>
      <c r="G70" s="554" t="s">
        <v>1124</v>
      </c>
      <c r="H70" s="554" t="s">
        <v>1129</v>
      </c>
      <c r="I70" s="155" t="s">
        <v>1130</v>
      </c>
      <c r="J70" s="554" t="s">
        <v>1086</v>
      </c>
      <c r="K70" s="381" t="s">
        <v>137</v>
      </c>
      <c r="L70" s="489"/>
      <c r="M70" s="492"/>
      <c r="N70" s="495" t="s">
        <v>70</v>
      </c>
      <c r="O70" s="498"/>
      <c r="P70" s="501"/>
      <c r="Q70" s="489"/>
      <c r="R70" s="525"/>
      <c r="S70" s="529"/>
      <c r="T70" s="428"/>
      <c r="U70" s="529"/>
      <c r="V70" s="512"/>
      <c r="W70" s="529"/>
      <c r="X70" s="435"/>
      <c r="Y70" s="445"/>
      <c r="Z70" s="671"/>
      <c r="AA70" s="670"/>
      <c r="AB70" s="460"/>
      <c r="AC70" s="440"/>
      <c r="AD70" s="460"/>
      <c r="AE70" s="440"/>
      <c r="AF70" s="460"/>
      <c r="AG70" s="440"/>
      <c r="AH70" s="671"/>
      <c r="AI70" s="669"/>
    </row>
    <row r="71" spans="1:35" ht="73.5" customHeight="1">
      <c r="A71" s="669"/>
      <c r="B71" s="670"/>
      <c r="C71" s="456"/>
      <c r="D71" s="546"/>
      <c r="E71" s="589"/>
      <c r="F71" s="564"/>
      <c r="G71" s="555"/>
      <c r="H71" s="555"/>
      <c r="I71" s="153" t="s">
        <v>1127</v>
      </c>
      <c r="J71" s="555"/>
      <c r="K71" s="510"/>
      <c r="L71" s="491"/>
      <c r="M71" s="494"/>
      <c r="N71" s="497"/>
      <c r="O71" s="499"/>
      <c r="P71" s="503"/>
      <c r="Q71" s="491"/>
      <c r="R71" s="527"/>
      <c r="S71" s="529"/>
      <c r="T71" s="452"/>
      <c r="U71" s="529"/>
      <c r="V71" s="513"/>
      <c r="W71" s="529"/>
      <c r="X71" s="436"/>
      <c r="Y71" s="445"/>
      <c r="Z71" s="671"/>
      <c r="AA71" s="670"/>
      <c r="AB71" s="460"/>
      <c r="AC71" s="440"/>
      <c r="AD71" s="460"/>
      <c r="AE71" s="440"/>
      <c r="AF71" s="460"/>
      <c r="AG71" s="440"/>
      <c r="AH71" s="671"/>
      <c r="AI71" s="669"/>
    </row>
    <row r="72" spans="1:35" ht="73.5" customHeight="1">
      <c r="A72" s="669"/>
      <c r="B72" s="670"/>
      <c r="C72" s="456"/>
      <c r="D72" s="547"/>
      <c r="E72" s="589"/>
      <c r="F72" s="565"/>
      <c r="G72" s="556"/>
      <c r="H72" s="556"/>
      <c r="I72" s="154" t="s">
        <v>1131</v>
      </c>
      <c r="J72" s="556"/>
      <c r="K72" s="382"/>
      <c r="L72" s="175"/>
      <c r="M72" s="175"/>
      <c r="N72" s="136" t="s">
        <v>71</v>
      </c>
      <c r="O72" s="535"/>
      <c r="P72" s="121"/>
      <c r="Q72" s="122"/>
      <c r="R72" s="123"/>
      <c r="S72" s="529"/>
      <c r="T72" s="429"/>
      <c r="U72" s="529"/>
      <c r="V72" s="514"/>
      <c r="W72" s="529"/>
      <c r="X72" s="437"/>
      <c r="Y72" s="445"/>
      <c r="Z72" s="671"/>
      <c r="AA72" s="670"/>
      <c r="AB72" s="460"/>
      <c r="AC72" s="440"/>
      <c r="AD72" s="460"/>
      <c r="AE72" s="440"/>
      <c r="AF72" s="460"/>
      <c r="AG72" s="440"/>
      <c r="AH72" s="94"/>
      <c r="AI72" s="94"/>
    </row>
    <row r="73" spans="1:35" ht="73.5" customHeight="1">
      <c r="A73" s="669"/>
      <c r="B73" s="670"/>
      <c r="C73" s="456"/>
      <c r="D73" s="545">
        <v>14</v>
      </c>
      <c r="E73" s="589"/>
      <c r="F73" s="563" t="s">
        <v>1132</v>
      </c>
      <c r="G73" s="554" t="s">
        <v>1124</v>
      </c>
      <c r="H73" s="383" t="s">
        <v>1133</v>
      </c>
      <c r="I73" s="155" t="s">
        <v>1134</v>
      </c>
      <c r="J73" s="554" t="s">
        <v>1086</v>
      </c>
      <c r="K73" s="381" t="s">
        <v>137</v>
      </c>
      <c r="L73" s="489"/>
      <c r="M73" s="492"/>
      <c r="N73" s="495" t="s">
        <v>70</v>
      </c>
      <c r="O73" s="498"/>
      <c r="P73" s="501"/>
      <c r="Q73" s="489"/>
      <c r="R73" s="525"/>
      <c r="S73" s="529"/>
      <c r="T73" s="428"/>
      <c r="U73" s="529"/>
      <c r="V73" s="512"/>
      <c r="W73" s="529"/>
      <c r="X73" s="435"/>
      <c r="Y73" s="445"/>
      <c r="Z73" s="671"/>
      <c r="AA73" s="670"/>
      <c r="AB73" s="460"/>
      <c r="AC73" s="440"/>
      <c r="AD73" s="460"/>
      <c r="AE73" s="440"/>
      <c r="AF73" s="460"/>
      <c r="AG73" s="440"/>
      <c r="AH73" s="671"/>
      <c r="AI73" s="669"/>
    </row>
    <row r="74" spans="1:35" ht="73.5" customHeight="1">
      <c r="A74" s="669"/>
      <c r="B74" s="670"/>
      <c r="C74" s="456"/>
      <c r="D74" s="546"/>
      <c r="E74" s="589"/>
      <c r="F74" s="564"/>
      <c r="G74" s="555"/>
      <c r="H74" s="508"/>
      <c r="I74" s="156"/>
      <c r="J74" s="555"/>
      <c r="K74" s="510"/>
      <c r="L74" s="490"/>
      <c r="M74" s="493"/>
      <c r="N74" s="496"/>
      <c r="O74" s="499"/>
      <c r="P74" s="502"/>
      <c r="Q74" s="490"/>
      <c r="R74" s="526"/>
      <c r="S74" s="529"/>
      <c r="T74" s="452"/>
      <c r="U74" s="529"/>
      <c r="V74" s="513"/>
      <c r="W74" s="529"/>
      <c r="X74" s="436"/>
      <c r="Y74" s="445"/>
      <c r="Z74" s="671"/>
      <c r="AA74" s="670"/>
      <c r="AB74" s="460"/>
      <c r="AC74" s="440"/>
      <c r="AD74" s="460"/>
      <c r="AE74" s="440"/>
      <c r="AF74" s="460"/>
      <c r="AG74" s="440"/>
      <c r="AH74" s="671"/>
      <c r="AI74" s="669"/>
    </row>
    <row r="75" spans="1:35" ht="73.5" customHeight="1">
      <c r="A75" s="669"/>
      <c r="B75" s="670"/>
      <c r="C75" s="456"/>
      <c r="D75" s="546"/>
      <c r="E75" s="589"/>
      <c r="F75" s="564"/>
      <c r="G75" s="555"/>
      <c r="H75" s="508"/>
      <c r="I75" s="153" t="s">
        <v>1135</v>
      </c>
      <c r="J75" s="555"/>
      <c r="K75" s="510"/>
      <c r="L75" s="491"/>
      <c r="M75" s="494"/>
      <c r="N75" s="497"/>
      <c r="O75" s="499"/>
      <c r="P75" s="503"/>
      <c r="Q75" s="491"/>
      <c r="R75" s="527"/>
      <c r="S75" s="529"/>
      <c r="T75" s="452"/>
      <c r="U75" s="529"/>
      <c r="V75" s="513"/>
      <c r="W75" s="529"/>
      <c r="X75" s="436"/>
      <c r="Y75" s="445"/>
      <c r="Z75" s="671"/>
      <c r="AA75" s="670"/>
      <c r="AB75" s="460"/>
      <c r="AC75" s="440"/>
      <c r="AD75" s="460"/>
      <c r="AE75" s="440"/>
      <c r="AF75" s="460"/>
      <c r="AG75" s="440"/>
      <c r="AH75" s="671"/>
      <c r="AI75" s="669"/>
    </row>
    <row r="76" spans="1:35" ht="73.5" customHeight="1">
      <c r="A76" s="669"/>
      <c r="B76" s="670"/>
      <c r="C76" s="456"/>
      <c r="D76" s="547"/>
      <c r="E76" s="589"/>
      <c r="F76" s="565"/>
      <c r="G76" s="556"/>
      <c r="H76" s="384"/>
      <c r="I76" s="154" t="s">
        <v>1136</v>
      </c>
      <c r="J76" s="556"/>
      <c r="K76" s="382"/>
      <c r="L76" s="176"/>
      <c r="M76" s="176"/>
      <c r="N76" s="136" t="s">
        <v>71</v>
      </c>
      <c r="O76" s="535"/>
      <c r="P76" s="121"/>
      <c r="Q76" s="122"/>
      <c r="R76" s="123"/>
      <c r="S76" s="529"/>
      <c r="T76" s="429"/>
      <c r="U76" s="529"/>
      <c r="V76" s="514"/>
      <c r="W76" s="529"/>
      <c r="X76" s="437"/>
      <c r="Y76" s="445"/>
      <c r="Z76" s="671"/>
      <c r="AA76" s="670"/>
      <c r="AB76" s="460"/>
      <c r="AC76" s="440"/>
      <c r="AD76" s="460"/>
      <c r="AE76" s="440"/>
      <c r="AF76" s="460"/>
      <c r="AG76" s="440"/>
      <c r="AH76" s="94"/>
      <c r="AI76" s="94"/>
    </row>
    <row r="77" spans="1:35" ht="73.5" customHeight="1">
      <c r="A77" s="669"/>
      <c r="B77" s="670"/>
      <c r="C77" s="456"/>
      <c r="D77" s="545">
        <v>15</v>
      </c>
      <c r="E77" s="589"/>
      <c r="F77" s="563" t="s">
        <v>1132</v>
      </c>
      <c r="G77" s="554" t="s">
        <v>1124</v>
      </c>
      <c r="H77" s="383" t="s">
        <v>1137</v>
      </c>
      <c r="I77" s="155" t="s">
        <v>1138</v>
      </c>
      <c r="J77" s="554" t="s">
        <v>1086</v>
      </c>
      <c r="K77" s="381" t="s">
        <v>137</v>
      </c>
      <c r="L77" s="489"/>
      <c r="M77" s="492"/>
      <c r="N77" s="495" t="s">
        <v>70</v>
      </c>
      <c r="O77" s="498"/>
      <c r="P77" s="573"/>
      <c r="Q77" s="566"/>
      <c r="R77" s="568"/>
      <c r="S77" s="529"/>
      <c r="T77" s="570"/>
      <c r="U77" s="529"/>
      <c r="V77" s="428"/>
      <c r="W77" s="529"/>
      <c r="X77" s="435"/>
      <c r="Y77" s="445"/>
      <c r="Z77" s="671"/>
      <c r="AA77" s="670"/>
      <c r="AB77" s="460"/>
      <c r="AC77" s="440"/>
      <c r="AD77" s="460"/>
      <c r="AE77" s="440"/>
      <c r="AF77" s="460"/>
      <c r="AG77" s="440"/>
      <c r="AH77" s="671"/>
      <c r="AI77" s="669"/>
    </row>
    <row r="78" spans="1:35" ht="73.5" customHeight="1">
      <c r="A78" s="669"/>
      <c r="B78" s="670"/>
      <c r="C78" s="456"/>
      <c r="D78" s="546"/>
      <c r="E78" s="589"/>
      <c r="F78" s="564"/>
      <c r="G78" s="555"/>
      <c r="H78" s="508"/>
      <c r="I78" s="153" t="s">
        <v>1139</v>
      </c>
      <c r="J78" s="555"/>
      <c r="K78" s="510"/>
      <c r="L78" s="491"/>
      <c r="M78" s="494"/>
      <c r="N78" s="497"/>
      <c r="O78" s="499"/>
      <c r="P78" s="574"/>
      <c r="Q78" s="567"/>
      <c r="R78" s="569"/>
      <c r="S78" s="529"/>
      <c r="T78" s="571"/>
      <c r="U78" s="529"/>
      <c r="V78" s="452"/>
      <c r="W78" s="529"/>
      <c r="X78" s="436"/>
      <c r="Y78" s="445"/>
      <c r="Z78" s="671"/>
      <c r="AA78" s="670"/>
      <c r="AB78" s="460"/>
      <c r="AC78" s="440"/>
      <c r="AD78" s="460"/>
      <c r="AE78" s="440"/>
      <c r="AF78" s="460"/>
      <c r="AG78" s="440"/>
      <c r="AH78" s="671"/>
      <c r="AI78" s="669"/>
    </row>
    <row r="79" spans="1:35" ht="73.5" customHeight="1">
      <c r="A79" s="669"/>
      <c r="B79" s="670"/>
      <c r="C79" s="456"/>
      <c r="D79" s="547"/>
      <c r="E79" s="589"/>
      <c r="F79" s="565"/>
      <c r="G79" s="556"/>
      <c r="H79" s="384"/>
      <c r="I79" s="154" t="s">
        <v>1140</v>
      </c>
      <c r="J79" s="556"/>
      <c r="K79" s="382"/>
      <c r="L79" s="157"/>
      <c r="M79" s="157"/>
      <c r="N79" s="136" t="s">
        <v>71</v>
      </c>
      <c r="O79" s="535"/>
      <c r="P79" s="121"/>
      <c r="Q79" s="122"/>
      <c r="R79" s="123"/>
      <c r="S79" s="529"/>
      <c r="T79" s="572"/>
      <c r="U79" s="529"/>
      <c r="V79" s="429"/>
      <c r="W79" s="529"/>
      <c r="X79" s="437"/>
      <c r="Y79" s="445"/>
      <c r="Z79" s="671"/>
      <c r="AA79" s="670"/>
      <c r="AB79" s="460"/>
      <c r="AC79" s="440"/>
      <c r="AD79" s="460"/>
      <c r="AE79" s="440"/>
      <c r="AF79" s="460"/>
      <c r="AG79" s="440"/>
      <c r="AH79" s="94"/>
      <c r="AI79" s="94"/>
    </row>
    <row r="80" spans="1:35" ht="73.5" customHeight="1">
      <c r="A80" s="669"/>
      <c r="B80" s="670"/>
      <c r="C80" s="456"/>
      <c r="D80" s="545">
        <v>16</v>
      </c>
      <c r="E80" s="589"/>
      <c r="F80" s="563" t="s">
        <v>63</v>
      </c>
      <c r="G80" s="554" t="s">
        <v>1124</v>
      </c>
      <c r="H80" s="383" t="s">
        <v>1141</v>
      </c>
      <c r="I80" s="155" t="s">
        <v>1142</v>
      </c>
      <c r="J80" s="554" t="s">
        <v>1086</v>
      </c>
      <c r="K80" s="381" t="s">
        <v>137</v>
      </c>
      <c r="L80" s="557"/>
      <c r="M80" s="560"/>
      <c r="N80" s="495" t="s">
        <v>70</v>
      </c>
      <c r="O80" s="498"/>
      <c r="P80" s="501"/>
      <c r="Q80" s="489"/>
      <c r="R80" s="525"/>
      <c r="S80" s="529"/>
      <c r="T80" s="428"/>
      <c r="U80" s="529"/>
      <c r="V80" s="512"/>
      <c r="W80" s="529"/>
      <c r="X80" s="435"/>
      <c r="Y80" s="445"/>
      <c r="Z80" s="671"/>
      <c r="AA80" s="670"/>
      <c r="AB80" s="460"/>
      <c r="AC80" s="440"/>
      <c r="AD80" s="460"/>
      <c r="AE80" s="440"/>
      <c r="AF80" s="460"/>
      <c r="AG80" s="440"/>
      <c r="AH80" s="671"/>
      <c r="AI80" s="669"/>
    </row>
    <row r="81" spans="1:35" ht="73.5" customHeight="1">
      <c r="A81" s="669"/>
      <c r="B81" s="670"/>
      <c r="C81" s="456"/>
      <c r="D81" s="546"/>
      <c r="E81" s="589"/>
      <c r="F81" s="564"/>
      <c r="G81" s="555"/>
      <c r="H81" s="508"/>
      <c r="I81" s="156"/>
      <c r="J81" s="555"/>
      <c r="K81" s="510"/>
      <c r="L81" s="558"/>
      <c r="M81" s="561"/>
      <c r="N81" s="496"/>
      <c r="O81" s="499"/>
      <c r="P81" s="502"/>
      <c r="Q81" s="490"/>
      <c r="R81" s="526"/>
      <c r="S81" s="529"/>
      <c r="T81" s="452"/>
      <c r="U81" s="529"/>
      <c r="V81" s="513"/>
      <c r="W81" s="529"/>
      <c r="X81" s="436"/>
      <c r="Y81" s="445"/>
      <c r="Z81" s="671"/>
      <c r="AA81" s="670"/>
      <c r="AB81" s="460"/>
      <c r="AC81" s="440"/>
      <c r="AD81" s="460"/>
      <c r="AE81" s="440"/>
      <c r="AF81" s="460"/>
      <c r="AG81" s="440"/>
      <c r="AH81" s="671"/>
      <c r="AI81" s="669"/>
    </row>
    <row r="82" spans="1:35" ht="73.5" customHeight="1">
      <c r="A82" s="669"/>
      <c r="B82" s="670"/>
      <c r="C82" s="456"/>
      <c r="D82" s="546"/>
      <c r="E82" s="589"/>
      <c r="F82" s="564"/>
      <c r="G82" s="555"/>
      <c r="H82" s="508"/>
      <c r="I82" s="153" t="s">
        <v>1143</v>
      </c>
      <c r="J82" s="555"/>
      <c r="K82" s="510"/>
      <c r="L82" s="559"/>
      <c r="M82" s="562"/>
      <c r="N82" s="497"/>
      <c r="O82" s="499"/>
      <c r="P82" s="503"/>
      <c r="Q82" s="491"/>
      <c r="R82" s="527"/>
      <c r="S82" s="529"/>
      <c r="T82" s="452"/>
      <c r="U82" s="529"/>
      <c r="V82" s="513"/>
      <c r="W82" s="529"/>
      <c r="X82" s="436"/>
      <c r="Y82" s="445"/>
      <c r="Z82" s="671"/>
      <c r="AA82" s="670"/>
      <c r="AB82" s="460"/>
      <c r="AC82" s="440"/>
      <c r="AD82" s="460"/>
      <c r="AE82" s="440"/>
      <c r="AF82" s="460"/>
      <c r="AG82" s="440"/>
      <c r="AH82" s="671"/>
      <c r="AI82" s="669"/>
    </row>
    <row r="83" spans="1:35" ht="73.5" customHeight="1">
      <c r="A83" s="669"/>
      <c r="B83" s="670"/>
      <c r="C83" s="456"/>
      <c r="D83" s="547"/>
      <c r="E83" s="589"/>
      <c r="F83" s="565"/>
      <c r="G83" s="556"/>
      <c r="H83" s="384"/>
      <c r="I83" s="154" t="s">
        <v>1144</v>
      </c>
      <c r="J83" s="556"/>
      <c r="K83" s="382"/>
      <c r="L83" s="175"/>
      <c r="M83" s="175"/>
      <c r="N83" s="136" t="s">
        <v>71</v>
      </c>
      <c r="O83" s="535"/>
      <c r="P83" s="118">
        <v>0.33</v>
      </c>
      <c r="Q83" s="119">
        <v>0.33</v>
      </c>
      <c r="R83" s="120">
        <v>0.33</v>
      </c>
      <c r="S83" s="529"/>
      <c r="T83" s="429"/>
      <c r="U83" s="529"/>
      <c r="V83" s="514"/>
      <c r="W83" s="529"/>
      <c r="X83" s="437"/>
      <c r="Y83" s="445"/>
      <c r="Z83" s="671"/>
      <c r="AA83" s="670"/>
      <c r="AB83" s="460"/>
      <c r="AC83" s="440"/>
      <c r="AD83" s="460"/>
      <c r="AE83" s="440"/>
      <c r="AF83" s="460"/>
      <c r="AG83" s="440"/>
      <c r="AH83" s="94"/>
      <c r="AI83" s="94"/>
    </row>
    <row r="84" spans="1:35" ht="73.5" customHeight="1">
      <c r="A84" s="669"/>
      <c r="B84" s="670"/>
      <c r="C84" s="456"/>
      <c r="D84" s="545">
        <v>17</v>
      </c>
      <c r="E84" s="589"/>
      <c r="F84" s="551" t="s">
        <v>1145</v>
      </c>
      <c r="G84" s="554" t="s">
        <v>1124</v>
      </c>
      <c r="H84" s="383" t="s">
        <v>1146</v>
      </c>
      <c r="I84" s="155" t="s">
        <v>1147</v>
      </c>
      <c r="J84" s="554" t="s">
        <v>1086</v>
      </c>
      <c r="K84" s="381" t="s">
        <v>137</v>
      </c>
      <c r="L84" s="489"/>
      <c r="M84" s="492"/>
      <c r="N84" s="465" t="s">
        <v>70</v>
      </c>
      <c r="O84" s="548"/>
      <c r="P84" s="501"/>
      <c r="Q84" s="489"/>
      <c r="R84" s="525"/>
      <c r="S84" s="529"/>
      <c r="T84" s="428"/>
      <c r="U84" s="529"/>
      <c r="V84" s="512"/>
      <c r="W84" s="529"/>
      <c r="X84" s="435"/>
      <c r="Y84" s="445"/>
      <c r="Z84" s="671"/>
      <c r="AA84" s="670"/>
      <c r="AB84" s="460"/>
      <c r="AC84" s="440"/>
      <c r="AD84" s="460"/>
      <c r="AE84" s="440"/>
      <c r="AF84" s="460"/>
      <c r="AG84" s="440"/>
      <c r="AH84" s="671"/>
      <c r="AI84" s="669"/>
    </row>
    <row r="85" spans="1:35" ht="73.5" customHeight="1">
      <c r="A85" s="669"/>
      <c r="B85" s="670"/>
      <c r="C85" s="456"/>
      <c r="D85" s="546"/>
      <c r="E85" s="589"/>
      <c r="F85" s="552"/>
      <c r="G85" s="555"/>
      <c r="H85" s="508"/>
      <c r="I85" s="156"/>
      <c r="J85" s="555"/>
      <c r="K85" s="510"/>
      <c r="L85" s="490"/>
      <c r="M85" s="493"/>
      <c r="N85" s="479"/>
      <c r="O85" s="549"/>
      <c r="P85" s="502"/>
      <c r="Q85" s="490"/>
      <c r="R85" s="526"/>
      <c r="S85" s="529"/>
      <c r="T85" s="452"/>
      <c r="U85" s="529"/>
      <c r="V85" s="513"/>
      <c r="W85" s="529"/>
      <c r="X85" s="436"/>
      <c r="Y85" s="445"/>
      <c r="Z85" s="671"/>
      <c r="AA85" s="670"/>
      <c r="AB85" s="460"/>
      <c r="AC85" s="440"/>
      <c r="AD85" s="460"/>
      <c r="AE85" s="440"/>
      <c r="AF85" s="460"/>
      <c r="AG85" s="440"/>
      <c r="AH85" s="671"/>
      <c r="AI85" s="669"/>
    </row>
    <row r="86" spans="1:35" ht="73.5" customHeight="1">
      <c r="A86" s="669"/>
      <c r="B86" s="670"/>
      <c r="C86" s="456"/>
      <c r="D86" s="546"/>
      <c r="E86" s="589"/>
      <c r="F86" s="552"/>
      <c r="G86" s="555"/>
      <c r="H86" s="508"/>
      <c r="I86" s="153" t="s">
        <v>1148</v>
      </c>
      <c r="J86" s="555"/>
      <c r="K86" s="510"/>
      <c r="L86" s="491"/>
      <c r="M86" s="494"/>
      <c r="N86" s="466"/>
      <c r="O86" s="549"/>
      <c r="P86" s="503"/>
      <c r="Q86" s="491"/>
      <c r="R86" s="527"/>
      <c r="S86" s="529"/>
      <c r="T86" s="452"/>
      <c r="U86" s="529"/>
      <c r="V86" s="513"/>
      <c r="W86" s="529"/>
      <c r="X86" s="437"/>
      <c r="Y86" s="445"/>
      <c r="Z86" s="671"/>
      <c r="AA86" s="670"/>
      <c r="AB86" s="460"/>
      <c r="AC86" s="440"/>
      <c r="AD86" s="460"/>
      <c r="AE86" s="440"/>
      <c r="AF86" s="460"/>
      <c r="AG86" s="440"/>
      <c r="AH86" s="671"/>
      <c r="AI86" s="669"/>
    </row>
    <row r="87" spans="1:35" ht="73.5" customHeight="1">
      <c r="A87" s="669"/>
      <c r="B87" s="670"/>
      <c r="C87" s="456"/>
      <c r="D87" s="547"/>
      <c r="E87" s="589"/>
      <c r="F87" s="553"/>
      <c r="G87" s="556"/>
      <c r="H87" s="384"/>
      <c r="I87" s="153" t="s">
        <v>1149</v>
      </c>
      <c r="J87" s="556"/>
      <c r="K87" s="382"/>
      <c r="L87" s="175"/>
      <c r="M87" s="175"/>
      <c r="N87" s="136" t="s">
        <v>71</v>
      </c>
      <c r="O87" s="550"/>
      <c r="P87" s="121"/>
      <c r="Q87" s="119">
        <v>0.5</v>
      </c>
      <c r="R87" s="120">
        <v>0.5</v>
      </c>
      <c r="S87" s="529"/>
      <c r="T87" s="429"/>
      <c r="U87" s="529"/>
      <c r="V87" s="514"/>
      <c r="W87" s="529"/>
      <c r="X87" s="158"/>
      <c r="Y87" s="445"/>
      <c r="Z87" s="671"/>
      <c r="AA87" s="670"/>
      <c r="AB87" s="460"/>
      <c r="AC87" s="440"/>
      <c r="AD87" s="460"/>
      <c r="AE87" s="440"/>
      <c r="AF87" s="460"/>
      <c r="AG87" s="440"/>
      <c r="AH87" s="94"/>
      <c r="AI87" s="94"/>
    </row>
    <row r="88" spans="1:35" ht="73.5" customHeight="1">
      <c r="A88" s="669"/>
      <c r="B88" s="670"/>
      <c r="C88" s="456"/>
      <c r="D88" s="545">
        <v>18</v>
      </c>
      <c r="E88" s="589"/>
      <c r="F88" s="505" t="s">
        <v>12</v>
      </c>
      <c r="G88" s="383" t="s">
        <v>1124</v>
      </c>
      <c r="H88" s="383" t="s">
        <v>1150</v>
      </c>
      <c r="I88" s="159" t="s">
        <v>1151</v>
      </c>
      <c r="J88" s="381" t="s">
        <v>1086</v>
      </c>
      <c r="K88" s="381" t="s">
        <v>137</v>
      </c>
      <c r="L88" s="539">
        <v>44927</v>
      </c>
      <c r="M88" s="542">
        <v>45321</v>
      </c>
      <c r="N88" s="495" t="s">
        <v>70</v>
      </c>
      <c r="O88" s="498"/>
      <c r="P88" s="501"/>
      <c r="Q88" s="489"/>
      <c r="R88" s="525"/>
      <c r="S88" s="529"/>
      <c r="T88" s="428"/>
      <c r="U88" s="529"/>
      <c r="V88" s="512"/>
      <c r="W88" s="529"/>
      <c r="X88" s="435"/>
      <c r="Y88" s="445"/>
      <c r="Z88" s="671"/>
      <c r="AA88" s="670"/>
      <c r="AB88" s="460"/>
      <c r="AC88" s="440"/>
      <c r="AD88" s="460"/>
      <c r="AE88" s="440"/>
      <c r="AF88" s="460"/>
      <c r="AG88" s="440"/>
      <c r="AH88" s="671"/>
      <c r="AI88" s="669"/>
    </row>
    <row r="89" spans="1:35" ht="73.5" customHeight="1">
      <c r="A89" s="669"/>
      <c r="B89" s="670"/>
      <c r="C89" s="456"/>
      <c r="D89" s="546"/>
      <c r="E89" s="589"/>
      <c r="F89" s="506"/>
      <c r="G89" s="508"/>
      <c r="H89" s="508"/>
      <c r="I89" s="160"/>
      <c r="J89" s="510"/>
      <c r="K89" s="510"/>
      <c r="L89" s="540"/>
      <c r="M89" s="543"/>
      <c r="N89" s="496"/>
      <c r="O89" s="499"/>
      <c r="P89" s="502"/>
      <c r="Q89" s="490"/>
      <c r="R89" s="526"/>
      <c r="S89" s="529"/>
      <c r="T89" s="452"/>
      <c r="U89" s="529"/>
      <c r="V89" s="513"/>
      <c r="W89" s="529"/>
      <c r="X89" s="436"/>
      <c r="Y89" s="445"/>
      <c r="Z89" s="671"/>
      <c r="AA89" s="670"/>
      <c r="AB89" s="460"/>
      <c r="AC89" s="440"/>
      <c r="AD89" s="460"/>
      <c r="AE89" s="440"/>
      <c r="AF89" s="460"/>
      <c r="AG89" s="440"/>
      <c r="AH89" s="671"/>
      <c r="AI89" s="669"/>
    </row>
    <row r="90" spans="1:35" ht="73.5" customHeight="1">
      <c r="A90" s="669"/>
      <c r="B90" s="670"/>
      <c r="C90" s="456"/>
      <c r="D90" s="546"/>
      <c r="E90" s="589"/>
      <c r="F90" s="506"/>
      <c r="G90" s="508"/>
      <c r="H90" s="508"/>
      <c r="I90" s="161" t="s">
        <v>1152</v>
      </c>
      <c r="J90" s="510"/>
      <c r="K90" s="510"/>
      <c r="L90" s="541"/>
      <c r="M90" s="544"/>
      <c r="N90" s="497"/>
      <c r="O90" s="499"/>
      <c r="P90" s="503"/>
      <c r="Q90" s="491"/>
      <c r="R90" s="527"/>
      <c r="S90" s="529"/>
      <c r="T90" s="452"/>
      <c r="U90" s="529"/>
      <c r="V90" s="513"/>
      <c r="W90" s="529"/>
      <c r="X90" s="437"/>
      <c r="Y90" s="445"/>
      <c r="Z90" s="671"/>
      <c r="AA90" s="670"/>
      <c r="AB90" s="460"/>
      <c r="AC90" s="440"/>
      <c r="AD90" s="460"/>
      <c r="AE90" s="440"/>
      <c r="AF90" s="460"/>
      <c r="AG90" s="440"/>
      <c r="AH90" s="671"/>
      <c r="AI90" s="669"/>
    </row>
    <row r="91" spans="1:35" ht="73.5" customHeight="1" thickBot="1">
      <c r="A91" s="669"/>
      <c r="B91" s="670"/>
      <c r="C91" s="457"/>
      <c r="D91" s="547"/>
      <c r="E91" s="590"/>
      <c r="F91" s="538"/>
      <c r="G91" s="384"/>
      <c r="H91" s="384"/>
      <c r="I91" s="163" t="s">
        <v>1153</v>
      </c>
      <c r="J91" s="382"/>
      <c r="K91" s="382"/>
      <c r="L91" s="164">
        <v>44927</v>
      </c>
      <c r="M91" s="164">
        <v>45321</v>
      </c>
      <c r="N91" s="136" t="s">
        <v>71</v>
      </c>
      <c r="O91" s="535"/>
      <c r="P91" s="121"/>
      <c r="Q91" s="122"/>
      <c r="R91" s="123"/>
      <c r="S91" s="578"/>
      <c r="T91" s="429"/>
      <c r="U91" s="578"/>
      <c r="V91" s="514"/>
      <c r="W91" s="578"/>
      <c r="X91" s="152"/>
      <c r="Y91" s="446"/>
      <c r="Z91" s="671"/>
      <c r="AA91" s="670"/>
      <c r="AB91" s="460"/>
      <c r="AC91" s="440"/>
      <c r="AD91" s="460"/>
      <c r="AE91" s="440"/>
      <c r="AF91" s="460"/>
      <c r="AG91" s="440"/>
      <c r="AH91" s="94"/>
      <c r="AI91" s="94"/>
    </row>
    <row r="92" spans="1:35" ht="73.5" customHeight="1">
      <c r="A92" s="669"/>
      <c r="B92" s="670"/>
      <c r="C92" s="480"/>
      <c r="D92" s="481">
        <v>19</v>
      </c>
      <c r="E92" s="536">
        <v>5</v>
      </c>
      <c r="F92" s="505" t="s">
        <v>12</v>
      </c>
      <c r="G92" s="383" t="s">
        <v>1154</v>
      </c>
      <c r="H92" s="383" t="s">
        <v>1155</v>
      </c>
      <c r="I92" s="155" t="s">
        <v>1156</v>
      </c>
      <c r="J92" s="381" t="s">
        <v>1157</v>
      </c>
      <c r="K92" s="381" t="s">
        <v>137</v>
      </c>
      <c r="L92" s="489"/>
      <c r="M92" s="492"/>
      <c r="N92" s="495" t="s">
        <v>70</v>
      </c>
      <c r="O92" s="498"/>
      <c r="P92" s="501"/>
      <c r="Q92" s="489"/>
      <c r="R92" s="525"/>
      <c r="S92" s="528"/>
      <c r="T92" s="531"/>
      <c r="U92" s="528"/>
      <c r="V92" s="512"/>
      <c r="W92" s="515"/>
      <c r="X92" s="518"/>
      <c r="Y92" s="521"/>
      <c r="Z92" s="671"/>
      <c r="AA92" s="670"/>
      <c r="AB92" s="460"/>
      <c r="AC92" s="459"/>
      <c r="AD92" s="460"/>
      <c r="AE92" s="459"/>
      <c r="AF92" s="460"/>
      <c r="AG92" s="459"/>
      <c r="AH92" s="671"/>
      <c r="AI92" s="669"/>
    </row>
    <row r="93" spans="1:35" ht="73.5" customHeight="1">
      <c r="A93" s="669"/>
      <c r="B93" s="670"/>
      <c r="C93" s="456"/>
      <c r="D93" s="482"/>
      <c r="E93" s="537"/>
      <c r="F93" s="506"/>
      <c r="G93" s="508"/>
      <c r="H93" s="508"/>
      <c r="I93" s="156"/>
      <c r="J93" s="510"/>
      <c r="K93" s="510"/>
      <c r="L93" s="490"/>
      <c r="M93" s="493"/>
      <c r="N93" s="496"/>
      <c r="O93" s="499"/>
      <c r="P93" s="502"/>
      <c r="Q93" s="490"/>
      <c r="R93" s="526"/>
      <c r="S93" s="529"/>
      <c r="T93" s="532"/>
      <c r="U93" s="529"/>
      <c r="V93" s="513"/>
      <c r="W93" s="516"/>
      <c r="X93" s="519"/>
      <c r="Y93" s="445"/>
      <c r="Z93" s="671"/>
      <c r="AA93" s="670"/>
      <c r="AB93" s="460"/>
      <c r="AC93" s="459"/>
      <c r="AD93" s="460"/>
      <c r="AE93" s="459"/>
      <c r="AF93" s="460"/>
      <c r="AG93" s="459"/>
      <c r="AH93" s="671"/>
      <c r="AI93" s="669"/>
    </row>
    <row r="94" spans="1:35" ht="73.5" customHeight="1">
      <c r="A94" s="669"/>
      <c r="B94" s="670"/>
      <c r="C94" s="456"/>
      <c r="D94" s="482"/>
      <c r="E94" s="537"/>
      <c r="F94" s="506"/>
      <c r="G94" s="508"/>
      <c r="H94" s="508"/>
      <c r="I94" s="153" t="s">
        <v>1158</v>
      </c>
      <c r="J94" s="510"/>
      <c r="K94" s="510"/>
      <c r="L94" s="491"/>
      <c r="M94" s="494"/>
      <c r="N94" s="497"/>
      <c r="O94" s="499"/>
      <c r="P94" s="503"/>
      <c r="Q94" s="491"/>
      <c r="R94" s="527"/>
      <c r="S94" s="529"/>
      <c r="T94" s="532"/>
      <c r="U94" s="529"/>
      <c r="V94" s="513"/>
      <c r="W94" s="516"/>
      <c r="X94" s="519"/>
      <c r="Y94" s="445"/>
      <c r="Z94" s="671"/>
      <c r="AA94" s="670"/>
      <c r="AB94" s="460"/>
      <c r="AC94" s="459"/>
      <c r="AD94" s="460"/>
      <c r="AE94" s="459"/>
      <c r="AF94" s="460"/>
      <c r="AG94" s="459"/>
      <c r="AH94" s="671"/>
      <c r="AI94" s="669"/>
    </row>
    <row r="95" spans="1:35" ht="73.5" customHeight="1">
      <c r="A95" s="669"/>
      <c r="B95" s="670"/>
      <c r="C95" s="456"/>
      <c r="D95" s="504"/>
      <c r="E95" s="537"/>
      <c r="F95" s="538"/>
      <c r="G95" s="384"/>
      <c r="H95" s="384"/>
      <c r="I95" s="154" t="s">
        <v>1159</v>
      </c>
      <c r="J95" s="382"/>
      <c r="K95" s="382"/>
      <c r="L95" s="165"/>
      <c r="M95" s="165"/>
      <c r="N95" s="136" t="s">
        <v>71</v>
      </c>
      <c r="O95" s="535"/>
      <c r="P95" s="166"/>
      <c r="Q95" s="167"/>
      <c r="R95" s="168"/>
      <c r="S95" s="529"/>
      <c r="T95" s="533"/>
      <c r="U95" s="529"/>
      <c r="V95" s="514"/>
      <c r="W95" s="516"/>
      <c r="X95" s="520"/>
      <c r="Y95" s="445"/>
      <c r="Z95" s="671"/>
      <c r="AA95" s="670"/>
      <c r="AB95" s="460"/>
      <c r="AC95" s="459"/>
      <c r="AD95" s="460"/>
      <c r="AE95" s="459"/>
      <c r="AF95" s="460"/>
      <c r="AG95" s="459"/>
      <c r="AH95" s="94"/>
      <c r="AI95" s="94"/>
    </row>
    <row r="96" spans="1:35" ht="73.5" customHeight="1">
      <c r="A96" s="669"/>
      <c r="B96" s="670"/>
      <c r="C96" s="456"/>
      <c r="D96" s="481">
        <v>20</v>
      </c>
      <c r="E96" s="537"/>
      <c r="F96" s="505" t="s">
        <v>12</v>
      </c>
      <c r="G96" s="383" t="s">
        <v>1154</v>
      </c>
      <c r="H96" s="383" t="s">
        <v>1160</v>
      </c>
      <c r="I96" s="155" t="s">
        <v>1161</v>
      </c>
      <c r="J96" s="381" t="s">
        <v>1157</v>
      </c>
      <c r="K96" s="381" t="s">
        <v>137</v>
      </c>
      <c r="L96" s="489"/>
      <c r="M96" s="492"/>
      <c r="N96" s="495" t="s">
        <v>70</v>
      </c>
      <c r="O96" s="498"/>
      <c r="P96" s="501"/>
      <c r="Q96" s="489"/>
      <c r="R96" s="525"/>
      <c r="S96" s="529"/>
      <c r="T96" s="531"/>
      <c r="U96" s="529"/>
      <c r="V96" s="512"/>
      <c r="W96" s="516"/>
      <c r="X96" s="524"/>
      <c r="Y96" s="445"/>
      <c r="Z96" s="671"/>
      <c r="AA96" s="670"/>
      <c r="AB96" s="460"/>
      <c r="AC96" s="459"/>
      <c r="AD96" s="460"/>
      <c r="AE96" s="459"/>
      <c r="AF96" s="460"/>
      <c r="AG96" s="459"/>
      <c r="AH96" s="671"/>
      <c r="AI96" s="669"/>
    </row>
    <row r="97" spans="1:35" ht="73.5" customHeight="1">
      <c r="A97" s="669"/>
      <c r="B97" s="670"/>
      <c r="C97" s="456"/>
      <c r="D97" s="482"/>
      <c r="E97" s="537"/>
      <c r="F97" s="506"/>
      <c r="G97" s="508"/>
      <c r="H97" s="508"/>
      <c r="I97" s="156"/>
      <c r="J97" s="510"/>
      <c r="K97" s="510"/>
      <c r="L97" s="490"/>
      <c r="M97" s="493"/>
      <c r="N97" s="496"/>
      <c r="O97" s="499"/>
      <c r="P97" s="502"/>
      <c r="Q97" s="490"/>
      <c r="R97" s="526"/>
      <c r="S97" s="529"/>
      <c r="T97" s="532"/>
      <c r="U97" s="529"/>
      <c r="V97" s="513"/>
      <c r="W97" s="516"/>
      <c r="X97" s="519"/>
      <c r="Y97" s="445"/>
      <c r="Z97" s="671"/>
      <c r="AA97" s="670"/>
      <c r="AB97" s="460"/>
      <c r="AC97" s="459"/>
      <c r="AD97" s="460"/>
      <c r="AE97" s="459"/>
      <c r="AF97" s="460"/>
      <c r="AG97" s="459"/>
      <c r="AH97" s="671"/>
      <c r="AI97" s="669"/>
    </row>
    <row r="98" spans="1:35" ht="73.5" customHeight="1">
      <c r="A98" s="669"/>
      <c r="B98" s="670"/>
      <c r="C98" s="456"/>
      <c r="D98" s="482"/>
      <c r="E98" s="537"/>
      <c r="F98" s="506"/>
      <c r="G98" s="508"/>
      <c r="H98" s="508"/>
      <c r="I98" s="153" t="s">
        <v>1158</v>
      </c>
      <c r="J98" s="510"/>
      <c r="K98" s="510"/>
      <c r="L98" s="491"/>
      <c r="M98" s="494"/>
      <c r="N98" s="497"/>
      <c r="O98" s="499"/>
      <c r="P98" s="503"/>
      <c r="Q98" s="491"/>
      <c r="R98" s="527"/>
      <c r="S98" s="529"/>
      <c r="T98" s="532"/>
      <c r="U98" s="529"/>
      <c r="V98" s="513"/>
      <c r="W98" s="516"/>
      <c r="X98" s="520"/>
      <c r="Y98" s="445"/>
      <c r="Z98" s="671"/>
      <c r="AA98" s="670"/>
      <c r="AB98" s="460"/>
      <c r="AC98" s="459"/>
      <c r="AD98" s="460"/>
      <c r="AE98" s="459"/>
      <c r="AF98" s="460"/>
      <c r="AG98" s="459"/>
      <c r="AH98" s="671"/>
      <c r="AI98" s="669"/>
    </row>
    <row r="99" spans="1:35" ht="73.5" customHeight="1">
      <c r="A99" s="669"/>
      <c r="B99" s="670"/>
      <c r="C99" s="457"/>
      <c r="D99" s="504"/>
      <c r="E99" s="537"/>
      <c r="F99" s="507"/>
      <c r="G99" s="509"/>
      <c r="H99" s="509"/>
      <c r="I99" s="154" t="s">
        <v>1159</v>
      </c>
      <c r="J99" s="511"/>
      <c r="K99" s="511"/>
      <c r="L99" s="165"/>
      <c r="M99" s="165"/>
      <c r="N99" s="171" t="s">
        <v>71</v>
      </c>
      <c r="O99" s="500"/>
      <c r="P99" s="166"/>
      <c r="Q99" s="167"/>
      <c r="R99" s="168"/>
      <c r="S99" s="530"/>
      <c r="T99" s="534"/>
      <c r="U99" s="530"/>
      <c r="V99" s="523"/>
      <c r="W99" s="517"/>
      <c r="X99" s="169"/>
      <c r="Y99" s="522"/>
      <c r="Z99" s="671"/>
      <c r="AA99" s="670"/>
      <c r="AB99" s="460"/>
      <c r="AC99" s="459"/>
      <c r="AD99" s="460"/>
      <c r="AE99" s="459"/>
      <c r="AF99" s="460"/>
      <c r="AG99" s="459"/>
      <c r="AH99" s="94"/>
      <c r="AI99" s="94"/>
    </row>
    <row r="100" spans="1:35" ht="73.5" customHeight="1">
      <c r="A100" s="669"/>
      <c r="B100" s="670"/>
      <c r="C100" s="480"/>
      <c r="D100" s="481"/>
      <c r="E100" s="537"/>
      <c r="F100" s="483" t="s">
        <v>1162</v>
      </c>
      <c r="G100" s="485" t="s">
        <v>1154</v>
      </c>
      <c r="H100" s="485" t="s">
        <v>1163</v>
      </c>
      <c r="I100" s="487" t="s">
        <v>1164</v>
      </c>
      <c r="J100" s="170"/>
      <c r="K100" s="473" t="s">
        <v>137</v>
      </c>
      <c r="L100" s="475">
        <v>44927</v>
      </c>
      <c r="M100" s="475">
        <v>45291</v>
      </c>
      <c r="N100" s="477" t="s">
        <v>71</v>
      </c>
      <c r="O100" s="465"/>
      <c r="P100" s="467"/>
      <c r="Q100" s="467"/>
      <c r="R100" s="467"/>
      <c r="S100" s="461"/>
      <c r="T100" s="469"/>
      <c r="U100" s="461"/>
      <c r="V100" s="471"/>
      <c r="W100" s="461"/>
      <c r="X100" s="463"/>
      <c r="Y100" s="465"/>
      <c r="Z100" s="675"/>
      <c r="AA100" s="676"/>
      <c r="AB100" s="460"/>
      <c r="AC100" s="459"/>
      <c r="AD100" s="460"/>
      <c r="AE100" s="459"/>
      <c r="AF100" s="460"/>
      <c r="AG100" s="459"/>
      <c r="AH100" s="671"/>
      <c r="AI100" s="669"/>
    </row>
    <row r="101" spans="1:35" ht="73.5" customHeight="1">
      <c r="A101" s="669"/>
      <c r="B101" s="670"/>
      <c r="C101" s="456"/>
      <c r="D101" s="482"/>
      <c r="E101" s="537"/>
      <c r="F101" s="484"/>
      <c r="G101" s="486"/>
      <c r="H101" s="486"/>
      <c r="I101" s="488"/>
      <c r="J101" s="172" t="s">
        <v>1165</v>
      </c>
      <c r="K101" s="474"/>
      <c r="L101" s="476"/>
      <c r="M101" s="476"/>
      <c r="N101" s="478"/>
      <c r="O101" s="479"/>
      <c r="P101" s="468"/>
      <c r="Q101" s="468"/>
      <c r="R101" s="468"/>
      <c r="S101" s="462"/>
      <c r="T101" s="470"/>
      <c r="U101" s="462"/>
      <c r="V101" s="472"/>
      <c r="W101" s="462"/>
      <c r="X101" s="464"/>
      <c r="Y101" s="466"/>
      <c r="Z101" s="677"/>
      <c r="AA101" s="676"/>
      <c r="AB101" s="460"/>
      <c r="AC101" s="459"/>
      <c r="AD101" s="460"/>
      <c r="AE101" s="459"/>
      <c r="AF101" s="460"/>
      <c r="AG101" s="459"/>
      <c r="AH101" s="671"/>
      <c r="AI101" s="669"/>
    </row>
    <row r="102" spans="1:35" ht="73.5" customHeight="1">
      <c r="A102" s="669"/>
      <c r="B102" s="670"/>
      <c r="C102" s="456"/>
      <c r="D102" s="432">
        <v>21</v>
      </c>
      <c r="E102" s="458">
        <v>6</v>
      </c>
      <c r="F102" s="433" t="s">
        <v>74</v>
      </c>
      <c r="G102" s="433" t="s">
        <v>1166</v>
      </c>
      <c r="H102" s="433" t="s">
        <v>1167</v>
      </c>
      <c r="I102" s="173" t="s">
        <v>1168</v>
      </c>
      <c r="J102" s="426" t="s">
        <v>1169</v>
      </c>
      <c r="K102" s="426" t="s">
        <v>137</v>
      </c>
      <c r="L102" s="439">
        <v>44927</v>
      </c>
      <c r="M102" s="439">
        <v>45291</v>
      </c>
      <c r="N102" s="427" t="s">
        <v>70</v>
      </c>
      <c r="O102" s="427"/>
      <c r="P102" s="427"/>
      <c r="Q102" s="434"/>
      <c r="R102" s="427"/>
      <c r="S102" s="448"/>
      <c r="T102" s="451"/>
      <c r="U102" s="453"/>
      <c r="V102" s="451"/>
      <c r="W102" s="453"/>
      <c r="X102" s="443"/>
      <c r="Y102" s="444"/>
      <c r="Z102" s="671"/>
      <c r="AA102" s="670"/>
      <c r="AB102" s="441">
        <v>0</v>
      </c>
      <c r="AC102" s="440">
        <v>0</v>
      </c>
      <c r="AD102" s="441">
        <v>0</v>
      </c>
      <c r="AE102" s="440">
        <v>0</v>
      </c>
      <c r="AF102" s="441">
        <v>0</v>
      </c>
      <c r="AG102" s="440">
        <v>0</v>
      </c>
      <c r="AH102" s="671"/>
      <c r="AI102" s="669"/>
    </row>
    <row r="103" spans="1:35" ht="73.5" customHeight="1">
      <c r="A103" s="669"/>
      <c r="B103" s="670"/>
      <c r="C103" s="456"/>
      <c r="D103" s="432"/>
      <c r="E103" s="458"/>
      <c r="F103" s="433"/>
      <c r="G103" s="433"/>
      <c r="H103" s="433"/>
      <c r="I103" s="173"/>
      <c r="J103" s="426"/>
      <c r="K103" s="426"/>
      <c r="L103" s="439"/>
      <c r="M103" s="439"/>
      <c r="N103" s="427"/>
      <c r="O103" s="427"/>
      <c r="P103" s="427"/>
      <c r="Q103" s="434"/>
      <c r="R103" s="427"/>
      <c r="S103" s="449"/>
      <c r="T103" s="452"/>
      <c r="U103" s="454"/>
      <c r="V103" s="452"/>
      <c r="W103" s="454"/>
      <c r="X103" s="436"/>
      <c r="Y103" s="445"/>
      <c r="Z103" s="671"/>
      <c r="AA103" s="670"/>
      <c r="AB103" s="441"/>
      <c r="AC103" s="440"/>
      <c r="AD103" s="441"/>
      <c r="AE103" s="440"/>
      <c r="AF103" s="441"/>
      <c r="AG103" s="440"/>
      <c r="AH103" s="671"/>
      <c r="AI103" s="669"/>
    </row>
    <row r="104" spans="1:35" ht="73.5" customHeight="1">
      <c r="A104" s="669"/>
      <c r="B104" s="670"/>
      <c r="C104" s="456"/>
      <c r="D104" s="432"/>
      <c r="E104" s="458"/>
      <c r="F104" s="433"/>
      <c r="G104" s="433"/>
      <c r="H104" s="433"/>
      <c r="I104" s="173" t="s">
        <v>1170</v>
      </c>
      <c r="J104" s="426"/>
      <c r="K104" s="426"/>
      <c r="L104" s="174">
        <v>44927</v>
      </c>
      <c r="M104" s="174">
        <v>45291</v>
      </c>
      <c r="N104" s="177" t="s">
        <v>71</v>
      </c>
      <c r="O104" s="427"/>
      <c r="P104" s="119">
        <v>0.33</v>
      </c>
      <c r="Q104" s="119">
        <v>0.33</v>
      </c>
      <c r="R104" s="119">
        <v>0.34</v>
      </c>
      <c r="S104" s="449"/>
      <c r="T104" s="429"/>
      <c r="U104" s="454"/>
      <c r="V104" s="429"/>
      <c r="W104" s="454"/>
      <c r="X104" s="437"/>
      <c r="Y104" s="445"/>
      <c r="Z104" s="671"/>
      <c r="AA104" s="670"/>
      <c r="AB104" s="441"/>
      <c r="AC104" s="440"/>
      <c r="AD104" s="441"/>
      <c r="AE104" s="440"/>
      <c r="AF104" s="441"/>
      <c r="AG104" s="440"/>
      <c r="AH104" s="94"/>
      <c r="AI104" s="94"/>
    </row>
    <row r="105" spans="1:35" ht="73.5" customHeight="1">
      <c r="A105" s="669"/>
      <c r="B105" s="670"/>
      <c r="C105" s="456"/>
      <c r="D105" s="432">
        <v>22</v>
      </c>
      <c r="E105" s="458"/>
      <c r="F105" s="433" t="s">
        <v>74</v>
      </c>
      <c r="G105" s="433" t="s">
        <v>1166</v>
      </c>
      <c r="H105" s="433" t="s">
        <v>1171</v>
      </c>
      <c r="I105" s="173" t="s">
        <v>1172</v>
      </c>
      <c r="J105" s="438" t="s">
        <v>1173</v>
      </c>
      <c r="K105" s="426" t="s">
        <v>137</v>
      </c>
      <c r="L105" s="439">
        <v>44927</v>
      </c>
      <c r="M105" s="439">
        <v>45291</v>
      </c>
      <c r="N105" s="427" t="s">
        <v>70</v>
      </c>
      <c r="O105" s="427"/>
      <c r="P105" s="427"/>
      <c r="Q105" s="434"/>
      <c r="R105" s="427"/>
      <c r="S105" s="449"/>
      <c r="T105" s="435"/>
      <c r="U105" s="454"/>
      <c r="V105" s="435"/>
      <c r="W105" s="454"/>
      <c r="X105" s="435"/>
      <c r="Y105" s="445"/>
      <c r="Z105" s="671"/>
      <c r="AA105" s="670"/>
      <c r="AB105" s="441"/>
      <c r="AC105" s="440"/>
      <c r="AD105" s="441"/>
      <c r="AE105" s="440"/>
      <c r="AF105" s="441"/>
      <c r="AG105" s="440"/>
      <c r="AH105" s="671"/>
      <c r="AI105" s="669"/>
    </row>
    <row r="106" spans="1:35" ht="73.5" customHeight="1">
      <c r="A106" s="669"/>
      <c r="B106" s="670"/>
      <c r="C106" s="456"/>
      <c r="D106" s="432"/>
      <c r="E106" s="458"/>
      <c r="F106" s="433"/>
      <c r="G106" s="433"/>
      <c r="H106" s="433"/>
      <c r="I106" s="173"/>
      <c r="J106" s="438"/>
      <c r="K106" s="426"/>
      <c r="L106" s="439"/>
      <c r="M106" s="439"/>
      <c r="N106" s="427"/>
      <c r="O106" s="427"/>
      <c r="P106" s="427"/>
      <c r="Q106" s="434"/>
      <c r="R106" s="427"/>
      <c r="S106" s="449"/>
      <c r="T106" s="436"/>
      <c r="U106" s="454"/>
      <c r="V106" s="436"/>
      <c r="W106" s="454"/>
      <c r="X106" s="436"/>
      <c r="Y106" s="445"/>
      <c r="Z106" s="671"/>
      <c r="AA106" s="670"/>
      <c r="AB106" s="441"/>
      <c r="AC106" s="440"/>
      <c r="AD106" s="441"/>
      <c r="AE106" s="440"/>
      <c r="AF106" s="441"/>
      <c r="AG106" s="440"/>
      <c r="AH106" s="671"/>
      <c r="AI106" s="669"/>
    </row>
    <row r="107" spans="1:35" ht="73.5" customHeight="1">
      <c r="A107" s="669"/>
      <c r="B107" s="670"/>
      <c r="C107" s="456"/>
      <c r="D107" s="432"/>
      <c r="E107" s="458"/>
      <c r="F107" s="433"/>
      <c r="G107" s="433"/>
      <c r="H107" s="433"/>
      <c r="I107" s="173" t="s">
        <v>1174</v>
      </c>
      <c r="J107" s="438"/>
      <c r="K107" s="426"/>
      <c r="L107" s="174">
        <v>41275</v>
      </c>
      <c r="M107" s="174">
        <v>45291</v>
      </c>
      <c r="N107" s="177" t="s">
        <v>71</v>
      </c>
      <c r="O107" s="427"/>
      <c r="P107" s="119">
        <v>0.33</v>
      </c>
      <c r="Q107" s="119">
        <v>0.33</v>
      </c>
      <c r="R107" s="119">
        <v>0.34</v>
      </c>
      <c r="S107" s="449"/>
      <c r="T107" s="437"/>
      <c r="U107" s="454"/>
      <c r="V107" s="437"/>
      <c r="W107" s="454"/>
      <c r="X107" s="437"/>
      <c r="Y107" s="445"/>
      <c r="Z107" s="671"/>
      <c r="AA107" s="670"/>
      <c r="AB107" s="441"/>
      <c r="AC107" s="440"/>
      <c r="AD107" s="441"/>
      <c r="AE107" s="440"/>
      <c r="AF107" s="441"/>
      <c r="AG107" s="440"/>
      <c r="AH107" s="94"/>
      <c r="AI107" s="94"/>
    </row>
    <row r="108" spans="1:35" ht="73.5" customHeight="1">
      <c r="A108" s="669"/>
      <c r="B108" s="670"/>
      <c r="C108" s="456"/>
      <c r="D108" s="432">
        <v>23</v>
      </c>
      <c r="E108" s="458"/>
      <c r="F108" s="433" t="s">
        <v>100</v>
      </c>
      <c r="G108" s="433" t="s">
        <v>1175</v>
      </c>
      <c r="H108" s="433" t="s">
        <v>1176</v>
      </c>
      <c r="I108" s="173" t="s">
        <v>1177</v>
      </c>
      <c r="J108" s="426" t="s">
        <v>1178</v>
      </c>
      <c r="K108" s="426" t="s">
        <v>137</v>
      </c>
      <c r="L108" s="176"/>
      <c r="M108" s="176"/>
      <c r="N108" s="175" t="s">
        <v>70</v>
      </c>
      <c r="O108" s="427"/>
      <c r="P108" s="175"/>
      <c r="Q108" s="176"/>
      <c r="R108" s="175"/>
      <c r="S108" s="449"/>
      <c r="T108" s="428"/>
      <c r="U108" s="454"/>
      <c r="V108" s="430"/>
      <c r="W108" s="454"/>
      <c r="X108" s="430"/>
      <c r="Y108" s="445"/>
      <c r="Z108" s="671"/>
      <c r="AA108" s="670"/>
      <c r="AB108" s="441"/>
      <c r="AC108" s="440"/>
      <c r="AD108" s="441"/>
      <c r="AE108" s="440"/>
      <c r="AF108" s="441"/>
      <c r="AG108" s="440"/>
      <c r="AH108" s="94"/>
      <c r="AI108" s="94"/>
    </row>
    <row r="109" spans="1:35" ht="73.5" customHeight="1">
      <c r="A109" s="669"/>
      <c r="B109" s="670"/>
      <c r="C109" s="457"/>
      <c r="D109" s="432"/>
      <c r="E109" s="458"/>
      <c r="F109" s="433"/>
      <c r="G109" s="433"/>
      <c r="H109" s="433"/>
      <c r="I109" s="173" t="s">
        <v>1179</v>
      </c>
      <c r="J109" s="426"/>
      <c r="K109" s="426"/>
      <c r="L109" s="176"/>
      <c r="M109" s="176"/>
      <c r="N109" s="177" t="s">
        <v>71</v>
      </c>
      <c r="O109" s="427"/>
      <c r="P109" s="122"/>
      <c r="Q109" s="122"/>
      <c r="R109" s="122"/>
      <c r="S109" s="450"/>
      <c r="T109" s="429"/>
      <c r="U109" s="455"/>
      <c r="V109" s="431"/>
      <c r="W109" s="455"/>
      <c r="X109" s="431"/>
      <c r="Y109" s="446"/>
      <c r="Z109" s="671"/>
      <c r="AA109" s="670"/>
      <c r="AB109" s="442"/>
      <c r="AC109" s="447"/>
      <c r="AD109" s="442"/>
      <c r="AE109" s="440"/>
      <c r="AF109" s="442"/>
      <c r="AG109" s="440"/>
      <c r="AH109" s="94"/>
      <c r="AI109" s="94"/>
    </row>
    <row r="110" spans="1:35" ht="21">
      <c r="A110" s="669"/>
      <c r="B110" s="669"/>
      <c r="C110" s="94"/>
      <c r="D110" s="94"/>
      <c r="E110" s="94"/>
      <c r="F110" s="94"/>
      <c r="G110" s="94"/>
      <c r="H110" s="94"/>
      <c r="I110" s="94"/>
      <c r="J110" s="94"/>
      <c r="K110" s="94"/>
      <c r="L110" s="94"/>
      <c r="M110" s="94"/>
      <c r="N110" s="178"/>
      <c r="O110" s="94"/>
      <c r="P110" s="94"/>
      <c r="Q110" s="94"/>
      <c r="R110" s="94"/>
      <c r="S110" s="179"/>
      <c r="T110" s="180"/>
      <c r="U110" s="180"/>
      <c r="V110" s="180"/>
      <c r="W110" s="179"/>
      <c r="X110" s="179"/>
      <c r="Y110" s="179"/>
      <c r="Z110" s="94"/>
      <c r="AA110" s="179" t="s">
        <v>1180</v>
      </c>
      <c r="AB110" s="181" t="s">
        <v>1099</v>
      </c>
      <c r="AC110" s="182">
        <v>0</v>
      </c>
      <c r="AD110" s="181" t="s">
        <v>1099</v>
      </c>
      <c r="AE110" s="182">
        <v>0</v>
      </c>
      <c r="AF110" s="181" t="s">
        <v>1099</v>
      </c>
      <c r="AG110" s="182">
        <v>0</v>
      </c>
      <c r="AH110" s="183"/>
      <c r="AI110" s="183" t="s">
        <v>1099</v>
      </c>
    </row>
    <row r="111" spans="1:35" ht="21.6" thickBot="1">
      <c r="A111" s="669"/>
      <c r="B111" s="669"/>
      <c r="C111" s="94"/>
      <c r="D111" s="94"/>
      <c r="E111" s="94"/>
      <c r="F111" s="94"/>
      <c r="G111" s="94"/>
      <c r="H111" s="94"/>
      <c r="I111" s="94"/>
      <c r="J111" s="94"/>
      <c r="K111" s="94"/>
      <c r="L111" s="94"/>
      <c r="M111" s="94"/>
      <c r="N111" s="178"/>
      <c r="O111" s="94"/>
      <c r="P111" s="94"/>
      <c r="Q111" s="94"/>
      <c r="R111" s="94"/>
      <c r="S111" s="94"/>
      <c r="T111" s="180"/>
      <c r="U111" s="180"/>
      <c r="V111" s="180"/>
      <c r="W111" s="184"/>
      <c r="X111" s="178"/>
      <c r="Y111" s="94"/>
      <c r="Z111" s="94"/>
      <c r="AA111" s="179" t="s">
        <v>1181</v>
      </c>
      <c r="AB111" s="185"/>
      <c r="AC111" s="186">
        <v>0.43</v>
      </c>
      <c r="AD111" s="185"/>
      <c r="AE111" s="186">
        <v>0.23</v>
      </c>
      <c r="AF111" s="185"/>
      <c r="AG111" s="186">
        <v>0.34</v>
      </c>
      <c r="AH111" s="183"/>
      <c r="AI111" s="182">
        <v>1</v>
      </c>
    </row>
    <row r="112" spans="1:35" ht="21.6" thickBot="1">
      <c r="A112" s="669"/>
      <c r="B112" s="669"/>
      <c r="C112" s="94"/>
      <c r="D112" s="94"/>
      <c r="E112" s="94"/>
      <c r="F112" s="94"/>
      <c r="G112" s="94"/>
      <c r="H112" s="94"/>
      <c r="I112" s="94"/>
      <c r="J112" s="94"/>
      <c r="K112" s="94"/>
      <c r="L112" s="94"/>
      <c r="M112" s="94"/>
      <c r="N112" s="178"/>
      <c r="O112" s="94"/>
      <c r="P112" s="94"/>
      <c r="Q112" s="94"/>
      <c r="R112" s="94"/>
      <c r="S112" s="94"/>
      <c r="T112" s="180"/>
      <c r="U112" s="180"/>
      <c r="V112" s="180"/>
      <c r="W112" s="184"/>
      <c r="X112" s="178"/>
      <c r="Y112" s="94"/>
      <c r="Z112" s="94"/>
      <c r="AA112" s="179" t="s">
        <v>1182</v>
      </c>
      <c r="AB112" s="187"/>
      <c r="AC112" s="188" t="s">
        <v>1099</v>
      </c>
      <c r="AD112" s="189"/>
      <c r="AE112" s="188" t="s">
        <v>1099</v>
      </c>
      <c r="AF112" s="189"/>
      <c r="AG112" s="190" t="s">
        <v>1099</v>
      </c>
      <c r="AH112" s="94"/>
      <c r="AI112" s="94"/>
    </row>
    <row r="113" spans="1:35" ht="21">
      <c r="A113" s="669"/>
      <c r="B113" s="669"/>
      <c r="C113" s="94"/>
      <c r="D113" s="94"/>
      <c r="E113" s="94"/>
      <c r="F113" s="94"/>
      <c r="G113" s="94"/>
      <c r="H113" s="94"/>
      <c r="I113" s="94"/>
      <c r="J113" s="94"/>
      <c r="K113" s="94"/>
      <c r="L113" s="94"/>
      <c r="M113" s="94"/>
      <c r="N113" s="178"/>
      <c r="O113" s="94"/>
      <c r="P113" s="94"/>
      <c r="Q113" s="94"/>
      <c r="R113" s="94"/>
      <c r="S113" s="94"/>
      <c r="T113" s="180"/>
      <c r="U113" s="180"/>
      <c r="V113" s="180"/>
      <c r="W113" s="184"/>
      <c r="X113" s="178"/>
      <c r="Y113" s="94"/>
      <c r="Z113" s="669"/>
      <c r="AA113" s="669"/>
      <c r="AB113" s="94"/>
      <c r="AC113" s="182">
        <v>0</v>
      </c>
      <c r="AD113" s="183"/>
      <c r="AE113" s="182">
        <v>0</v>
      </c>
      <c r="AF113" s="183"/>
      <c r="AG113" s="182">
        <v>0</v>
      </c>
      <c r="AH113" s="94"/>
      <c r="AI113" s="94"/>
    </row>
  </sheetData>
  <mergeCells count="578">
    <mergeCell ref="C1:E11"/>
    <mergeCell ref="Z1:AA1"/>
    <mergeCell ref="C12:E37"/>
    <mergeCell ref="F12:Y37"/>
    <mergeCell ref="Z12:AA12"/>
    <mergeCell ref="Z13:AA13"/>
    <mergeCell ref="Z14:AA14"/>
    <mergeCell ref="Z15:AA15"/>
    <mergeCell ref="Z16:AA16"/>
    <mergeCell ref="Z23:AA23"/>
    <mergeCell ref="Z24:AA24"/>
    <mergeCell ref="Z25:AA25"/>
    <mergeCell ref="Z26:AA26"/>
    <mergeCell ref="A27:B27"/>
    <mergeCell ref="Z27:AA27"/>
    <mergeCell ref="Z17:AA17"/>
    <mergeCell ref="Z18:AA18"/>
    <mergeCell ref="Z19:AA19"/>
    <mergeCell ref="Z20:AA20"/>
    <mergeCell ref="Z21:AA21"/>
    <mergeCell ref="Z22:AA22"/>
    <mergeCell ref="A31:B31"/>
    <mergeCell ref="Z31:AA31"/>
    <mergeCell ref="A32:B32"/>
    <mergeCell ref="Z32:AA32"/>
    <mergeCell ref="A33:B33"/>
    <mergeCell ref="Z33:AA33"/>
    <mergeCell ref="A28:B28"/>
    <mergeCell ref="Z28:AA28"/>
    <mergeCell ref="A29:B29"/>
    <mergeCell ref="Z29:AA29"/>
    <mergeCell ref="A30:B30"/>
    <mergeCell ref="Z30:AA30"/>
    <mergeCell ref="A37:B37"/>
    <mergeCell ref="Z37:AA37"/>
    <mergeCell ref="AB37:AC37"/>
    <mergeCell ref="AD37:AE37"/>
    <mergeCell ref="AF37:AG37"/>
    <mergeCell ref="A38:B38"/>
    <mergeCell ref="Z38:AA38"/>
    <mergeCell ref="A34:B34"/>
    <mergeCell ref="Z34:AA34"/>
    <mergeCell ref="A35:B35"/>
    <mergeCell ref="Z35:AA35"/>
    <mergeCell ref="A36:B36"/>
    <mergeCell ref="Z36:AA36"/>
    <mergeCell ref="K39:K40"/>
    <mergeCell ref="O39:O40"/>
    <mergeCell ref="S39:S46"/>
    <mergeCell ref="K41:K42"/>
    <mergeCell ref="O41:O42"/>
    <mergeCell ref="A39:B39"/>
    <mergeCell ref="C39:C46"/>
    <mergeCell ref="D39:D40"/>
    <mergeCell ref="E39:E46"/>
    <mergeCell ref="F39:F40"/>
    <mergeCell ref="G39:G40"/>
    <mergeCell ref="A42:B42"/>
    <mergeCell ref="A43:B43"/>
    <mergeCell ref="D43:D44"/>
    <mergeCell ref="F43:F44"/>
    <mergeCell ref="AG39:AG46"/>
    <mergeCell ref="A40:B40"/>
    <mergeCell ref="Z40:AA40"/>
    <mergeCell ref="A41:B41"/>
    <mergeCell ref="D41:D42"/>
    <mergeCell ref="F41:F42"/>
    <mergeCell ref="G41:G42"/>
    <mergeCell ref="H41:H42"/>
    <mergeCell ref="I41:I42"/>
    <mergeCell ref="J41:J42"/>
    <mergeCell ref="Z39:AA39"/>
    <mergeCell ref="AB39:AB46"/>
    <mergeCell ref="AC39:AC46"/>
    <mergeCell ref="AD39:AD46"/>
    <mergeCell ref="AE39:AE46"/>
    <mergeCell ref="AF39:AF46"/>
    <mergeCell ref="Z41:AA41"/>
    <mergeCell ref="Z42:AA42"/>
    <mergeCell ref="Z43:AA43"/>
    <mergeCell ref="T39:T40"/>
    <mergeCell ref="U39:U46"/>
    <mergeCell ref="V39:V40"/>
    <mergeCell ref="W39:W46"/>
    <mergeCell ref="X39:X40"/>
    <mergeCell ref="A44:B44"/>
    <mergeCell ref="Z44:AA44"/>
    <mergeCell ref="A45:B45"/>
    <mergeCell ref="D45:D46"/>
    <mergeCell ref="F45:F46"/>
    <mergeCell ref="G45:G46"/>
    <mergeCell ref="H45:H46"/>
    <mergeCell ref="J45:J46"/>
    <mergeCell ref="K45:K46"/>
    <mergeCell ref="O45:O46"/>
    <mergeCell ref="G43:G44"/>
    <mergeCell ref="H43:H44"/>
    <mergeCell ref="I43:I44"/>
    <mergeCell ref="J43:J44"/>
    <mergeCell ref="K43:K44"/>
    <mergeCell ref="O43:O44"/>
    <mergeCell ref="Y39:Y46"/>
    <mergeCell ref="T43:T44"/>
    <mergeCell ref="V43:V44"/>
    <mergeCell ref="X43:X44"/>
    <mergeCell ref="T45:T46"/>
    <mergeCell ref="H39:H40"/>
    <mergeCell ref="I39:I40"/>
    <mergeCell ref="J39:J40"/>
    <mergeCell ref="V45:V46"/>
    <mergeCell ref="X45:X46"/>
    <mergeCell ref="Z45:AA45"/>
    <mergeCell ref="A46:B46"/>
    <mergeCell ref="Z46:AA46"/>
    <mergeCell ref="A47:B47"/>
    <mergeCell ref="C47:C66"/>
    <mergeCell ref="D47:D48"/>
    <mergeCell ref="E47:E66"/>
    <mergeCell ref="F47:F48"/>
    <mergeCell ref="H47:H48"/>
    <mergeCell ref="I47:I48"/>
    <mergeCell ref="J47:J48"/>
    <mergeCell ref="K47:K48"/>
    <mergeCell ref="O47:O48"/>
    <mergeCell ref="S47:S66"/>
    <mergeCell ref="O49:O50"/>
    <mergeCell ref="J53:J54"/>
    <mergeCell ref="K53:K54"/>
    <mergeCell ref="O53:O54"/>
    <mergeCell ref="AG47:AG66"/>
    <mergeCell ref="A48:B48"/>
    <mergeCell ref="Z48:AA48"/>
    <mergeCell ref="A49:B49"/>
    <mergeCell ref="D49:D50"/>
    <mergeCell ref="F49:F50"/>
    <mergeCell ref="H49:H50"/>
    <mergeCell ref="I49:I50"/>
    <mergeCell ref="J49:J50"/>
    <mergeCell ref="K49:K50"/>
    <mergeCell ref="Z47:AA47"/>
    <mergeCell ref="AB47:AB66"/>
    <mergeCell ref="AC47:AC66"/>
    <mergeCell ref="AD47:AD66"/>
    <mergeCell ref="AE47:AE66"/>
    <mergeCell ref="AF47:AF66"/>
    <mergeCell ref="Z49:AA49"/>
    <mergeCell ref="T47:T48"/>
    <mergeCell ref="U47:U66"/>
    <mergeCell ref="V47:V48"/>
    <mergeCell ref="W47:W66"/>
    <mergeCell ref="X47:X48"/>
    <mergeCell ref="Y47:Y66"/>
    <mergeCell ref="T49:T50"/>
    <mergeCell ref="A50:B50"/>
    <mergeCell ref="Z50:AA50"/>
    <mergeCell ref="A51:B51"/>
    <mergeCell ref="D51:D52"/>
    <mergeCell ref="F51:F52"/>
    <mergeCell ref="H51:H52"/>
    <mergeCell ref="I51:I52"/>
    <mergeCell ref="J51:J52"/>
    <mergeCell ref="K51:K52"/>
    <mergeCell ref="O51:O52"/>
    <mergeCell ref="V49:V50"/>
    <mergeCell ref="X49:X50"/>
    <mergeCell ref="T51:T52"/>
    <mergeCell ref="T53:T54"/>
    <mergeCell ref="V53:V54"/>
    <mergeCell ref="X53:X54"/>
    <mergeCell ref="Z53:AA53"/>
    <mergeCell ref="A54:B54"/>
    <mergeCell ref="Z54:AA54"/>
    <mergeCell ref="V51:V52"/>
    <mergeCell ref="X51:X52"/>
    <mergeCell ref="Z51:AA51"/>
    <mergeCell ref="A52:B52"/>
    <mergeCell ref="Z52:AA52"/>
    <mergeCell ref="A53:B53"/>
    <mergeCell ref="D53:D54"/>
    <mergeCell ref="F53:F54"/>
    <mergeCell ref="H53:H54"/>
    <mergeCell ref="I53:I54"/>
    <mergeCell ref="K55:K56"/>
    <mergeCell ref="O55:O56"/>
    <mergeCell ref="T55:T56"/>
    <mergeCell ref="V55:V56"/>
    <mergeCell ref="X55:X56"/>
    <mergeCell ref="Z55:AA55"/>
    <mergeCell ref="Z56:AA56"/>
    <mergeCell ref="A55:B55"/>
    <mergeCell ref="D55:D56"/>
    <mergeCell ref="F55:F56"/>
    <mergeCell ref="H55:H56"/>
    <mergeCell ref="I55:I56"/>
    <mergeCell ref="J55:J56"/>
    <mergeCell ref="A56:B56"/>
    <mergeCell ref="K57:K58"/>
    <mergeCell ref="O57:O58"/>
    <mergeCell ref="T57:T58"/>
    <mergeCell ref="V57:V58"/>
    <mergeCell ref="X57:X58"/>
    <mergeCell ref="Z57:AA57"/>
    <mergeCell ref="Z58:AA58"/>
    <mergeCell ref="A57:B57"/>
    <mergeCell ref="D57:D58"/>
    <mergeCell ref="F57:F58"/>
    <mergeCell ref="H57:H58"/>
    <mergeCell ref="I57:I58"/>
    <mergeCell ref="J57:J58"/>
    <mergeCell ref="A58:B58"/>
    <mergeCell ref="K59:K60"/>
    <mergeCell ref="O59:O60"/>
    <mergeCell ref="T59:T60"/>
    <mergeCell ref="V59:V60"/>
    <mergeCell ref="X59:X60"/>
    <mergeCell ref="Z59:AA59"/>
    <mergeCell ref="Z60:AA60"/>
    <mergeCell ref="A59:B59"/>
    <mergeCell ref="D59:D60"/>
    <mergeCell ref="F59:F60"/>
    <mergeCell ref="H59:H60"/>
    <mergeCell ref="I59:I60"/>
    <mergeCell ref="J59:J60"/>
    <mergeCell ref="A60:B60"/>
    <mergeCell ref="N61:N65"/>
    <mergeCell ref="O61:O66"/>
    <mergeCell ref="P61:P65"/>
    <mergeCell ref="Q61:Q65"/>
    <mergeCell ref="A61:B65"/>
    <mergeCell ref="D61:D66"/>
    <mergeCell ref="F61:F66"/>
    <mergeCell ref="I61:I66"/>
    <mergeCell ref="J61:J66"/>
    <mergeCell ref="K61:K66"/>
    <mergeCell ref="J67:J69"/>
    <mergeCell ref="K67:K69"/>
    <mergeCell ref="L67:L68"/>
    <mergeCell ref="M67:M68"/>
    <mergeCell ref="N67:N68"/>
    <mergeCell ref="O67:O69"/>
    <mergeCell ref="AI61:AI65"/>
    <mergeCell ref="A66:B66"/>
    <mergeCell ref="Z66:AA66"/>
    <mergeCell ref="A67:B68"/>
    <mergeCell ref="C67:C91"/>
    <mergeCell ref="D67:D69"/>
    <mergeCell ref="E67:E91"/>
    <mergeCell ref="F67:F69"/>
    <mergeCell ref="G67:G69"/>
    <mergeCell ref="H67:H69"/>
    <mergeCell ref="R61:R65"/>
    <mergeCell ref="T61:T66"/>
    <mergeCell ref="V61:V66"/>
    <mergeCell ref="X61:X65"/>
    <mergeCell ref="Z61:AA65"/>
    <mergeCell ref="AH61:AH65"/>
    <mergeCell ref="L61:L65"/>
    <mergeCell ref="M61:M65"/>
    <mergeCell ref="P67:P68"/>
    <mergeCell ref="Q67:Q68"/>
    <mergeCell ref="R67:R68"/>
    <mergeCell ref="S67:S91"/>
    <mergeCell ref="T67:T69"/>
    <mergeCell ref="U67:U91"/>
    <mergeCell ref="R70:R71"/>
    <mergeCell ref="T70:T72"/>
    <mergeCell ref="R73:R75"/>
    <mergeCell ref="T73:T76"/>
    <mergeCell ref="AI67:AI68"/>
    <mergeCell ref="A69:B69"/>
    <mergeCell ref="Z69:AA69"/>
    <mergeCell ref="A70:B71"/>
    <mergeCell ref="D70:D72"/>
    <mergeCell ref="F70:F72"/>
    <mergeCell ref="G70:G72"/>
    <mergeCell ref="H70:H72"/>
    <mergeCell ref="J70:J72"/>
    <mergeCell ref="K70:K72"/>
    <mergeCell ref="AC67:AC91"/>
    <mergeCell ref="AD67:AD91"/>
    <mergeCell ref="AE67:AE91"/>
    <mergeCell ref="AF67:AF91"/>
    <mergeCell ref="AG67:AG91"/>
    <mergeCell ref="AH67:AH68"/>
    <mergeCell ref="AH70:AH71"/>
    <mergeCell ref="AH77:AH78"/>
    <mergeCell ref="V67:V69"/>
    <mergeCell ref="W67:W91"/>
    <mergeCell ref="X67:X69"/>
    <mergeCell ref="Y67:Y91"/>
    <mergeCell ref="Z67:AA68"/>
    <mergeCell ref="AB67:AB91"/>
    <mergeCell ref="AI70:AI71"/>
    <mergeCell ref="A72:B72"/>
    <mergeCell ref="Z72:AA72"/>
    <mergeCell ref="A73:B75"/>
    <mergeCell ref="D73:D76"/>
    <mergeCell ref="F73:F76"/>
    <mergeCell ref="G73:G76"/>
    <mergeCell ref="H73:H76"/>
    <mergeCell ref="J73:J76"/>
    <mergeCell ref="K73:K76"/>
    <mergeCell ref="L70:L71"/>
    <mergeCell ref="M70:M71"/>
    <mergeCell ref="N70:N71"/>
    <mergeCell ref="O70:O72"/>
    <mergeCell ref="P70:P71"/>
    <mergeCell ref="Q70:Q71"/>
    <mergeCell ref="V70:V72"/>
    <mergeCell ref="X70:X72"/>
    <mergeCell ref="Z70:AA71"/>
    <mergeCell ref="V73:V76"/>
    <mergeCell ref="F77:F79"/>
    <mergeCell ref="G77:G79"/>
    <mergeCell ref="H77:H79"/>
    <mergeCell ref="J77:J79"/>
    <mergeCell ref="X73:X76"/>
    <mergeCell ref="Z73:AA75"/>
    <mergeCell ref="AH73:AH75"/>
    <mergeCell ref="AI73:AI75"/>
    <mergeCell ref="A76:B76"/>
    <mergeCell ref="Z76:AA76"/>
    <mergeCell ref="L73:L75"/>
    <mergeCell ref="M73:M75"/>
    <mergeCell ref="N73:N75"/>
    <mergeCell ref="O73:O76"/>
    <mergeCell ref="P73:P75"/>
    <mergeCell ref="Q73:Q75"/>
    <mergeCell ref="AI77:AI78"/>
    <mergeCell ref="A79:B79"/>
    <mergeCell ref="Z79:AA79"/>
    <mergeCell ref="A80:B82"/>
    <mergeCell ref="D80:D83"/>
    <mergeCell ref="F80:F83"/>
    <mergeCell ref="G80:G83"/>
    <mergeCell ref="H80:H83"/>
    <mergeCell ref="J80:J83"/>
    <mergeCell ref="K80:K83"/>
    <mergeCell ref="Q77:Q78"/>
    <mergeCell ref="R77:R78"/>
    <mergeCell ref="T77:T79"/>
    <mergeCell ref="V77:V79"/>
    <mergeCell ref="X77:X79"/>
    <mergeCell ref="Z77:AA78"/>
    <mergeCell ref="K77:K79"/>
    <mergeCell ref="L77:L78"/>
    <mergeCell ref="M77:M78"/>
    <mergeCell ref="N77:N78"/>
    <mergeCell ref="O77:O79"/>
    <mergeCell ref="P77:P78"/>
    <mergeCell ref="A77:B78"/>
    <mergeCell ref="D77:D79"/>
    <mergeCell ref="AI80:AI82"/>
    <mergeCell ref="A83:B83"/>
    <mergeCell ref="Z83:AA83"/>
    <mergeCell ref="A84:B86"/>
    <mergeCell ref="D84:D87"/>
    <mergeCell ref="F84:F87"/>
    <mergeCell ref="G84:G87"/>
    <mergeCell ref="H84:H87"/>
    <mergeCell ref="J84:J87"/>
    <mergeCell ref="K84:K87"/>
    <mergeCell ref="R80:R82"/>
    <mergeCell ref="T80:T83"/>
    <mergeCell ref="V80:V83"/>
    <mergeCell ref="X80:X83"/>
    <mergeCell ref="Z80:AA82"/>
    <mergeCell ref="AH80:AH82"/>
    <mergeCell ref="L80:L82"/>
    <mergeCell ref="M80:M82"/>
    <mergeCell ref="N80:N82"/>
    <mergeCell ref="O80:O83"/>
    <mergeCell ref="P80:P82"/>
    <mergeCell ref="Q80:Q82"/>
    <mergeCell ref="AI84:AI86"/>
    <mergeCell ref="A87:B87"/>
    <mergeCell ref="Z87:AA87"/>
    <mergeCell ref="A88:B90"/>
    <mergeCell ref="D88:D91"/>
    <mergeCell ref="F88:F91"/>
    <mergeCell ref="G88:G91"/>
    <mergeCell ref="H88:H91"/>
    <mergeCell ref="J88:J91"/>
    <mergeCell ref="K88:K91"/>
    <mergeCell ref="R84:R86"/>
    <mergeCell ref="T84:T87"/>
    <mergeCell ref="V84:V87"/>
    <mergeCell ref="X84:X86"/>
    <mergeCell ref="Z84:AA86"/>
    <mergeCell ref="AH84:AH86"/>
    <mergeCell ref="L84:L86"/>
    <mergeCell ref="M84:M86"/>
    <mergeCell ref="N84:N86"/>
    <mergeCell ref="O84:O87"/>
    <mergeCell ref="P84:P86"/>
    <mergeCell ref="Q84:Q86"/>
    <mergeCell ref="AI88:AI90"/>
    <mergeCell ref="A91:B91"/>
    <mergeCell ref="Z91:AA91"/>
    <mergeCell ref="A92:B94"/>
    <mergeCell ref="C92:C99"/>
    <mergeCell ref="D92:D95"/>
    <mergeCell ref="E92:E101"/>
    <mergeCell ref="F92:F95"/>
    <mergeCell ref="G92:G95"/>
    <mergeCell ref="H92:H95"/>
    <mergeCell ref="R88:R90"/>
    <mergeCell ref="T88:T91"/>
    <mergeCell ref="V88:V91"/>
    <mergeCell ref="X88:X90"/>
    <mergeCell ref="Z88:AA90"/>
    <mergeCell ref="AH88:AH90"/>
    <mergeCell ref="L88:L90"/>
    <mergeCell ref="M88:M90"/>
    <mergeCell ref="N88:N90"/>
    <mergeCell ref="O88:O91"/>
    <mergeCell ref="P88:P90"/>
    <mergeCell ref="Q88:Q90"/>
    <mergeCell ref="Q92:Q94"/>
    <mergeCell ref="R92:R94"/>
    <mergeCell ref="S92:S99"/>
    <mergeCell ref="T92:T95"/>
    <mergeCell ref="U92:U99"/>
    <mergeCell ref="R96:R98"/>
    <mergeCell ref="T96:T99"/>
    <mergeCell ref="J92:J95"/>
    <mergeCell ref="K92:K95"/>
    <mergeCell ref="L92:L94"/>
    <mergeCell ref="M92:M94"/>
    <mergeCell ref="N92:N94"/>
    <mergeCell ref="O92:O95"/>
    <mergeCell ref="AI92:AI94"/>
    <mergeCell ref="A95:B95"/>
    <mergeCell ref="Z95:AA95"/>
    <mergeCell ref="A96:B98"/>
    <mergeCell ref="D96:D99"/>
    <mergeCell ref="F96:F99"/>
    <mergeCell ref="G96:G99"/>
    <mergeCell ref="H96:H99"/>
    <mergeCell ref="J96:J99"/>
    <mergeCell ref="K96:K99"/>
    <mergeCell ref="AC92:AC99"/>
    <mergeCell ref="AD92:AD99"/>
    <mergeCell ref="AE92:AE99"/>
    <mergeCell ref="AF92:AF99"/>
    <mergeCell ref="AG92:AG99"/>
    <mergeCell ref="AH92:AH94"/>
    <mergeCell ref="AH96:AH98"/>
    <mergeCell ref="V92:V95"/>
    <mergeCell ref="W92:W99"/>
    <mergeCell ref="X92:X95"/>
    <mergeCell ref="Y92:Y99"/>
    <mergeCell ref="Z92:AA94"/>
    <mergeCell ref="AB92:AB99"/>
    <mergeCell ref="V96:V99"/>
    <mergeCell ref="AI96:AI98"/>
    <mergeCell ref="A99:B99"/>
    <mergeCell ref="Z99:AA99"/>
    <mergeCell ref="A100:B101"/>
    <mergeCell ref="C100:C101"/>
    <mergeCell ref="D100:D101"/>
    <mergeCell ref="F100:F101"/>
    <mergeCell ref="G100:G101"/>
    <mergeCell ref="H100:H101"/>
    <mergeCell ref="I100:I101"/>
    <mergeCell ref="L96:L98"/>
    <mergeCell ref="M96:M98"/>
    <mergeCell ref="N96:N98"/>
    <mergeCell ref="O96:O99"/>
    <mergeCell ref="P96:P98"/>
    <mergeCell ref="Q96:Q98"/>
    <mergeCell ref="X96:X98"/>
    <mergeCell ref="Z96:AA98"/>
    <mergeCell ref="AI100:AI101"/>
    <mergeCell ref="A102:B103"/>
    <mergeCell ref="C102:C109"/>
    <mergeCell ref="D102:D104"/>
    <mergeCell ref="E102:E109"/>
    <mergeCell ref="F102:F104"/>
    <mergeCell ref="G102:G104"/>
    <mergeCell ref="H102:H104"/>
    <mergeCell ref="J102:J104"/>
    <mergeCell ref="K102:K104"/>
    <mergeCell ref="AC100:AC101"/>
    <mergeCell ref="AD100:AD101"/>
    <mergeCell ref="AE100:AE101"/>
    <mergeCell ref="AF100:AF101"/>
    <mergeCell ref="AG100:AG101"/>
    <mergeCell ref="AH100:AH101"/>
    <mergeCell ref="W100:W101"/>
    <mergeCell ref="X100:X101"/>
    <mergeCell ref="Y100:Y101"/>
    <mergeCell ref="Z100:Z101"/>
    <mergeCell ref="AA100:AA101"/>
    <mergeCell ref="AB100:AB101"/>
    <mergeCell ref="Q100:Q101"/>
    <mergeCell ref="R100:R101"/>
    <mergeCell ref="AH102:AH103"/>
    <mergeCell ref="AI102:AI103"/>
    <mergeCell ref="A104:B104"/>
    <mergeCell ref="Z104:AA104"/>
    <mergeCell ref="A105:B106"/>
    <mergeCell ref="D105:D107"/>
    <mergeCell ref="F105:F107"/>
    <mergeCell ref="X102:X104"/>
    <mergeCell ref="Y102:Y109"/>
    <mergeCell ref="Z102:AA103"/>
    <mergeCell ref="AB102:AB109"/>
    <mergeCell ref="AC102:AC109"/>
    <mergeCell ref="AD102:AD109"/>
    <mergeCell ref="X105:X107"/>
    <mergeCell ref="Z105:AA106"/>
    <mergeCell ref="R102:R103"/>
    <mergeCell ref="S102:S109"/>
    <mergeCell ref="T102:T104"/>
    <mergeCell ref="U102:U109"/>
    <mergeCell ref="V102:V104"/>
    <mergeCell ref="W102:W109"/>
    <mergeCell ref="V105:V107"/>
    <mergeCell ref="L102:L103"/>
    <mergeCell ref="M102:M103"/>
    <mergeCell ref="AI105:AI106"/>
    <mergeCell ref="A107:B107"/>
    <mergeCell ref="Z107:AA107"/>
    <mergeCell ref="A108:B108"/>
    <mergeCell ref="D108:D109"/>
    <mergeCell ref="F108:F109"/>
    <mergeCell ref="G108:G109"/>
    <mergeCell ref="H108:H109"/>
    <mergeCell ref="J108:J109"/>
    <mergeCell ref="N105:N106"/>
    <mergeCell ref="O105:O107"/>
    <mergeCell ref="P105:P106"/>
    <mergeCell ref="Q105:Q106"/>
    <mergeCell ref="R105:R106"/>
    <mergeCell ref="T105:T107"/>
    <mergeCell ref="G105:G107"/>
    <mergeCell ref="H105:H107"/>
    <mergeCell ref="J105:J107"/>
    <mergeCell ref="K105:K107"/>
    <mergeCell ref="L105:L106"/>
    <mergeCell ref="M105:M106"/>
    <mergeCell ref="AE102:AE109"/>
    <mergeCell ref="AF102:AF109"/>
    <mergeCell ref="AG102:AG109"/>
    <mergeCell ref="A113:B113"/>
    <mergeCell ref="Z113:AA113"/>
    <mergeCell ref="K108:K109"/>
    <mergeCell ref="O108:O109"/>
    <mergeCell ref="T108:T109"/>
    <mergeCell ref="V108:V109"/>
    <mergeCell ref="X108:X109"/>
    <mergeCell ref="Z108:AA108"/>
    <mergeCell ref="AH105:AH106"/>
    <mergeCell ref="K10:Y11"/>
    <mergeCell ref="F1:Y9"/>
    <mergeCell ref="F10:G11"/>
    <mergeCell ref="H10:J11"/>
    <mergeCell ref="A109:B109"/>
    <mergeCell ref="Z109:AA109"/>
    <mergeCell ref="A110:B110"/>
    <mergeCell ref="A111:B111"/>
    <mergeCell ref="A112:B112"/>
    <mergeCell ref="N102:N103"/>
    <mergeCell ref="O102:O104"/>
    <mergeCell ref="P102:P103"/>
    <mergeCell ref="Q102:Q103"/>
    <mergeCell ref="S100:S101"/>
    <mergeCell ref="T100:T101"/>
    <mergeCell ref="U100:U101"/>
    <mergeCell ref="V100:V101"/>
    <mergeCell ref="K100:K101"/>
    <mergeCell ref="L100:L101"/>
    <mergeCell ref="M100:M101"/>
    <mergeCell ref="N100:N101"/>
    <mergeCell ref="O100:O101"/>
    <mergeCell ref="P100:P101"/>
    <mergeCell ref="P92:P94"/>
  </mergeCells>
  <pageMargins left="0.7" right="0.7" top="0.75" bottom="0.75" header="0.3" footer="0.3"/>
  <headerFooter>
    <oddFooter>&amp;C_x000D_&amp;1#&amp;"Calibri"&amp;10&amp;K008000 DOCUMENTO PÚBLICO</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69B60-9B0F-4174-8046-278B6D04FB75}">
  <dimension ref="A1:BI41"/>
  <sheetViews>
    <sheetView showGridLines="0" view="pageBreakPreview" zoomScale="59" zoomScaleNormal="10" zoomScaleSheetLayoutView="59" zoomScalePageLayoutView="48" workbookViewId="0">
      <selection activeCell="D1" sqref="D1:AJ3"/>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6" width="18.140625" style="1" customWidth="1"/>
    <col min="17" max="19" width="13.85546875" style="1" customWidth="1"/>
    <col min="20" max="32" width="9.5703125" style="1" customWidth="1"/>
    <col min="33" max="33" width="35.85546875" style="1" customWidth="1"/>
    <col min="34" max="36" width="42.5703125" style="1" customWidth="1"/>
    <col min="37" max="16384" width="12.5703125" style="1"/>
  </cols>
  <sheetData>
    <row r="1" spans="1:61" s="55" customFormat="1" ht="15" customHeight="1">
      <c r="A1" s="290"/>
      <c r="B1" s="291"/>
      <c r="C1" s="292"/>
      <c r="D1" s="221" t="s">
        <v>1183</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69"/>
      <c r="AL1" s="69"/>
      <c r="AM1" s="69"/>
      <c r="AN1" s="69"/>
      <c r="AO1" s="69"/>
      <c r="AP1" s="69"/>
      <c r="AQ1" s="69"/>
      <c r="AR1" s="69"/>
      <c r="AS1" s="69"/>
      <c r="AT1" s="69"/>
      <c r="AU1" s="69"/>
      <c r="AV1" s="69"/>
      <c r="AW1" s="69"/>
      <c r="AX1" s="69"/>
      <c r="AY1" s="69"/>
      <c r="AZ1" s="69"/>
      <c r="BA1" s="69"/>
      <c r="BB1" s="69"/>
      <c r="BC1" s="69"/>
      <c r="BD1" s="69"/>
      <c r="BE1" s="69"/>
      <c r="BF1" s="69"/>
      <c r="BG1" s="69"/>
      <c r="BH1" s="69"/>
      <c r="BI1" s="69"/>
    </row>
    <row r="2" spans="1:61"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69"/>
      <c r="AL2" s="69"/>
      <c r="AM2" s="69"/>
      <c r="AN2" s="69"/>
      <c r="AO2" s="69"/>
      <c r="AP2" s="69"/>
      <c r="AQ2" s="69"/>
      <c r="AR2" s="69"/>
      <c r="AS2" s="69"/>
      <c r="AT2" s="69"/>
      <c r="AU2" s="69"/>
      <c r="AV2" s="69"/>
      <c r="AW2" s="69"/>
      <c r="AX2" s="69"/>
      <c r="AY2" s="69"/>
      <c r="AZ2" s="69"/>
      <c r="BA2" s="69"/>
      <c r="BB2" s="69"/>
      <c r="BC2" s="69"/>
      <c r="BD2" s="69"/>
      <c r="BE2" s="69"/>
      <c r="BF2" s="69"/>
      <c r="BG2" s="69"/>
      <c r="BH2" s="69"/>
      <c r="BI2" s="69"/>
    </row>
    <row r="3" spans="1:61"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69"/>
      <c r="AL3" s="69"/>
      <c r="AM3" s="69"/>
      <c r="AN3" s="69"/>
      <c r="AO3" s="69"/>
      <c r="AP3" s="69"/>
      <c r="AQ3" s="69"/>
      <c r="AR3" s="69"/>
      <c r="AS3" s="69"/>
      <c r="AT3" s="69"/>
      <c r="AU3" s="69"/>
      <c r="AV3" s="69"/>
      <c r="AW3" s="69"/>
      <c r="AX3" s="69"/>
      <c r="AY3" s="69"/>
      <c r="AZ3" s="69"/>
      <c r="BA3" s="69"/>
      <c r="BB3" s="69"/>
      <c r="BC3" s="69"/>
      <c r="BD3" s="69"/>
      <c r="BE3" s="69"/>
      <c r="BF3" s="69"/>
      <c r="BG3" s="69"/>
      <c r="BH3" s="69"/>
      <c r="BI3" s="69"/>
    </row>
    <row r="4" spans="1:61" s="55" customFormat="1" ht="60" hidden="1" customHeigh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c r="AH4" s="57"/>
    </row>
    <row r="5" spans="1:61" s="55" customFormat="1" ht="60" hidden="1" customHeight="1" thickBo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row>
    <row r="6" spans="1:61" ht="20.100000000000001" customHeight="1">
      <c r="A6" s="289" t="s">
        <v>11</v>
      </c>
      <c r="B6" s="289"/>
      <c r="C6" s="299" t="s">
        <v>1184</v>
      </c>
      <c r="D6" s="299"/>
      <c r="E6" s="274" t="s">
        <v>13</v>
      </c>
      <c r="F6" s="274"/>
      <c r="G6" s="271">
        <f>+R15+R17+R19+R21+R23+R25+R27</f>
        <v>0.99999999999999978</v>
      </c>
      <c r="H6" s="274" t="s">
        <v>14</v>
      </c>
      <c r="I6" s="274"/>
      <c r="J6" s="275">
        <f>+R14+R16+R18+R20+R22+R24+R26</f>
        <v>0</v>
      </c>
      <c r="K6" s="283" t="s">
        <v>15</v>
      </c>
      <c r="L6" s="284"/>
      <c r="M6" s="278">
        <v>0.95</v>
      </c>
      <c r="N6" s="289" t="s">
        <v>16</v>
      </c>
      <c r="O6" s="289"/>
      <c r="P6" s="289"/>
      <c r="Q6" s="281">
        <f>(SUM(W14,W16,W20,W18)/SUM(W15,W17,W19,W21))</f>
        <v>0</v>
      </c>
      <c r="R6" s="281"/>
      <c r="S6" s="281"/>
      <c r="T6" s="228" t="s">
        <v>17</v>
      </c>
      <c r="U6" s="256"/>
      <c r="V6" s="256"/>
      <c r="W6" s="257"/>
      <c r="X6" s="262">
        <f>SUM(Z14,Z16,Z20,Z22)/SUM(Z15,Z17,Z19,Z21,Z23)</f>
        <v>0</v>
      </c>
      <c r="Y6" s="263"/>
      <c r="Z6" s="263"/>
      <c r="AA6" s="264"/>
      <c r="AB6" s="228" t="s">
        <v>18</v>
      </c>
      <c r="AC6" s="256"/>
      <c r="AD6" s="256"/>
      <c r="AE6" s="257"/>
      <c r="AF6" s="262">
        <f>SUM(AC14,AC16,AC20)/SUM(AC15,AC17,AC19,AC21)</f>
        <v>0</v>
      </c>
      <c r="AG6" s="263"/>
      <c r="AH6" s="228" t="s">
        <v>19</v>
      </c>
      <c r="AI6" s="262">
        <f>SUM(AC14,AC16,AC20)/SUM(AC15,AC17,AC19,AC21)</f>
        <v>0</v>
      </c>
    </row>
    <row r="7" spans="1:61" ht="15" customHeight="1">
      <c r="A7" s="289"/>
      <c r="B7" s="289"/>
      <c r="C7" s="299"/>
      <c r="D7" s="299"/>
      <c r="E7" s="274"/>
      <c r="F7" s="274"/>
      <c r="G7" s="272"/>
      <c r="H7" s="274"/>
      <c r="I7" s="274"/>
      <c r="J7" s="276"/>
      <c r="K7" s="285"/>
      <c r="L7" s="286"/>
      <c r="M7" s="279"/>
      <c r="N7" s="289"/>
      <c r="O7" s="289"/>
      <c r="P7" s="289"/>
      <c r="Q7" s="281"/>
      <c r="R7" s="281"/>
      <c r="S7" s="281"/>
      <c r="T7" s="229"/>
      <c r="U7" s="258"/>
      <c r="V7" s="258"/>
      <c r="W7" s="259"/>
      <c r="X7" s="265"/>
      <c r="Y7" s="266"/>
      <c r="Z7" s="266"/>
      <c r="AA7" s="267"/>
      <c r="AB7" s="229"/>
      <c r="AC7" s="258"/>
      <c r="AD7" s="258"/>
      <c r="AE7" s="259"/>
      <c r="AF7" s="265"/>
      <c r="AG7" s="266"/>
      <c r="AH7" s="229"/>
      <c r="AI7" s="265"/>
    </row>
    <row r="8" spans="1:61" ht="24.95" hidden="1" customHeight="1" thickBot="1">
      <c r="A8" s="289"/>
      <c r="B8" s="289"/>
      <c r="C8" s="299"/>
      <c r="D8" s="299"/>
      <c r="E8" s="274"/>
      <c r="F8" s="274"/>
      <c r="G8" s="272"/>
      <c r="H8" s="274"/>
      <c r="I8" s="274"/>
      <c r="J8" s="276"/>
      <c r="K8" s="285"/>
      <c r="L8" s="286"/>
      <c r="M8" s="279"/>
      <c r="N8" s="289"/>
      <c r="O8" s="289"/>
      <c r="P8" s="289"/>
      <c r="Q8" s="281"/>
      <c r="R8" s="281"/>
      <c r="S8" s="281"/>
      <c r="T8" s="229"/>
      <c r="U8" s="258"/>
      <c r="V8" s="258"/>
      <c r="W8" s="259"/>
      <c r="X8" s="265"/>
      <c r="Y8" s="266"/>
      <c r="Z8" s="266"/>
      <c r="AA8" s="267"/>
      <c r="AB8" s="229"/>
      <c r="AC8" s="258"/>
      <c r="AD8" s="258"/>
      <c r="AE8" s="259"/>
      <c r="AF8" s="265"/>
      <c r="AG8" s="266"/>
      <c r="AH8" s="229"/>
      <c r="AI8" s="265"/>
    </row>
    <row r="9" spans="1:61" ht="24.95" hidden="1" customHeight="1" thickBot="1">
      <c r="A9" s="289"/>
      <c r="B9" s="289"/>
      <c r="C9" s="299"/>
      <c r="D9" s="299"/>
      <c r="E9" s="274"/>
      <c r="F9" s="274"/>
      <c r="G9" s="272"/>
      <c r="H9" s="274"/>
      <c r="I9" s="274"/>
      <c r="J9" s="276"/>
      <c r="K9" s="285"/>
      <c r="L9" s="286"/>
      <c r="M9" s="279"/>
      <c r="N9" s="289"/>
      <c r="O9" s="289"/>
      <c r="P9" s="289"/>
      <c r="Q9" s="281"/>
      <c r="R9" s="281"/>
      <c r="S9" s="281"/>
      <c r="T9" s="229"/>
      <c r="U9" s="258"/>
      <c r="V9" s="258"/>
      <c r="W9" s="259"/>
      <c r="X9" s="265"/>
      <c r="Y9" s="266"/>
      <c r="Z9" s="266"/>
      <c r="AA9" s="267"/>
      <c r="AB9" s="229"/>
      <c r="AC9" s="258"/>
      <c r="AD9" s="258"/>
      <c r="AE9" s="259"/>
      <c r="AF9" s="265"/>
      <c r="AG9" s="266"/>
      <c r="AH9" s="229"/>
      <c r="AI9" s="265"/>
    </row>
    <row r="10" spans="1:61" ht="15" customHeight="1" thickBot="1">
      <c r="A10" s="289"/>
      <c r="B10" s="289"/>
      <c r="C10" s="299"/>
      <c r="D10" s="299"/>
      <c r="E10" s="274"/>
      <c r="F10" s="274"/>
      <c r="G10" s="273"/>
      <c r="H10" s="274"/>
      <c r="I10" s="274"/>
      <c r="J10" s="277"/>
      <c r="K10" s="287"/>
      <c r="L10" s="288"/>
      <c r="M10" s="280"/>
      <c r="N10" s="289"/>
      <c r="O10" s="289"/>
      <c r="P10" s="289"/>
      <c r="Q10" s="281"/>
      <c r="R10" s="281"/>
      <c r="S10" s="281"/>
      <c r="T10" s="230"/>
      <c r="U10" s="260"/>
      <c r="V10" s="260"/>
      <c r="W10" s="261"/>
      <c r="X10" s="268"/>
      <c r="Y10" s="269"/>
      <c r="Z10" s="269"/>
      <c r="AA10" s="270"/>
      <c r="AB10" s="230"/>
      <c r="AC10" s="260"/>
      <c r="AD10" s="260"/>
      <c r="AE10" s="261"/>
      <c r="AF10" s="268"/>
      <c r="AG10" s="269"/>
      <c r="AH10" s="230"/>
      <c r="AI10" s="268"/>
    </row>
    <row r="11" spans="1:61" s="12" customFormat="1" ht="39.950000000000003" customHeight="1" thickBot="1">
      <c r="A11" s="314" t="s">
        <v>20</v>
      </c>
      <c r="B11" s="314"/>
      <c r="C11" s="314"/>
      <c r="D11" s="314"/>
      <c r="E11" s="314"/>
      <c r="F11" s="315"/>
      <c r="G11" s="316" t="s">
        <v>21</v>
      </c>
      <c r="H11" s="317"/>
      <c r="I11" s="317"/>
      <c r="J11" s="317"/>
      <c r="K11" s="317"/>
      <c r="L11" s="317"/>
      <c r="M11" s="317"/>
      <c r="N11" s="317"/>
      <c r="O11" s="317"/>
      <c r="P11" s="318"/>
      <c r="Q11" s="238" t="s">
        <v>22</v>
      </c>
      <c r="R11" s="239"/>
      <c r="S11" s="239"/>
      <c r="T11" s="239"/>
      <c r="U11" s="239"/>
      <c r="V11" s="239"/>
      <c r="W11" s="239"/>
      <c r="X11" s="239"/>
      <c r="Y11" s="239"/>
      <c r="Z11" s="239"/>
      <c r="AA11" s="239"/>
      <c r="AB11" s="239"/>
      <c r="AC11" s="239"/>
      <c r="AD11" s="239"/>
      <c r="AE11" s="239"/>
      <c r="AF11" s="240"/>
      <c r="AG11" s="238" t="s">
        <v>23</v>
      </c>
      <c r="AH11" s="239"/>
      <c r="AI11" s="239"/>
      <c r="AJ11" s="239"/>
    </row>
    <row r="12" spans="1:61" ht="39" customHeight="1">
      <c r="A12" s="319" t="s">
        <v>24</v>
      </c>
      <c r="B12" s="321" t="s">
        <v>25</v>
      </c>
      <c r="C12" s="321" t="s">
        <v>26</v>
      </c>
      <c r="D12" s="321" t="s">
        <v>27</v>
      </c>
      <c r="E12" s="321" t="s">
        <v>28</v>
      </c>
      <c r="F12" s="321" t="s">
        <v>29</v>
      </c>
      <c r="G12" s="321" t="s">
        <v>1185</v>
      </c>
      <c r="H12" s="321" t="s">
        <v>1186</v>
      </c>
      <c r="I12" s="321" t="s">
        <v>1187</v>
      </c>
      <c r="J12" s="321" t="s">
        <v>1188</v>
      </c>
      <c r="K12" s="321" t="s">
        <v>1189</v>
      </c>
      <c r="L12" s="321" t="s">
        <v>34</v>
      </c>
      <c r="M12" s="321" t="s">
        <v>35</v>
      </c>
      <c r="N12" s="321" t="s">
        <v>36</v>
      </c>
      <c r="O12" s="321" t="s">
        <v>37</v>
      </c>
      <c r="P12" s="321" t="s">
        <v>38</v>
      </c>
      <c r="Q12" s="251" t="s">
        <v>39</v>
      </c>
      <c r="R12" s="252" t="s">
        <v>40</v>
      </c>
      <c r="S12" s="253" t="s">
        <v>41</v>
      </c>
      <c r="T12" s="247" t="s">
        <v>42</v>
      </c>
      <c r="U12" s="245" t="s">
        <v>43</v>
      </c>
      <c r="V12" s="243" t="s">
        <v>44</v>
      </c>
      <c r="W12" s="249" t="s">
        <v>45</v>
      </c>
      <c r="X12" s="254" t="s">
        <v>46</v>
      </c>
      <c r="Y12" s="249" t="s">
        <v>47</v>
      </c>
      <c r="Z12" s="243" t="s">
        <v>47</v>
      </c>
      <c r="AA12" s="245" t="s">
        <v>48</v>
      </c>
      <c r="AB12" s="247" t="s">
        <v>49</v>
      </c>
      <c r="AC12" s="245" t="s">
        <v>50</v>
      </c>
      <c r="AD12" s="243" t="s">
        <v>51</v>
      </c>
      <c r="AE12" s="249" t="s">
        <v>52</v>
      </c>
      <c r="AF12" s="241" t="s">
        <v>53</v>
      </c>
      <c r="AG12" s="237" t="s">
        <v>54</v>
      </c>
      <c r="AH12" s="237" t="s">
        <v>55</v>
      </c>
      <c r="AI12" s="237" t="s">
        <v>56</v>
      </c>
      <c r="AJ12" s="237" t="s">
        <v>57</v>
      </c>
    </row>
    <row r="13" spans="1:61" ht="60" customHeight="1" thickBot="1">
      <c r="A13" s="320"/>
      <c r="B13" s="320"/>
      <c r="C13" s="320"/>
      <c r="D13" s="320"/>
      <c r="E13" s="320"/>
      <c r="F13" s="320"/>
      <c r="G13" s="320"/>
      <c r="H13" s="320"/>
      <c r="I13" s="320"/>
      <c r="J13" s="320"/>
      <c r="K13" s="320"/>
      <c r="L13" s="320"/>
      <c r="M13" s="320"/>
      <c r="N13" s="320"/>
      <c r="O13" s="320"/>
      <c r="P13" s="320"/>
      <c r="Q13" s="251"/>
      <c r="R13" s="252"/>
      <c r="S13" s="253"/>
      <c r="T13" s="248"/>
      <c r="U13" s="246"/>
      <c r="V13" s="244"/>
      <c r="W13" s="250"/>
      <c r="X13" s="255"/>
      <c r="Y13" s="250"/>
      <c r="Z13" s="244"/>
      <c r="AA13" s="246"/>
      <c r="AB13" s="248"/>
      <c r="AC13" s="246"/>
      <c r="AD13" s="244"/>
      <c r="AE13" s="250"/>
      <c r="AF13" s="242"/>
      <c r="AG13" s="237"/>
      <c r="AH13" s="237"/>
      <c r="AI13" s="237"/>
      <c r="AJ13" s="237"/>
    </row>
    <row r="14" spans="1:61" ht="39.950000000000003" customHeight="1" thickBot="1">
      <c r="A14" s="300">
        <v>1</v>
      </c>
      <c r="B14" s="300" t="s">
        <v>161</v>
      </c>
      <c r="C14" s="300" t="s">
        <v>85</v>
      </c>
      <c r="D14" s="300" t="s">
        <v>60</v>
      </c>
      <c r="E14" s="300" t="s">
        <v>92</v>
      </c>
      <c r="F14" s="310" t="s">
        <v>62</v>
      </c>
      <c r="G14" s="300" t="s">
        <v>1190</v>
      </c>
      <c r="H14" s="300" t="s">
        <v>31</v>
      </c>
      <c r="I14" s="300" t="s">
        <v>1191</v>
      </c>
      <c r="J14" s="300" t="s">
        <v>1192</v>
      </c>
      <c r="K14" s="300" t="s">
        <v>1193</v>
      </c>
      <c r="L14" s="300" t="s">
        <v>1194</v>
      </c>
      <c r="M14" s="300" t="s">
        <v>1195</v>
      </c>
      <c r="N14" s="302" t="s">
        <v>69</v>
      </c>
      <c r="O14" s="304">
        <v>44958</v>
      </c>
      <c r="P14" s="304">
        <v>45291</v>
      </c>
      <c r="Q14" s="60" t="s">
        <v>70</v>
      </c>
      <c r="R14" s="53">
        <f>+(R15*S14)</f>
        <v>0</v>
      </c>
      <c r="S14" s="70">
        <f>SUM(T14:AF14)</f>
        <v>0</v>
      </c>
      <c r="T14" s="43"/>
      <c r="U14" s="43"/>
      <c r="V14" s="43"/>
      <c r="W14" s="43"/>
      <c r="X14" s="43"/>
      <c r="Y14" s="43"/>
      <c r="Z14" s="43"/>
      <c r="AA14" s="43"/>
      <c r="AB14" s="44"/>
      <c r="AC14" s="44"/>
      <c r="AD14" s="44"/>
      <c r="AE14" s="44"/>
      <c r="AF14" s="44"/>
      <c r="AG14" s="233"/>
      <c r="AH14" s="235"/>
      <c r="AI14" s="231"/>
      <c r="AJ14" s="231"/>
    </row>
    <row r="15" spans="1:61" ht="36.950000000000003" customHeight="1" thickBot="1">
      <c r="A15" s="301"/>
      <c r="B15" s="301"/>
      <c r="C15" s="301"/>
      <c r="D15" s="301"/>
      <c r="E15" s="301"/>
      <c r="F15" s="313"/>
      <c r="G15" s="301"/>
      <c r="H15" s="301"/>
      <c r="I15" s="301"/>
      <c r="J15" s="301"/>
      <c r="K15" s="301"/>
      <c r="L15" s="301"/>
      <c r="M15" s="301"/>
      <c r="N15" s="303"/>
      <c r="O15" s="305"/>
      <c r="P15" s="305"/>
      <c r="Q15" s="60" t="s">
        <v>71</v>
      </c>
      <c r="R15" s="52">
        <f>100%/7</f>
        <v>0.14285714285714285</v>
      </c>
      <c r="S15" s="70">
        <f>SUM(T15:AF15)</f>
        <v>1</v>
      </c>
      <c r="T15" s="42"/>
      <c r="U15" s="42"/>
      <c r="V15" s="42"/>
      <c r="W15" s="42">
        <v>0.25</v>
      </c>
      <c r="X15" s="42"/>
      <c r="Y15" s="42"/>
      <c r="Z15" s="42">
        <v>0.25</v>
      </c>
      <c r="AA15" s="42"/>
      <c r="AB15" s="42"/>
      <c r="AC15" s="42">
        <v>0.25</v>
      </c>
      <c r="AD15" s="42"/>
      <c r="AE15" s="42"/>
      <c r="AF15" s="42">
        <v>0.25</v>
      </c>
      <c r="AG15" s="234"/>
      <c r="AH15" s="236"/>
      <c r="AI15" s="232"/>
      <c r="AJ15" s="232"/>
    </row>
    <row r="16" spans="1:61" ht="36.950000000000003" customHeight="1" thickBot="1">
      <c r="A16" s="300">
        <v>2</v>
      </c>
      <c r="B16" s="300" t="s">
        <v>161</v>
      </c>
      <c r="C16" s="300" t="s">
        <v>85</v>
      </c>
      <c r="D16" s="300" t="s">
        <v>60</v>
      </c>
      <c r="E16" s="300" t="s">
        <v>92</v>
      </c>
      <c r="F16" s="310" t="s">
        <v>62</v>
      </c>
      <c r="G16" s="300" t="s">
        <v>1196</v>
      </c>
      <c r="H16" s="306" t="s">
        <v>31</v>
      </c>
      <c r="I16" s="306" t="s">
        <v>1197</v>
      </c>
      <c r="J16" s="306" t="s">
        <v>1198</v>
      </c>
      <c r="K16" s="306" t="s">
        <v>1199</v>
      </c>
      <c r="L16" s="306" t="s">
        <v>1194</v>
      </c>
      <c r="M16" s="306" t="s">
        <v>1195</v>
      </c>
      <c r="N16" s="308" t="s">
        <v>69</v>
      </c>
      <c r="O16" s="309">
        <v>44958</v>
      </c>
      <c r="P16" s="309">
        <v>45291</v>
      </c>
      <c r="Q16" s="60" t="s">
        <v>70</v>
      </c>
      <c r="R16" s="53">
        <f>+(R17*S16)</f>
        <v>0</v>
      </c>
      <c r="S16" s="70">
        <f>SUM(T16:AF16)</f>
        <v>0</v>
      </c>
      <c r="T16" s="43"/>
      <c r="U16" s="43"/>
      <c r="V16" s="43"/>
      <c r="W16" s="43"/>
      <c r="X16" s="43"/>
      <c r="Y16" s="43"/>
      <c r="Z16" s="43"/>
      <c r="AA16" s="43"/>
      <c r="AB16" s="44"/>
      <c r="AC16" s="44"/>
      <c r="AD16" s="44"/>
      <c r="AE16" s="44"/>
      <c r="AF16" s="44"/>
      <c r="AG16" s="233"/>
      <c r="AH16" s="235"/>
      <c r="AI16" s="231"/>
      <c r="AJ16" s="231"/>
    </row>
    <row r="17" spans="1:36" ht="36.950000000000003" customHeight="1" thickBot="1">
      <c r="A17" s="312"/>
      <c r="B17" s="312"/>
      <c r="C17" s="312"/>
      <c r="D17" s="312"/>
      <c r="E17" s="312"/>
      <c r="F17" s="311"/>
      <c r="G17" s="301"/>
      <c r="H17" s="306"/>
      <c r="I17" s="306"/>
      <c r="J17" s="306"/>
      <c r="K17" s="306"/>
      <c r="L17" s="306"/>
      <c r="M17" s="306"/>
      <c r="N17" s="308"/>
      <c r="O17" s="309"/>
      <c r="P17" s="309"/>
      <c r="Q17" s="60" t="s">
        <v>71</v>
      </c>
      <c r="R17" s="52">
        <f>100%/7</f>
        <v>0.14285714285714285</v>
      </c>
      <c r="S17" s="70">
        <f>SUM(T17:AF17)</f>
        <v>1</v>
      </c>
      <c r="T17" s="42"/>
      <c r="U17" s="42"/>
      <c r="V17" s="42"/>
      <c r="W17" s="42">
        <v>0.25</v>
      </c>
      <c r="X17" s="42"/>
      <c r="Y17" s="42"/>
      <c r="Z17" s="42">
        <v>0.25</v>
      </c>
      <c r="AA17" s="42"/>
      <c r="AB17" s="42"/>
      <c r="AC17" s="42">
        <v>0.25</v>
      </c>
      <c r="AD17" s="42"/>
      <c r="AE17" s="42"/>
      <c r="AF17" s="42">
        <v>0.25</v>
      </c>
      <c r="AG17" s="234"/>
      <c r="AH17" s="236"/>
      <c r="AI17" s="232"/>
      <c r="AJ17" s="232"/>
    </row>
    <row r="18" spans="1:36" ht="36.950000000000003" customHeight="1" thickBot="1">
      <c r="A18" s="306">
        <v>3</v>
      </c>
      <c r="B18" s="306" t="s">
        <v>161</v>
      </c>
      <c r="C18" s="300" t="s">
        <v>85</v>
      </c>
      <c r="D18" s="306" t="s">
        <v>60</v>
      </c>
      <c r="E18" s="306" t="s">
        <v>92</v>
      </c>
      <c r="F18" s="75"/>
      <c r="G18" s="300" t="s">
        <v>1200</v>
      </c>
      <c r="H18" s="300" t="s">
        <v>31</v>
      </c>
      <c r="I18" s="300" t="s">
        <v>1201</v>
      </c>
      <c r="J18" s="300" t="s">
        <v>1202</v>
      </c>
      <c r="K18" s="300" t="s">
        <v>1203</v>
      </c>
      <c r="L18" s="300" t="s">
        <v>1204</v>
      </c>
      <c r="M18" s="300" t="s">
        <v>1195</v>
      </c>
      <c r="N18" s="302" t="s">
        <v>69</v>
      </c>
      <c r="O18" s="304">
        <v>44958</v>
      </c>
      <c r="P18" s="304">
        <v>45291</v>
      </c>
      <c r="Q18" s="60" t="s">
        <v>70</v>
      </c>
      <c r="R18" s="53">
        <f>+(R19*S18)</f>
        <v>0</v>
      </c>
      <c r="S18" s="70">
        <f>SUM(T18:AF18)</f>
        <v>0</v>
      </c>
      <c r="T18" s="43"/>
      <c r="U18" s="43"/>
      <c r="V18" s="43"/>
      <c r="W18" s="43"/>
      <c r="X18" s="43"/>
      <c r="Y18" s="43"/>
      <c r="Z18" s="43"/>
      <c r="AA18" s="43"/>
      <c r="AB18" s="44"/>
      <c r="AC18" s="44"/>
      <c r="AD18" s="44"/>
      <c r="AE18" s="44"/>
      <c r="AF18" s="44"/>
      <c r="AG18" s="68"/>
      <c r="AH18" s="66"/>
      <c r="AI18" s="67"/>
      <c r="AJ18" s="67"/>
    </row>
    <row r="19" spans="1:36" ht="36.950000000000003" customHeight="1" thickBot="1">
      <c r="A19" s="306"/>
      <c r="B19" s="306"/>
      <c r="C19" s="301"/>
      <c r="D19" s="306"/>
      <c r="E19" s="306"/>
      <c r="F19" s="72" t="s">
        <v>62</v>
      </c>
      <c r="G19" s="312"/>
      <c r="H19" s="312"/>
      <c r="I19" s="312"/>
      <c r="J19" s="312"/>
      <c r="K19" s="312"/>
      <c r="L19" s="312"/>
      <c r="M19" s="312"/>
      <c r="N19" s="323"/>
      <c r="O19" s="324"/>
      <c r="P19" s="324"/>
      <c r="Q19" s="60" t="s">
        <v>71</v>
      </c>
      <c r="R19" s="52">
        <f>100%/7</f>
        <v>0.14285714285714285</v>
      </c>
      <c r="S19" s="70">
        <f>SUM(T19:AF19)</f>
        <v>1</v>
      </c>
      <c r="T19" s="42"/>
      <c r="U19" s="42"/>
      <c r="V19" s="42"/>
      <c r="W19" s="42">
        <v>0.25</v>
      </c>
      <c r="X19" s="42"/>
      <c r="Y19" s="42"/>
      <c r="Z19" s="42">
        <v>0.25</v>
      </c>
      <c r="AA19" s="42"/>
      <c r="AB19" s="42"/>
      <c r="AC19" s="42">
        <v>0.25</v>
      </c>
      <c r="AD19" s="42"/>
      <c r="AE19" s="42"/>
      <c r="AF19" s="42">
        <v>0.25</v>
      </c>
      <c r="AG19" s="58"/>
      <c r="AH19" s="81"/>
      <c r="AI19" s="82"/>
      <c r="AJ19" s="82"/>
    </row>
    <row r="20" spans="1:36" ht="36.950000000000003" customHeight="1" thickBot="1">
      <c r="A20" s="306">
        <v>4</v>
      </c>
      <c r="B20" s="306" t="s">
        <v>161</v>
      </c>
      <c r="C20" s="306" t="s">
        <v>85</v>
      </c>
      <c r="D20" s="306" t="s">
        <v>60</v>
      </c>
      <c r="E20" s="306" t="s">
        <v>92</v>
      </c>
      <c r="F20" s="307" t="s">
        <v>62</v>
      </c>
      <c r="G20" s="306" t="s">
        <v>1205</v>
      </c>
      <c r="H20" s="306" t="s">
        <v>31</v>
      </c>
      <c r="I20" s="306" t="s">
        <v>1206</v>
      </c>
      <c r="J20" s="308" t="s">
        <v>1207</v>
      </c>
      <c r="K20" s="654" t="s">
        <v>1208</v>
      </c>
      <c r="L20" s="306" t="s">
        <v>1204</v>
      </c>
      <c r="M20" s="306" t="s">
        <v>1195</v>
      </c>
      <c r="N20" s="308" t="s">
        <v>69</v>
      </c>
      <c r="O20" s="309">
        <v>44958</v>
      </c>
      <c r="P20" s="309">
        <v>45291</v>
      </c>
      <c r="Q20" s="60" t="s">
        <v>70</v>
      </c>
      <c r="R20" s="53">
        <f>+(R21*S20)</f>
        <v>0</v>
      </c>
      <c r="S20" s="70">
        <f>SUM(T20:AF20)</f>
        <v>0</v>
      </c>
      <c r="T20" s="59"/>
      <c r="U20" s="59"/>
      <c r="V20" s="59"/>
      <c r="W20" s="43"/>
      <c r="X20" s="43"/>
      <c r="Y20" s="43"/>
      <c r="Z20" s="43"/>
      <c r="AA20" s="43"/>
      <c r="AB20" s="44"/>
      <c r="AC20" s="44"/>
      <c r="AD20" s="44"/>
      <c r="AE20" s="44"/>
      <c r="AF20" s="44"/>
      <c r="AG20" s="233"/>
      <c r="AH20" s="235"/>
      <c r="AI20" s="231"/>
      <c r="AJ20" s="231"/>
    </row>
    <row r="21" spans="1:36" ht="39.950000000000003" customHeight="1" thickBot="1">
      <c r="A21" s="306"/>
      <c r="B21" s="306"/>
      <c r="C21" s="306"/>
      <c r="D21" s="306"/>
      <c r="E21" s="306"/>
      <c r="F21" s="307"/>
      <c r="G21" s="306"/>
      <c r="H21" s="306"/>
      <c r="I21" s="306"/>
      <c r="J21" s="308"/>
      <c r="K21" s="654"/>
      <c r="L21" s="306"/>
      <c r="M21" s="306"/>
      <c r="N21" s="308"/>
      <c r="O21" s="309"/>
      <c r="P21" s="309"/>
      <c r="Q21" s="60" t="s">
        <v>71</v>
      </c>
      <c r="R21" s="52">
        <f>100%/7</f>
        <v>0.14285714285714285</v>
      </c>
      <c r="S21" s="70">
        <f>SUM(T21:AF21)</f>
        <v>1</v>
      </c>
      <c r="T21" s="42"/>
      <c r="U21" s="42"/>
      <c r="V21" s="42"/>
      <c r="W21" s="42">
        <v>0.25</v>
      </c>
      <c r="X21" s="42"/>
      <c r="Y21" s="42"/>
      <c r="Z21" s="42">
        <v>0.25</v>
      </c>
      <c r="AA21" s="42"/>
      <c r="AB21" s="42"/>
      <c r="AC21" s="42">
        <v>0.25</v>
      </c>
      <c r="AD21" s="42"/>
      <c r="AE21" s="42"/>
      <c r="AF21" s="42">
        <v>0.25</v>
      </c>
      <c r="AG21" s="234"/>
      <c r="AH21" s="236"/>
      <c r="AI21" s="232"/>
      <c r="AJ21" s="232"/>
    </row>
    <row r="22" spans="1:36" ht="36.950000000000003" customHeight="1" thickBot="1">
      <c r="A22" s="300">
        <v>5</v>
      </c>
      <c r="B22" s="648" t="s">
        <v>161</v>
      </c>
      <c r="C22" s="648" t="s">
        <v>91</v>
      </c>
      <c r="D22" s="648" t="s">
        <v>72</v>
      </c>
      <c r="E22" s="648" t="s">
        <v>92</v>
      </c>
      <c r="F22" s="307" t="s">
        <v>62</v>
      </c>
      <c r="G22" s="648" t="s">
        <v>1205</v>
      </c>
      <c r="H22" s="648" t="s">
        <v>1209</v>
      </c>
      <c r="I22" s="648" t="s">
        <v>1210</v>
      </c>
      <c r="J22" s="648" t="s">
        <v>1211</v>
      </c>
      <c r="K22" s="648" t="s">
        <v>1212</v>
      </c>
      <c r="L22" s="87" t="s">
        <v>1213</v>
      </c>
      <c r="M22" s="650" t="s">
        <v>1214</v>
      </c>
      <c r="N22" s="650" t="s">
        <v>69</v>
      </c>
      <c r="O22" s="646">
        <v>44923</v>
      </c>
      <c r="P22" s="646">
        <v>45134</v>
      </c>
      <c r="Q22" s="60" t="s">
        <v>70</v>
      </c>
      <c r="R22" s="53">
        <f>+(R23*S22)</f>
        <v>0</v>
      </c>
      <c r="S22" s="70">
        <f>SUM(T22:AF22)</f>
        <v>0</v>
      </c>
      <c r="T22" s="45"/>
      <c r="U22" s="45"/>
      <c r="V22" s="45"/>
      <c r="W22" s="45"/>
      <c r="X22" s="45"/>
      <c r="Y22" s="45"/>
      <c r="Z22" s="45"/>
      <c r="AA22" s="45"/>
      <c r="AB22" s="45"/>
      <c r="AC22" s="45"/>
      <c r="AD22" s="45"/>
      <c r="AE22" s="45"/>
      <c r="AF22" s="45"/>
      <c r="AG22" s="233"/>
      <c r="AH22" s="235"/>
      <c r="AI22" s="231"/>
      <c r="AJ22" s="231"/>
    </row>
    <row r="23" spans="1:36" ht="36.950000000000003" customHeight="1" thickBot="1">
      <c r="A23" s="301"/>
      <c r="B23" s="649"/>
      <c r="C23" s="649"/>
      <c r="D23" s="649"/>
      <c r="E23" s="649"/>
      <c r="F23" s="307"/>
      <c r="G23" s="649"/>
      <c r="H23" s="649"/>
      <c r="I23" s="649"/>
      <c r="J23" s="649"/>
      <c r="K23" s="649"/>
      <c r="L23" s="194" t="s">
        <v>1215</v>
      </c>
      <c r="M23" s="651"/>
      <c r="N23" s="651"/>
      <c r="O23" s="647"/>
      <c r="P23" s="647"/>
      <c r="Q23" s="60" t="s">
        <v>71</v>
      </c>
      <c r="R23" s="52">
        <f>100%/7</f>
        <v>0.14285714285714285</v>
      </c>
      <c r="S23" s="70">
        <f>SUM(T23:AF23)</f>
        <v>1</v>
      </c>
      <c r="T23" s="42"/>
      <c r="U23" s="42"/>
      <c r="V23" s="42"/>
      <c r="W23" s="42"/>
      <c r="X23" s="42"/>
      <c r="Y23" s="42"/>
      <c r="Z23" s="42">
        <v>0.5</v>
      </c>
      <c r="AA23" s="42"/>
      <c r="AB23" s="42"/>
      <c r="AC23" s="42"/>
      <c r="AD23" s="42"/>
      <c r="AE23" s="42"/>
      <c r="AF23" s="42">
        <v>0.5</v>
      </c>
      <c r="AG23" s="234"/>
      <c r="AH23" s="236"/>
      <c r="AI23" s="232"/>
      <c r="AJ23" s="232"/>
    </row>
    <row r="24" spans="1:36" ht="36.950000000000003" customHeight="1" thickBot="1">
      <c r="A24" s="306">
        <v>6</v>
      </c>
      <c r="B24" s="306" t="s">
        <v>161</v>
      </c>
      <c r="C24" s="306" t="s">
        <v>85</v>
      </c>
      <c r="D24" s="306" t="s">
        <v>60</v>
      </c>
      <c r="E24" s="306" t="s">
        <v>92</v>
      </c>
      <c r="F24" s="307" t="s">
        <v>62</v>
      </c>
      <c r="G24" s="648" t="s">
        <v>1216</v>
      </c>
      <c r="H24" s="648" t="s">
        <v>31</v>
      </c>
      <c r="I24" s="648" t="s">
        <v>1217</v>
      </c>
      <c r="J24" s="648" t="s">
        <v>1218</v>
      </c>
      <c r="K24" s="648" t="s">
        <v>1218</v>
      </c>
      <c r="L24" s="648" t="s">
        <v>1204</v>
      </c>
      <c r="M24" s="648" t="s">
        <v>1195</v>
      </c>
      <c r="N24" s="650" t="s">
        <v>69</v>
      </c>
      <c r="O24" s="646">
        <v>44958</v>
      </c>
      <c r="P24" s="646">
        <v>45291</v>
      </c>
      <c r="Q24" s="60" t="s">
        <v>70</v>
      </c>
      <c r="R24" s="53">
        <f>+(R25*S24)</f>
        <v>0</v>
      </c>
      <c r="S24" s="70">
        <f>SUM(T24:AF24)</f>
        <v>0</v>
      </c>
      <c r="T24" s="45"/>
      <c r="U24" s="45"/>
      <c r="V24" s="45"/>
      <c r="W24" s="45"/>
      <c r="X24" s="45"/>
      <c r="Y24" s="45"/>
      <c r="Z24" s="45"/>
      <c r="AA24" s="45"/>
      <c r="AB24" s="45"/>
      <c r="AC24" s="45"/>
      <c r="AD24" s="45"/>
      <c r="AE24" s="45"/>
      <c r="AF24" s="45"/>
      <c r="AG24" s="233"/>
      <c r="AH24" s="235"/>
      <c r="AI24" s="231"/>
      <c r="AJ24" s="231"/>
    </row>
    <row r="25" spans="1:36" ht="36.950000000000003" customHeight="1" thickBot="1">
      <c r="A25" s="306"/>
      <c r="B25" s="306"/>
      <c r="C25" s="306"/>
      <c r="D25" s="306"/>
      <c r="E25" s="306"/>
      <c r="F25" s="307"/>
      <c r="G25" s="649"/>
      <c r="H25" s="649"/>
      <c r="I25" s="649"/>
      <c r="J25" s="649"/>
      <c r="K25" s="649"/>
      <c r="L25" s="649"/>
      <c r="M25" s="649"/>
      <c r="N25" s="651"/>
      <c r="O25" s="647"/>
      <c r="P25" s="647"/>
      <c r="Q25" s="60" t="s">
        <v>71</v>
      </c>
      <c r="R25" s="52">
        <f>100%/7</f>
        <v>0.14285714285714285</v>
      </c>
      <c r="S25" s="70">
        <f>SUM(T25:AF25)</f>
        <v>1</v>
      </c>
      <c r="T25" s="42"/>
      <c r="U25" s="42"/>
      <c r="V25" s="42"/>
      <c r="W25" s="42"/>
      <c r="X25" s="42"/>
      <c r="Y25" s="42"/>
      <c r="Z25" s="42">
        <v>0.5</v>
      </c>
      <c r="AA25" s="42"/>
      <c r="AB25" s="42"/>
      <c r="AC25" s="42"/>
      <c r="AD25" s="42"/>
      <c r="AE25" s="42"/>
      <c r="AF25" s="42">
        <v>0.5</v>
      </c>
      <c r="AG25" s="233"/>
      <c r="AH25" s="235"/>
      <c r="AI25" s="231"/>
      <c r="AJ25" s="231"/>
    </row>
    <row r="26" spans="1:36" ht="36.950000000000003" customHeight="1" thickBot="1">
      <c r="A26" s="306">
        <v>7</v>
      </c>
      <c r="B26" s="306" t="s">
        <v>161</v>
      </c>
      <c r="C26" s="306" t="s">
        <v>85</v>
      </c>
      <c r="D26" s="306" t="s">
        <v>917</v>
      </c>
      <c r="E26" s="306" t="s">
        <v>92</v>
      </c>
      <c r="F26" s="307" t="s">
        <v>62</v>
      </c>
      <c r="G26" s="648" t="s">
        <v>1219</v>
      </c>
      <c r="H26" s="648" t="s">
        <v>1209</v>
      </c>
      <c r="I26" s="648" t="s">
        <v>1220</v>
      </c>
      <c r="J26" s="648" t="s">
        <v>1221</v>
      </c>
      <c r="K26" s="648" t="s">
        <v>1221</v>
      </c>
      <c r="L26" s="87" t="s">
        <v>1213</v>
      </c>
      <c r="M26" s="650" t="s">
        <v>1214</v>
      </c>
      <c r="N26" s="650" t="s">
        <v>69</v>
      </c>
      <c r="O26" s="646">
        <v>44958</v>
      </c>
      <c r="P26" s="646">
        <v>45260</v>
      </c>
      <c r="Q26" s="60" t="s">
        <v>70</v>
      </c>
      <c r="R26" s="53">
        <f>+(R27*S26)</f>
        <v>0</v>
      </c>
      <c r="S26" s="70">
        <f>SUM(T26:AF26)</f>
        <v>0</v>
      </c>
      <c r="T26" s="45"/>
      <c r="U26" s="45"/>
      <c r="V26" s="45"/>
      <c r="W26" s="45"/>
      <c r="X26" s="45"/>
      <c r="Y26" s="45"/>
      <c r="Z26" s="45"/>
      <c r="AA26" s="45"/>
      <c r="AB26" s="45"/>
      <c r="AC26" s="45"/>
      <c r="AD26" s="45"/>
      <c r="AE26" s="45"/>
      <c r="AF26" s="45"/>
      <c r="AG26" s="233"/>
      <c r="AH26" s="235"/>
      <c r="AI26" s="231"/>
      <c r="AJ26" s="231"/>
    </row>
    <row r="27" spans="1:36" ht="36.950000000000003" customHeight="1">
      <c r="A27" s="306"/>
      <c r="B27" s="306"/>
      <c r="C27" s="306"/>
      <c r="D27" s="306"/>
      <c r="E27" s="306"/>
      <c r="F27" s="307"/>
      <c r="G27" s="649"/>
      <c r="H27" s="649"/>
      <c r="I27" s="649"/>
      <c r="J27" s="649"/>
      <c r="K27" s="649"/>
      <c r="L27" s="194" t="s">
        <v>1222</v>
      </c>
      <c r="M27" s="651"/>
      <c r="N27" s="651"/>
      <c r="O27" s="647"/>
      <c r="P27" s="647"/>
      <c r="Q27" s="60" t="s">
        <v>71</v>
      </c>
      <c r="R27" s="52">
        <f>100%/7</f>
        <v>0.14285714285714285</v>
      </c>
      <c r="S27" s="70">
        <f>SUM(T27:AF27)</f>
        <v>1</v>
      </c>
      <c r="T27" s="42"/>
      <c r="U27" s="42"/>
      <c r="V27" s="42"/>
      <c r="W27" s="42"/>
      <c r="X27" s="42"/>
      <c r="Y27" s="42"/>
      <c r="Z27" s="42">
        <v>0.5</v>
      </c>
      <c r="AA27" s="42"/>
      <c r="AB27" s="42"/>
      <c r="AC27" s="42"/>
      <c r="AD27" s="42"/>
      <c r="AE27" s="42"/>
      <c r="AF27" s="42">
        <v>0.5</v>
      </c>
      <c r="AG27" s="234"/>
      <c r="AH27" s="236"/>
      <c r="AI27" s="232"/>
      <c r="AJ27" s="232"/>
    </row>
    <row r="28" spans="1:36" s="13" customFormat="1" ht="14.1" hidden="1" customHeight="1" thickBot="1">
      <c r="A28" s="300">
        <v>7</v>
      </c>
      <c r="B28" s="652" t="s">
        <v>161</v>
      </c>
      <c r="C28" s="652" t="s">
        <v>85</v>
      </c>
      <c r="D28" s="652" t="s">
        <v>917</v>
      </c>
      <c r="E28" s="652" t="s">
        <v>92</v>
      </c>
      <c r="H28" s="90"/>
      <c r="I28" s="20" t="s">
        <v>119</v>
      </c>
      <c r="J28" s="19"/>
      <c r="K28" s="35"/>
      <c r="L28" s="35"/>
      <c r="M28" s="35"/>
      <c r="N28" s="35"/>
      <c r="O28" s="35"/>
      <c r="P28" s="35"/>
      <c r="Q28" s="35"/>
      <c r="R28" s="38"/>
      <c r="S28" s="35"/>
      <c r="T28" s="35"/>
      <c r="U28" s="28"/>
      <c r="V28" s="29"/>
      <c r="W28" s="29"/>
      <c r="X28" s="29"/>
      <c r="Y28" s="29"/>
      <c r="Z28" s="29"/>
      <c r="AA28" s="29"/>
      <c r="AB28" s="29"/>
      <c r="AC28" s="29" t="e">
        <f>+#REF!+#REF!</f>
        <v>#REF!</v>
      </c>
      <c r="AD28" s="40"/>
      <c r="AE28" s="41"/>
      <c r="AF28" s="62"/>
    </row>
    <row r="29" spans="1:36" ht="14.1" hidden="1" customHeight="1">
      <c r="A29" s="301"/>
      <c r="B29" s="653"/>
      <c r="C29" s="653"/>
      <c r="D29" s="653"/>
      <c r="E29" s="653"/>
      <c r="H29" s="24"/>
      <c r="I29" s="326" t="s">
        <v>120</v>
      </c>
      <c r="J29" s="326"/>
      <c r="K29" s="46"/>
      <c r="L29" s="46"/>
      <c r="M29" s="46"/>
      <c r="N29" s="46"/>
      <c r="O29" s="46"/>
      <c r="P29" s="46" t="e">
        <f>+#REF!/P27</f>
        <v>#REF!</v>
      </c>
      <c r="Q29" s="47" t="e">
        <f>+(#REF!+#REF!+#REF!+#REF!+#REF!+#REF!+#REF!+#REF!)/(P27+#REF!+#REF!+#REF!+#REF!+#REF!+#REF!+Q27)</f>
        <v>#REF!</v>
      </c>
      <c r="R29" s="48" t="e">
        <f>+(#REF!+#REF!+#REF!+#REF!+#REF!+#REF!+#REF!+#REF!+#REF!)/(P27+#REF!+#REF!+#REF!+#REF!+#REF!+#REF!+Q27+R27)</f>
        <v>#REF!</v>
      </c>
      <c r="S29" s="46" t="e">
        <f>+(#REF!+#REF!+#REF!+#REF!+#REF!+#REF!+#REF!+#REF!+#REF!+#REF!)/(P27+#REF!+#REF!+#REF!+#REF!+#REF!+#REF!+Q27+R27+S27)</f>
        <v>#REF!</v>
      </c>
      <c r="T29" s="46" t="e">
        <f>+(#REF!+#REF!+#REF!+#REF!+#REF!+#REF!+#REF!+#REF!+#REF!+#REF!+#REF!)/(P27+#REF!+#REF!+#REF!+#REF!+#REF!+#REF!+Q27+R27+S27+T27)</f>
        <v>#REF!</v>
      </c>
      <c r="U29" s="47" t="e">
        <f>+(#REF!+#REF!+#REF!+#REF!+#REF!+#REF!+#REF!+#REF!+#REF!+#REF!+#REF!+#REF!)/(P27+#REF!+#REF!+#REF!+#REF!+#REF!+#REF!+Q27+R27+S27+T27+U27)</f>
        <v>#REF!</v>
      </c>
      <c r="V29" s="46" t="e">
        <f>+(#REF!+#REF!+#REF!+#REF!+#REF!+#REF!+#REF!+#REF!+#REF!+#REF!+#REF!+#REF!+#REF!)/(P27+#REF!+#REF!+#REF!+#REF!+#REF!+#REF!+Q27+R27+S27+T27+U27+V27)</f>
        <v>#REF!</v>
      </c>
      <c r="W29" s="46" t="e">
        <f>+(#REF!+#REF!+#REF!+#REF!+#REF!+#REF!+#REF!+#REF!+#REF!+#REF!+#REF!+#REF!+#REF!+#REF!)/(P27+#REF!+#REF!+#REF!+#REF!+#REF!+#REF!+Q27+R27+S27+T27+U27+V27+W27)</f>
        <v>#REF!</v>
      </c>
      <c r="X29" s="46" t="e">
        <f>+(#REF!+#REF!+#REF!+#REF!+#REF!+#REF!+#REF!+#REF!+#REF!+#REF!+#REF!+#REF!+#REF!+#REF!+#REF!)/(P27+#REF!+#REF!+#REF!+#REF!+#REF!+#REF!+Q27+R27+S27+T27+U27+V27+W27+X27)</f>
        <v>#REF!</v>
      </c>
      <c r="Y29" s="47" t="e">
        <f>+(#REF!+#REF!+#REF!+#REF!+#REF!+#REF!+#REF!+#REF!+#REF!+#REF!+#REF!+#REF!+#REF!+#REF!+#REF!+#REF!)/(P27+#REF!+#REF!+#REF!+#REF!+#REF!+#REF!+Q27+R27+S27+T27+U27+V27+W27+X27+Y27)</f>
        <v>#REF!</v>
      </c>
      <c r="Z29" s="46" t="e">
        <f>+(#REF!+#REF!+#REF!+#REF!+#REF!+#REF!+#REF!+#REF!+#REF!+#REF!+#REF!+#REF!+#REF!+#REF!+#REF!+#REF!+#REF!)/(P27+#REF!+#REF!+#REF!+#REF!+#REF!+#REF!+Q27+R27+S27+T27+U27+V27+W27+X27+Y27+Z27)</f>
        <v>#REF!</v>
      </c>
      <c r="AA29" s="46" t="e">
        <f>+(#REF!+#REF!+#REF!+#REF!+#REF!+#REF!+#REF!+#REF!+#REF!+#REF!+#REF!+#REF!+#REF!+#REF!+#REF!+#REF!+#REF!+#REF!)/(P27+#REF!+#REF!+#REF!+#REF!+#REF!+#REF!+Q27+R27+S27+T27+U27+V27+W27+X27+Y27+Z27+AA27)</f>
        <v>#REF!</v>
      </c>
      <c r="AB29" s="46" t="e">
        <f>+(#REF!+#REF!+#REF!+#REF!+#REF!+#REF!+#REF!+#REF!+#REF!+#REF!+#REF!+#REF!+#REF!+#REF!+#REF!+#REF!+#REF!+#REF!+#REF!)/(P27+#REF!+#REF!+#REF!+#REF!+#REF!+#REF!+Q27+R27+S27+T27+U27+V27+W27+X27+Y27+Z27+AA27+AB27)</f>
        <v>#REF!</v>
      </c>
      <c r="AC29" s="47" t="e">
        <f>+(#REF!+#REF!+#REF!+#REF!+#REF!+#REF!+#REF!+#REF!+#REF!+#REF!+#REF!+#REF!+#REF!+#REF!+#REF!+#REF!+#REF!+#REF!+#REF!+#REF!)/(P27+#REF!+#REF!+#REF!+#REF!+#REF!+#REF!+Q27+R27+S27+T27+U27+V27+W27+X27+Y27+Z27+AA27+AB27+AC27)</f>
        <v>#REF!</v>
      </c>
      <c r="AD29" s="48" t="e">
        <f>+(#REF!+#REF!+#REF!+#REF!+#REF!+#REF!+#REF!+#REF!+#REF!+#REF!+#REF!+#REF!+#REF!+#REF!+#REF!+#REF!+#REF!+#REF!+#REF!+#REF!+#REF!)/(P27+#REF!+#REF!+#REF!+#REF!+#REF!+#REF!+Q27+R27+S27+T27+U27+V27+W27+X27+Y27+Z27+AA27+AB27+AC27+AD27)</f>
        <v>#REF!</v>
      </c>
      <c r="AE29" s="46" t="e">
        <f>+(#REF!+#REF!+#REF!+#REF!+#REF!+#REF!+#REF!+#REF!+#REF!+#REF!+#REF!+#REF!+#REF!+#REF!+#REF!+#REF!+#REF!+#REF!+#REF!+#REF!+#REF!+#REF!)/(P27+#REF!+#REF!+#REF!+#REF!+#REF!+#REF!+Q27+R27+S27+T27+U27+V27+W27+X27+Y27+Z27+AA27+AB27+AC27+AD27+AE27)</f>
        <v>#REF!</v>
      </c>
      <c r="AF29" s="63"/>
    </row>
    <row r="30" spans="1:36" ht="14.1" hidden="1" customHeight="1">
      <c r="I30" s="327" t="s">
        <v>121</v>
      </c>
      <c r="J30" s="327"/>
      <c r="L30" s="47"/>
      <c r="M30" s="47"/>
      <c r="N30" s="47"/>
      <c r="O30" s="47"/>
      <c r="P30" s="47" t="e">
        <f>+#REF!/#REF!</f>
        <v>#REF!</v>
      </c>
      <c r="Q30" s="47" t="e">
        <f>+(#REF!+#REF!+#REF!+#REF!+#REF!+#REF!+#REF!+#REF!)/#REF!</f>
        <v>#REF!</v>
      </c>
      <c r="R30" s="49" t="e">
        <f>+(#REF!+#REF!+#REF!+#REF!+#REF!+#REF!+#REF!+#REF!+#REF!)/#REF!</f>
        <v>#REF!</v>
      </c>
      <c r="S30" s="47" t="e">
        <f>+(#REF!+#REF!+#REF!+#REF!+#REF!+#REF!+#REF!+#REF!+#REF!+#REF!)/#REF!</f>
        <v>#REF!</v>
      </c>
      <c r="T30" s="47" t="e">
        <f>+(#REF!+#REF!+#REF!+#REF!+#REF!+#REF!+#REF!+#REF!+#REF!+#REF!+#REF!)/#REF!</f>
        <v>#REF!</v>
      </c>
      <c r="U30" s="47" t="e">
        <f>+(#REF!+#REF!+#REF!+#REF!+#REF!+#REF!+#REF!+#REF!+#REF!+#REF!+#REF!+#REF!)/#REF!</f>
        <v>#REF!</v>
      </c>
      <c r="V30" s="47" t="e">
        <f>+(#REF!+#REF!+#REF!+#REF!+#REF!+#REF!+#REF!+#REF!+#REF!+#REF!+#REF!+#REF!+#REF!)/#REF!</f>
        <v>#REF!</v>
      </c>
      <c r="W30" s="47" t="e">
        <f>+(#REF!+#REF!+#REF!+#REF!+#REF!+#REF!+#REF!+#REF!+#REF!+#REF!+#REF!+#REF!+#REF!+#REF!)/#REF!</f>
        <v>#REF!</v>
      </c>
      <c r="X30" s="47" t="e">
        <f>+(#REF!+#REF!+#REF!+#REF!+#REF!+#REF!+#REF!+#REF!+#REF!+#REF!+#REF!+#REF!+#REF!+#REF!+#REF!)/#REF!</f>
        <v>#REF!</v>
      </c>
      <c r="Y30" s="47" t="e">
        <f>+(#REF!+#REF!+#REF!+#REF!+#REF!+#REF!+#REF!+#REF!+#REF!+#REF!+#REF!+#REF!+#REF!+#REF!+#REF!+#REF!)/#REF!</f>
        <v>#REF!</v>
      </c>
      <c r="Z30" s="47" t="e">
        <f>+(#REF!+#REF!+#REF!+#REF!+#REF!+#REF!+#REF!+#REF!+#REF!+#REF!+#REF!+#REF!+#REF!+#REF!+#REF!+#REF!+#REF!)/#REF!</f>
        <v>#REF!</v>
      </c>
      <c r="AA30" s="47" t="e">
        <f>+(#REF!+#REF!+#REF!+#REF!+#REF!+#REF!+#REF!+#REF!+#REF!+#REF!+#REF!+#REF!+#REF!+#REF!+#REF!+#REF!+#REF!+#REF!)/#REF!</f>
        <v>#REF!</v>
      </c>
      <c r="AB30" s="47" t="e">
        <f>+(#REF!+#REF!+#REF!+#REF!+#REF!+#REF!+#REF!+#REF!+#REF!+#REF!+#REF!+#REF!+#REF!+#REF!+#REF!+#REF!+#REF!+#REF!+#REF!)/#REF!</f>
        <v>#REF!</v>
      </c>
      <c r="AC30" s="47" t="e">
        <f>+(#REF!+#REF!+#REF!+#REF!+#REF!+#REF!+#REF!+#REF!+#REF!+#REF!+#REF!+#REF!+#REF!+#REF!+#REF!+#REF!+#REF!+#REF!+#REF!+#REF!)/#REF!</f>
        <v>#REF!</v>
      </c>
      <c r="AD30" s="49" t="e">
        <f>+(#REF!+#REF!+#REF!+#REF!+#REF!+#REF!+#REF!+#REF!+#REF!+#REF!+#REF!+#REF!+#REF!+#REF!+#REF!+#REF!+#REF!+#REF!+#REF!+#REF!+#REF!)/#REF!</f>
        <v>#REF!</v>
      </c>
      <c r="AE30" s="47" t="e">
        <f>+(#REF!+#REF!+#REF!+#REF!+#REF!+#REF!+#REF!+#REF!+#REF!+#REF!+#REF!+#REF!+#REF!+#REF!+#REF!+#REF!+#REF!+#REF!+#REF!+#REF!+#REF!+#REF!)/#REF!</f>
        <v>#REF!</v>
      </c>
      <c r="AF30" s="64"/>
    </row>
    <row r="31" spans="1:36" ht="14.1" hidden="1" customHeight="1">
      <c r="I31" s="326" t="s">
        <v>122</v>
      </c>
      <c r="J31" s="326"/>
      <c r="K31" s="50"/>
      <c r="L31" s="50"/>
      <c r="M31" s="50"/>
      <c r="N31" s="50"/>
      <c r="O31" s="50"/>
      <c r="P31" s="50"/>
      <c r="Q31" s="47" t="e">
        <f>+#REF!/#REF!</f>
        <v>#REF!</v>
      </c>
      <c r="R31" s="51"/>
      <c r="S31" s="50"/>
      <c r="T31" s="50"/>
      <c r="U31" s="47" t="e">
        <f>+#REF!/#REF!</f>
        <v>#REF!</v>
      </c>
      <c r="V31" s="50"/>
      <c r="W31" s="50"/>
      <c r="X31" s="50"/>
      <c r="Y31" s="47" t="e">
        <f>+#REF!/#REF!</f>
        <v>#REF!</v>
      </c>
      <c r="Z31" s="50"/>
      <c r="AA31" s="50"/>
      <c r="AB31" s="50"/>
      <c r="AC31" s="47" t="e">
        <f>+#REF!/#REF!</f>
        <v>#REF!</v>
      </c>
      <c r="AD31" s="51"/>
      <c r="AE31" s="50"/>
      <c r="AF31" s="65"/>
    </row>
    <row r="32" spans="1:36" ht="5.0999999999999996" hidden="1" customHeight="1">
      <c r="I32" s="327" t="s">
        <v>123</v>
      </c>
      <c r="J32" s="327"/>
      <c r="K32" s="50"/>
      <c r="L32" s="50"/>
      <c r="M32" s="50"/>
      <c r="N32" s="50"/>
      <c r="O32" s="50"/>
      <c r="P32" s="50"/>
      <c r="Q32" s="47" t="e">
        <f>+(#REF!+#REF!)/#REF!</f>
        <v>#REF!</v>
      </c>
      <c r="R32" s="51"/>
      <c r="S32" s="50"/>
      <c r="T32" s="50"/>
      <c r="U32" s="47" t="e">
        <f>+(#REF!+#REF!+#REF!)/#REF!</f>
        <v>#REF!</v>
      </c>
      <c r="V32" s="50"/>
      <c r="W32" s="50"/>
      <c r="X32" s="50"/>
      <c r="Y32" s="47" t="e">
        <f>+(#REF!+#REF!+#REF!+#REF!)/#REF!</f>
        <v>#REF!</v>
      </c>
      <c r="Z32" s="50"/>
      <c r="AA32" s="50"/>
      <c r="AB32" s="50"/>
      <c r="AC32" s="47" t="e">
        <f>+(#REF!+#REF!+#REF!+#REF!+#REF!)/#REF!</f>
        <v>#REF!</v>
      </c>
      <c r="AD32" s="51"/>
      <c r="AE32" s="50"/>
      <c r="AF32" s="65"/>
    </row>
    <row r="33" spans="8:32" ht="14.1" hidden="1" customHeight="1">
      <c r="I33" s="326" t="s">
        <v>124</v>
      </c>
      <c r="J33" s="326"/>
      <c r="K33" s="50"/>
      <c r="L33" s="50"/>
      <c r="M33" s="50"/>
      <c r="N33" s="50"/>
      <c r="O33" s="50"/>
      <c r="P33" s="50"/>
      <c r="Q33" s="47" t="e">
        <f>+(#REF!+#REF!)/(#REF!+#REF!)</f>
        <v>#REF!</v>
      </c>
      <c r="R33" s="51"/>
      <c r="S33" s="50"/>
      <c r="T33" s="50"/>
      <c r="U33" s="50"/>
      <c r="V33" s="50"/>
      <c r="W33" s="50"/>
      <c r="X33" s="50"/>
      <c r="Y33" s="50"/>
      <c r="Z33" s="50"/>
      <c r="AA33" s="50"/>
      <c r="AB33" s="50"/>
      <c r="AC33" s="47" t="e">
        <f>+(#REF!+#REF!+#REF!+#REF!+#REF!)/(#REF!+#REF!+#REF!+#REF!+#REF!)</f>
        <v>#REF!</v>
      </c>
      <c r="AD33" s="51"/>
      <c r="AE33" s="50"/>
      <c r="AF33" s="65"/>
    </row>
    <row r="34" spans="8:32" ht="14.1" hidden="1" customHeight="1">
      <c r="I34" s="326" t="s">
        <v>125</v>
      </c>
      <c r="J34" s="326"/>
      <c r="K34" s="50"/>
      <c r="L34" s="50"/>
      <c r="M34" s="50"/>
      <c r="N34" s="50"/>
      <c r="O34" s="50"/>
      <c r="P34" s="50"/>
      <c r="Q34" s="47" t="e">
        <f>+(#REF!+#REF!)/#REF!</f>
        <v>#REF!</v>
      </c>
      <c r="R34" s="51"/>
      <c r="S34" s="50"/>
      <c r="T34" s="50"/>
      <c r="U34" s="50"/>
      <c r="V34" s="50"/>
      <c r="W34" s="50"/>
      <c r="X34" s="50"/>
      <c r="Y34" s="50"/>
      <c r="Z34" s="50"/>
      <c r="AA34" s="50"/>
      <c r="AB34" s="50"/>
      <c r="AC34" s="47" t="e">
        <f>+(+#REF!+#REF!+#REF!+#REF!+#REF!)/#REF!</f>
        <v>#REF!</v>
      </c>
      <c r="AD34" s="51"/>
      <c r="AE34" s="50"/>
      <c r="AF34" s="65"/>
    </row>
    <row r="35" spans="8:32" ht="14.1" hidden="1" customHeight="1"/>
    <row r="36" spans="8:32" ht="14.1" hidden="1" customHeight="1">
      <c r="H36" s="325" t="s">
        <v>126</v>
      </c>
      <c r="I36" s="325"/>
      <c r="J36" s="30" t="e">
        <f>+#REF!</f>
        <v>#REF!</v>
      </c>
      <c r="K36" s="32"/>
      <c r="L36" s="32"/>
      <c r="M36" s="32"/>
      <c r="N36" s="32"/>
      <c r="O36" s="32"/>
      <c r="P36" s="32"/>
    </row>
    <row r="37" spans="8:32" ht="14.1" hidden="1" customHeight="1" thickBot="1">
      <c r="H37" s="325" t="s">
        <v>127</v>
      </c>
      <c r="I37" s="325"/>
      <c r="J37" s="25" t="e">
        <f>+#REF!</f>
        <v>#REF!</v>
      </c>
      <c r="K37" s="32"/>
      <c r="L37" s="32"/>
      <c r="M37" s="32"/>
      <c r="N37" s="32"/>
      <c r="O37" s="32"/>
      <c r="P37" s="32"/>
    </row>
    <row r="38" spans="8:32" ht="35.1" hidden="1" customHeight="1" thickBot="1">
      <c r="H38" s="325" t="s">
        <v>128</v>
      </c>
      <c r="I38" s="325"/>
      <c r="J38" s="31" t="e">
        <f>+J36/J37</f>
        <v>#REF!</v>
      </c>
      <c r="K38" s="32"/>
      <c r="L38" s="32"/>
      <c r="M38" s="32"/>
      <c r="N38" s="32"/>
      <c r="O38" s="32"/>
      <c r="P38" s="32"/>
    </row>
    <row r="39" spans="8:32" ht="15" customHeight="1">
      <c r="K39" s="32"/>
      <c r="L39" s="32"/>
      <c r="M39" s="32"/>
      <c r="N39" s="32"/>
      <c r="O39" s="32"/>
      <c r="P39" s="32"/>
    </row>
    <row r="40" spans="8:32" ht="15" customHeight="1">
      <c r="K40" s="32"/>
      <c r="L40" s="32"/>
      <c r="M40" s="32"/>
      <c r="N40" s="32"/>
      <c r="O40" s="32"/>
      <c r="P40" s="32"/>
    </row>
    <row r="41" spans="8:32" ht="15" customHeight="1">
      <c r="K41" s="32"/>
      <c r="L41" s="32"/>
      <c r="M41" s="32"/>
      <c r="N41" s="32"/>
      <c r="O41" s="32"/>
      <c r="P41" s="32"/>
    </row>
  </sheetData>
  <mergeCells count="207">
    <mergeCell ref="A1:C3"/>
    <mergeCell ref="D1:AJ3"/>
    <mergeCell ref="A4:A5"/>
    <mergeCell ref="G4:G5"/>
    <mergeCell ref="A6:B10"/>
    <mergeCell ref="C6:D10"/>
    <mergeCell ref="E6:F10"/>
    <mergeCell ref="G6:G10"/>
    <mergeCell ref="H6:I10"/>
    <mergeCell ref="J6:J10"/>
    <mergeCell ref="AI6:AI10"/>
    <mergeCell ref="A11:F11"/>
    <mergeCell ref="G11:P11"/>
    <mergeCell ref="Q11:AF11"/>
    <mergeCell ref="AG11:AJ11"/>
    <mergeCell ref="K6:L10"/>
    <mergeCell ref="M6:M10"/>
    <mergeCell ref="N6:P10"/>
    <mergeCell ref="Q6:S10"/>
    <mergeCell ref="T6:W10"/>
    <mergeCell ref="X6:AA10"/>
    <mergeCell ref="A12:A13"/>
    <mergeCell ref="B12:B13"/>
    <mergeCell ref="C12:C13"/>
    <mergeCell ref="D12:D13"/>
    <mergeCell ref="E12:E13"/>
    <mergeCell ref="F12:F13"/>
    <mergeCell ref="AB6:AE10"/>
    <mergeCell ref="AF6:AG10"/>
    <mergeCell ref="AH6:AH10"/>
    <mergeCell ref="P12:P13"/>
    <mergeCell ref="Q12:Q13"/>
    <mergeCell ref="R12:R13"/>
    <mergeCell ref="S12:S13"/>
    <mergeCell ref="O12:O13"/>
    <mergeCell ref="G12:G13"/>
    <mergeCell ref="H12:H13"/>
    <mergeCell ref="I12:I13"/>
    <mergeCell ref="J12:J13"/>
    <mergeCell ref="K12:K13"/>
    <mergeCell ref="L12:L13"/>
    <mergeCell ref="AF12:AF13"/>
    <mergeCell ref="AG12:AG13"/>
    <mergeCell ref="AH12:AH13"/>
    <mergeCell ref="AI12:AI13"/>
    <mergeCell ref="AJ12:AJ13"/>
    <mergeCell ref="A14:A15"/>
    <mergeCell ref="B14:B15"/>
    <mergeCell ref="C14:C15"/>
    <mergeCell ref="D14:D15"/>
    <mergeCell ref="E14:E15"/>
    <mergeCell ref="Z12:Z13"/>
    <mergeCell ref="AA12:AA13"/>
    <mergeCell ref="AB12:AB13"/>
    <mergeCell ref="AC12:AC13"/>
    <mergeCell ref="AD12:AD13"/>
    <mergeCell ref="AE12:AE13"/>
    <mergeCell ref="T12:T13"/>
    <mergeCell ref="U12:U13"/>
    <mergeCell ref="V12:V13"/>
    <mergeCell ref="W12:W13"/>
    <mergeCell ref="X12:X13"/>
    <mergeCell ref="Y12:Y13"/>
    <mergeCell ref="M12:M13"/>
    <mergeCell ref="N12:N13"/>
    <mergeCell ref="AI14:AI15"/>
    <mergeCell ref="AJ14:AJ15"/>
    <mergeCell ref="A16:A17"/>
    <mergeCell ref="B16:B17"/>
    <mergeCell ref="C16:C17"/>
    <mergeCell ref="D16:D17"/>
    <mergeCell ref="E16:E17"/>
    <mergeCell ref="F16:F17"/>
    <mergeCell ref="G16:G17"/>
    <mergeCell ref="H16:H17"/>
    <mergeCell ref="L14:L15"/>
    <mergeCell ref="M14:M15"/>
    <mergeCell ref="N14:N15"/>
    <mergeCell ref="P14:P15"/>
    <mergeCell ref="AG14:AG15"/>
    <mergeCell ref="AH14:AH15"/>
    <mergeCell ref="O14:O15"/>
    <mergeCell ref="F14:F15"/>
    <mergeCell ref="G14:G15"/>
    <mergeCell ref="H14:H15"/>
    <mergeCell ref="I14:I15"/>
    <mergeCell ref="J14:J15"/>
    <mergeCell ref="K14:K15"/>
    <mergeCell ref="P16:P17"/>
    <mergeCell ref="AG16:AG17"/>
    <mergeCell ref="AH16:AH17"/>
    <mergeCell ref="AI16:AI17"/>
    <mergeCell ref="AJ16:AJ17"/>
    <mergeCell ref="I16:I17"/>
    <mergeCell ref="J16:J17"/>
    <mergeCell ref="K16:K17"/>
    <mergeCell ref="L16:L17"/>
    <mergeCell ref="M16:M17"/>
    <mergeCell ref="N16:N17"/>
    <mergeCell ref="P18:P19"/>
    <mergeCell ref="O20:O21"/>
    <mergeCell ref="A20:A21"/>
    <mergeCell ref="B20:B21"/>
    <mergeCell ref="C20:C21"/>
    <mergeCell ref="D20:D21"/>
    <mergeCell ref="E20:E21"/>
    <mergeCell ref="L18:L19"/>
    <mergeCell ref="M18:M19"/>
    <mergeCell ref="N18:N19"/>
    <mergeCell ref="O18:O19"/>
    <mergeCell ref="G18:G19"/>
    <mergeCell ref="H18:H19"/>
    <mergeCell ref="I18:I19"/>
    <mergeCell ref="J18:J19"/>
    <mergeCell ref="K18:K19"/>
    <mergeCell ref="AI20:AI21"/>
    <mergeCell ref="AJ20:AJ21"/>
    <mergeCell ref="I20:I21"/>
    <mergeCell ref="J20:J21"/>
    <mergeCell ref="K20:K21"/>
    <mergeCell ref="L20:L21"/>
    <mergeCell ref="M20:M21"/>
    <mergeCell ref="N20:N21"/>
    <mergeCell ref="F20:F21"/>
    <mergeCell ref="G20:G21"/>
    <mergeCell ref="H20:H21"/>
    <mergeCell ref="F22:F23"/>
    <mergeCell ref="G22:G23"/>
    <mergeCell ref="H22:H23"/>
    <mergeCell ref="I22:I23"/>
    <mergeCell ref="J22:J23"/>
    <mergeCell ref="K22:K23"/>
    <mergeCell ref="P20:P21"/>
    <mergeCell ref="AG20:AG21"/>
    <mergeCell ref="AH20:AH21"/>
    <mergeCell ref="AI22:AI23"/>
    <mergeCell ref="AJ22:AJ23"/>
    <mergeCell ref="K24:K25"/>
    <mergeCell ref="M22:M23"/>
    <mergeCell ref="N22:N23"/>
    <mergeCell ref="P22:P23"/>
    <mergeCell ref="AG22:AG23"/>
    <mergeCell ref="AH22:AH23"/>
    <mergeCell ref="O22:O23"/>
    <mergeCell ref="H36:I36"/>
    <mergeCell ref="H37:I37"/>
    <mergeCell ref="H38:I38"/>
    <mergeCell ref="I29:J29"/>
    <mergeCell ref="I30:J30"/>
    <mergeCell ref="I31:J31"/>
    <mergeCell ref="I32:J32"/>
    <mergeCell ref="I33:J33"/>
    <mergeCell ref="I34:J34"/>
    <mergeCell ref="A18:A19"/>
    <mergeCell ref="B18:B19"/>
    <mergeCell ref="C18:C19"/>
    <mergeCell ref="D18:D19"/>
    <mergeCell ref="E18:E19"/>
    <mergeCell ref="A22:A23"/>
    <mergeCell ref="B22:B23"/>
    <mergeCell ref="C22:C23"/>
    <mergeCell ref="D22:D23"/>
    <mergeCell ref="E22:E23"/>
    <mergeCell ref="C24:C25"/>
    <mergeCell ref="D24:D25"/>
    <mergeCell ref="E24:E25"/>
    <mergeCell ref="F24:F25"/>
    <mergeCell ref="A26:A27"/>
    <mergeCell ref="B26:B27"/>
    <mergeCell ref="C26:C27"/>
    <mergeCell ref="D26:D27"/>
    <mergeCell ref="E26:E27"/>
    <mergeCell ref="A24:A25"/>
    <mergeCell ref="B24:B25"/>
    <mergeCell ref="O16:O17"/>
    <mergeCell ref="AJ26:AJ27"/>
    <mergeCell ref="H26:H27"/>
    <mergeCell ref="A28:A29"/>
    <mergeCell ref="B28:B29"/>
    <mergeCell ref="C28:C29"/>
    <mergeCell ref="D28:D29"/>
    <mergeCell ref="E28:E29"/>
    <mergeCell ref="M26:M27"/>
    <mergeCell ref="N26:N27"/>
    <mergeCell ref="P26:P27"/>
    <mergeCell ref="AG26:AG27"/>
    <mergeCell ref="AH26:AH27"/>
    <mergeCell ref="AI26:AI27"/>
    <mergeCell ref="F26:F27"/>
    <mergeCell ref="G26:G27"/>
    <mergeCell ref="I26:I27"/>
    <mergeCell ref="J26:J27"/>
    <mergeCell ref="K26:K27"/>
    <mergeCell ref="AG24:AG25"/>
    <mergeCell ref="AH24:AH25"/>
    <mergeCell ref="AI24:AI25"/>
    <mergeCell ref="AJ24:AJ25"/>
    <mergeCell ref="P24:P25"/>
    <mergeCell ref="O26:O27"/>
    <mergeCell ref="G24:G25"/>
    <mergeCell ref="H24:H25"/>
    <mergeCell ref="I24:I25"/>
    <mergeCell ref="J24:J25"/>
    <mergeCell ref="L24:L25"/>
    <mergeCell ref="M24:M25"/>
    <mergeCell ref="N24:N25"/>
    <mergeCell ref="O24:O25"/>
  </mergeCells>
  <conditionalFormatting sqref="J38 Q29:Q34 U29:U32 Y29:Y32 AC29:AC34 K30:P30 R30:T30 V30:X30 Z30:AB30 AD30:AF30">
    <cfRule type="cellIs" dxfId="50" priority="20" operator="greaterThanOrEqual">
      <formula>$D$9</formula>
    </cfRule>
    <cfRule type="cellIs" dxfId="49" priority="21" operator="lessThanOrEqual">
      <formula>$C$6</formula>
    </cfRule>
    <cfRule type="cellIs" dxfId="48" priority="22" operator="between">
      <formula>$C$6</formula>
      <formula>$D$9</formula>
    </cfRule>
  </conditionalFormatting>
  <conditionalFormatting sqref="J6 S14:S27">
    <cfRule type="cellIs" dxfId="47" priority="17" operator="greaterThanOrEqual">
      <formula>$C$5</formula>
    </cfRule>
    <cfRule type="cellIs" dxfId="46" priority="18" operator="lessThanOrEqual">
      <formula>$C$4</formula>
    </cfRule>
    <cfRule type="cellIs" dxfId="45" priority="19" operator="between">
      <formula>$C$5</formula>
      <formula>$C$4</formula>
    </cfRule>
  </conditionalFormatting>
  <conditionalFormatting sqref="I4">
    <cfRule type="cellIs" dxfId="44" priority="16" operator="lessThanOrEqual">
      <formula>$C$4</formula>
    </cfRule>
  </conditionalFormatting>
  <conditionalFormatting sqref="Q6">
    <cfRule type="cellIs" dxfId="43" priority="13" operator="greaterThanOrEqual">
      <formula>$I$5</formula>
    </cfRule>
    <cfRule type="cellIs" dxfId="42" priority="14" operator="lessThanOrEqual">
      <formula>$I$4</formula>
    </cfRule>
    <cfRule type="cellIs" dxfId="41" priority="15" operator="between">
      <formula>$I$5</formula>
      <formula>$I$4</formula>
    </cfRule>
  </conditionalFormatting>
  <conditionalFormatting sqref="X6">
    <cfRule type="cellIs" dxfId="40" priority="7" operator="greaterThanOrEqual">
      <formula>$I$5</formula>
    </cfRule>
    <cfRule type="cellIs" dxfId="39" priority="8" operator="lessThanOrEqual">
      <formula>$I$4</formula>
    </cfRule>
    <cfRule type="cellIs" dxfId="38" priority="9" operator="between">
      <formula>$I$5</formula>
      <formula>$I$4</formula>
    </cfRule>
  </conditionalFormatting>
  <conditionalFormatting sqref="AF6">
    <cfRule type="cellIs" dxfId="37" priority="4" operator="greaterThanOrEqual">
      <formula>$I$5</formula>
    </cfRule>
    <cfRule type="cellIs" dxfId="36" priority="5" operator="lessThanOrEqual">
      <formula>$I$4</formula>
    </cfRule>
    <cfRule type="cellIs" dxfId="35" priority="6" operator="between">
      <formula>$I$5</formula>
      <formula>$I$4</formula>
    </cfRule>
  </conditionalFormatting>
  <conditionalFormatting sqref="AI6">
    <cfRule type="cellIs" dxfId="34" priority="1" operator="greaterThanOrEqual">
      <formula>$I$5</formula>
    </cfRule>
    <cfRule type="cellIs" dxfId="33" priority="2" operator="lessThanOrEqual">
      <formula>$I$4</formula>
    </cfRule>
    <cfRule type="cellIs" dxfId="32" priority="3" operator="between">
      <formula>$I$5</formula>
      <formula>$I$4</formula>
    </cfRule>
  </conditionalFormatting>
  <dataValidations count="4">
    <dataValidation type="decimal" allowBlank="1" showInputMessage="1" showErrorMessage="1" prompt="% de avance en la actividad - indique el % programado de avance durante esta semana_x000a_" sqref="T14:AF19 W20:AF27 T21:V27" xr:uid="{249CB5E0-301F-4A6F-ACEB-2AE759A3540E}">
      <formula1>0</formula1>
      <formula2>1</formula2>
    </dataValidation>
    <dataValidation type="decimal" allowBlank="1" showInputMessage="1" showErrorMessage="1" prompt="campo calculado  - indica el % de avance  que aporta la activadad a todo el proyecto" sqref="R17 R15 R23 R19 R25 R21 R27" xr:uid="{6640CB10-7F3F-4B26-9E45-DAFDF6E0F7A8}">
      <formula1>0</formula1>
      <formula2>1</formula2>
    </dataValidation>
    <dataValidation type="decimal" allowBlank="1" showInputMessage="1" showErrorMessage="1" prompt="valor porcentual de la activida - Indique el peso porcentual de la actividad dentro del proyecto" sqref="R14 R24 R18 R20 R16 R22 R26" xr:uid="{6F41FEC4-B056-4405-B917-4B8D9D3DED88}">
      <formula1>0</formula1>
      <formula2>1</formula2>
    </dataValidation>
    <dataValidation allowBlank="1" showErrorMessage="1" sqref="S14:S27" xr:uid="{DB867728-6281-4C1D-99AE-8633421F4615}"/>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6701-085D-444A-91F9-1254BD03F842}">
  <dimension ref="A1:BG41"/>
  <sheetViews>
    <sheetView showGridLines="0" view="pageBreakPreview" zoomScale="59" zoomScaleNormal="10" zoomScaleSheetLayoutView="59" zoomScalePageLayoutView="48" workbookViewId="0">
      <selection activeCell="G16" sqref="G16:G17"/>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4" width="18.140625" style="1" customWidth="1"/>
    <col min="15" max="17" width="13.85546875" style="1" customWidth="1"/>
    <col min="18" max="30" width="9.5703125" style="1" customWidth="1"/>
    <col min="31" max="31" width="35.85546875" style="1" customWidth="1"/>
    <col min="32" max="34" width="42.5703125" style="1" customWidth="1"/>
    <col min="35" max="16384" width="12.5703125" style="1"/>
  </cols>
  <sheetData>
    <row r="1" spans="1:59" s="55" customFormat="1" ht="15" customHeight="1">
      <c r="A1" s="290"/>
      <c r="B1" s="291"/>
      <c r="C1" s="292"/>
      <c r="D1" s="221" t="s">
        <v>1223</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69"/>
      <c r="AJ1" s="69"/>
      <c r="AK1" s="69"/>
      <c r="AL1" s="69"/>
      <c r="AM1" s="69"/>
      <c r="AN1" s="69"/>
      <c r="AO1" s="69"/>
      <c r="AP1" s="69"/>
      <c r="AQ1" s="69"/>
      <c r="AR1" s="69"/>
      <c r="AS1" s="69"/>
      <c r="AT1" s="69"/>
      <c r="AU1" s="69"/>
      <c r="AV1" s="69"/>
      <c r="AW1" s="69"/>
      <c r="AX1" s="69"/>
      <c r="AY1" s="69"/>
      <c r="AZ1" s="69"/>
      <c r="BA1" s="69"/>
      <c r="BB1" s="69"/>
      <c r="BC1" s="69"/>
      <c r="BD1" s="69"/>
      <c r="BE1" s="69"/>
      <c r="BF1" s="69"/>
      <c r="BG1" s="69"/>
    </row>
    <row r="2" spans="1:59"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69"/>
      <c r="AJ2" s="69"/>
      <c r="AK2" s="69"/>
      <c r="AL2" s="69"/>
      <c r="AM2" s="69"/>
      <c r="AN2" s="69"/>
      <c r="AO2" s="69"/>
      <c r="AP2" s="69"/>
      <c r="AQ2" s="69"/>
      <c r="AR2" s="69"/>
      <c r="AS2" s="69"/>
      <c r="AT2" s="69"/>
      <c r="AU2" s="69"/>
      <c r="AV2" s="69"/>
      <c r="AW2" s="69"/>
      <c r="AX2" s="69"/>
      <c r="AY2" s="69"/>
      <c r="AZ2" s="69"/>
      <c r="BA2" s="69"/>
      <c r="BB2" s="69"/>
      <c r="BC2" s="69"/>
      <c r="BD2" s="69"/>
      <c r="BE2" s="69"/>
      <c r="BF2" s="69"/>
      <c r="BG2" s="69"/>
    </row>
    <row r="3" spans="1:59"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69"/>
      <c r="AJ3" s="69"/>
      <c r="AK3" s="69"/>
      <c r="AL3" s="69"/>
      <c r="AM3" s="69"/>
      <c r="AN3" s="69"/>
      <c r="AO3" s="69"/>
      <c r="AP3" s="69"/>
      <c r="AQ3" s="69"/>
      <c r="AR3" s="69"/>
      <c r="AS3" s="69"/>
      <c r="AT3" s="69"/>
      <c r="AU3" s="69"/>
      <c r="AV3" s="69"/>
      <c r="AW3" s="69"/>
      <c r="AX3" s="69"/>
      <c r="AY3" s="69"/>
      <c r="AZ3" s="69"/>
      <c r="BA3" s="69"/>
      <c r="BB3" s="69"/>
      <c r="BC3" s="69"/>
      <c r="BD3" s="69"/>
      <c r="BE3" s="69"/>
      <c r="BF3" s="69"/>
      <c r="BG3" s="69"/>
    </row>
    <row r="4" spans="1:59" s="55" customFormat="1" ht="60" hidden="1" customHeight="1" thickBo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row>
    <row r="5" spans="1:59" s="55" customFormat="1" ht="60" hidden="1" customHeigh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row>
    <row r="6" spans="1:59" ht="20.100000000000001" customHeight="1">
      <c r="A6" s="289" t="s">
        <v>11</v>
      </c>
      <c r="B6" s="289"/>
      <c r="C6" s="299" t="s">
        <v>1082</v>
      </c>
      <c r="D6" s="299"/>
      <c r="E6" s="274" t="s">
        <v>13</v>
      </c>
      <c r="F6" s="274"/>
      <c r="G6" s="271">
        <f>+P15+P17+P19</f>
        <v>1</v>
      </c>
      <c r="H6" s="274" t="s">
        <v>14</v>
      </c>
      <c r="I6" s="274"/>
      <c r="J6" s="275">
        <f>+P14+P16+P18</f>
        <v>0</v>
      </c>
      <c r="K6" s="283" t="s">
        <v>15</v>
      </c>
      <c r="L6" s="284"/>
      <c r="M6" s="278">
        <v>0.95</v>
      </c>
      <c r="N6" s="358" t="s">
        <v>1224</v>
      </c>
      <c r="O6" s="655"/>
      <c r="P6" s="222">
        <f>(SUM(AD14,AD16,AD18)/SUM(AD15,AD17,AD19))</f>
        <v>0</v>
      </c>
      <c r="Q6" s="656"/>
      <c r="R6" s="364"/>
      <c r="S6" s="365"/>
      <c r="T6" s="365"/>
      <c r="U6" s="365"/>
      <c r="V6" s="365"/>
      <c r="W6" s="365"/>
      <c r="X6" s="365"/>
      <c r="Y6" s="365"/>
      <c r="Z6" s="365"/>
      <c r="AA6" s="365"/>
      <c r="AB6" s="365"/>
      <c r="AC6" s="365"/>
      <c r="AD6" s="365"/>
      <c r="AE6" s="365"/>
      <c r="AF6" s="365"/>
      <c r="AG6" s="365"/>
      <c r="AH6" s="365"/>
    </row>
    <row r="7" spans="1:59" ht="15" customHeight="1">
      <c r="A7" s="289"/>
      <c r="B7" s="289"/>
      <c r="C7" s="299"/>
      <c r="D7" s="299"/>
      <c r="E7" s="274"/>
      <c r="F7" s="274"/>
      <c r="G7" s="272"/>
      <c r="H7" s="274"/>
      <c r="I7" s="274"/>
      <c r="J7" s="276"/>
      <c r="K7" s="285"/>
      <c r="L7" s="286"/>
      <c r="M7" s="279"/>
      <c r="N7" s="358"/>
      <c r="O7" s="655"/>
      <c r="P7" s="224"/>
      <c r="Q7" s="657"/>
      <c r="R7" s="364"/>
      <c r="S7" s="365"/>
      <c r="T7" s="365"/>
      <c r="U7" s="365"/>
      <c r="V7" s="365"/>
      <c r="W7" s="365"/>
      <c r="X7" s="365"/>
      <c r="Y7" s="365"/>
      <c r="Z7" s="365"/>
      <c r="AA7" s="365"/>
      <c r="AB7" s="365"/>
      <c r="AC7" s="365"/>
      <c r="AD7" s="365"/>
      <c r="AE7" s="365"/>
      <c r="AF7" s="365"/>
      <c r="AG7" s="365"/>
      <c r="AH7" s="365"/>
    </row>
    <row r="8" spans="1:59" ht="24.95" hidden="1" customHeight="1">
      <c r="A8" s="289"/>
      <c r="B8" s="289"/>
      <c r="C8" s="299"/>
      <c r="D8" s="299"/>
      <c r="E8" s="274"/>
      <c r="F8" s="274"/>
      <c r="G8" s="272"/>
      <c r="H8" s="274"/>
      <c r="I8" s="274"/>
      <c r="J8" s="276"/>
      <c r="K8" s="285"/>
      <c r="L8" s="286"/>
      <c r="M8" s="279"/>
      <c r="N8" s="358"/>
      <c r="O8" s="655"/>
      <c r="P8" s="224"/>
      <c r="Q8" s="657"/>
      <c r="R8" s="364"/>
      <c r="S8" s="365"/>
      <c r="T8" s="365"/>
      <c r="U8" s="365"/>
      <c r="V8" s="365"/>
      <c r="W8" s="365"/>
      <c r="X8" s="365"/>
      <c r="Y8" s="365"/>
      <c r="Z8" s="365"/>
      <c r="AA8" s="365"/>
      <c r="AB8" s="365"/>
      <c r="AC8" s="365"/>
      <c r="AD8" s="365"/>
      <c r="AE8" s="365"/>
      <c r="AF8" s="365"/>
      <c r="AG8" s="365"/>
      <c r="AH8" s="365"/>
    </row>
    <row r="9" spans="1:59" ht="24.95" hidden="1" customHeight="1" thickBot="1">
      <c r="A9" s="289"/>
      <c r="B9" s="289"/>
      <c r="C9" s="299"/>
      <c r="D9" s="299"/>
      <c r="E9" s="274"/>
      <c r="F9" s="274"/>
      <c r="G9" s="272"/>
      <c r="H9" s="274"/>
      <c r="I9" s="274"/>
      <c r="J9" s="276"/>
      <c r="K9" s="285"/>
      <c r="L9" s="286"/>
      <c r="M9" s="279"/>
      <c r="N9" s="358"/>
      <c r="O9" s="655"/>
      <c r="P9" s="224"/>
      <c r="Q9" s="657"/>
      <c r="R9" s="364"/>
      <c r="S9" s="365"/>
      <c r="T9" s="365"/>
      <c r="U9" s="365"/>
      <c r="V9" s="365"/>
      <c r="W9" s="365"/>
      <c r="X9" s="365"/>
      <c r="Y9" s="365"/>
      <c r="Z9" s="365"/>
      <c r="AA9" s="365"/>
      <c r="AB9" s="365"/>
      <c r="AC9" s="365"/>
      <c r="AD9" s="365"/>
      <c r="AE9" s="365"/>
      <c r="AF9" s="365"/>
      <c r="AG9" s="365"/>
      <c r="AH9" s="365"/>
    </row>
    <row r="10" spans="1:59" ht="15" customHeight="1" thickBot="1">
      <c r="A10" s="289"/>
      <c r="B10" s="289"/>
      <c r="C10" s="299"/>
      <c r="D10" s="299"/>
      <c r="E10" s="274"/>
      <c r="F10" s="274"/>
      <c r="G10" s="273"/>
      <c r="H10" s="274"/>
      <c r="I10" s="274"/>
      <c r="J10" s="277"/>
      <c r="K10" s="287"/>
      <c r="L10" s="288"/>
      <c r="M10" s="280"/>
      <c r="N10" s="358"/>
      <c r="O10" s="655"/>
      <c r="P10" s="226"/>
      <c r="Q10" s="658"/>
      <c r="R10" s="364"/>
      <c r="S10" s="365"/>
      <c r="T10" s="365"/>
      <c r="U10" s="365"/>
      <c r="V10" s="365"/>
      <c r="W10" s="365"/>
      <c r="X10" s="365"/>
      <c r="Y10" s="365"/>
      <c r="Z10" s="365"/>
      <c r="AA10" s="365"/>
      <c r="AB10" s="365"/>
      <c r="AC10" s="365"/>
      <c r="AD10" s="365"/>
      <c r="AE10" s="365"/>
      <c r="AF10" s="365"/>
      <c r="AG10" s="365"/>
      <c r="AH10" s="365"/>
    </row>
    <row r="11" spans="1:59" s="12" customFormat="1" ht="39.950000000000003" customHeight="1" thickBot="1">
      <c r="A11" s="314" t="s">
        <v>20</v>
      </c>
      <c r="B11" s="314"/>
      <c r="C11" s="314"/>
      <c r="D11" s="314"/>
      <c r="E11" s="314"/>
      <c r="F11" s="315"/>
      <c r="G11" s="316" t="s">
        <v>21</v>
      </c>
      <c r="H11" s="317"/>
      <c r="I11" s="317"/>
      <c r="J11" s="317"/>
      <c r="K11" s="317"/>
      <c r="L11" s="317"/>
      <c r="M11" s="317"/>
      <c r="N11" s="317"/>
      <c r="O11" s="238" t="s">
        <v>22</v>
      </c>
      <c r="P11" s="239"/>
      <c r="Q11" s="239"/>
      <c r="R11" s="239"/>
      <c r="S11" s="239"/>
      <c r="T11" s="239"/>
      <c r="U11" s="239"/>
      <c r="V11" s="239"/>
      <c r="W11" s="239"/>
      <c r="X11" s="239"/>
      <c r="Y11" s="239"/>
      <c r="Z11" s="239"/>
      <c r="AA11" s="239"/>
      <c r="AB11" s="239"/>
      <c r="AC11" s="239"/>
      <c r="AD11" s="240"/>
      <c r="AE11" s="238" t="s">
        <v>23</v>
      </c>
      <c r="AF11" s="239"/>
      <c r="AG11" s="239"/>
      <c r="AH11" s="239"/>
    </row>
    <row r="12" spans="1:59" ht="39" customHeight="1">
      <c r="A12" s="319" t="s">
        <v>24</v>
      </c>
      <c r="B12" s="321" t="s">
        <v>25</v>
      </c>
      <c r="C12" s="321" t="s">
        <v>26</v>
      </c>
      <c r="D12" s="321" t="s">
        <v>27</v>
      </c>
      <c r="E12" s="321" t="s">
        <v>28</v>
      </c>
      <c r="F12" s="321" t="s">
        <v>29</v>
      </c>
      <c r="G12" s="321" t="s">
        <v>30</v>
      </c>
      <c r="H12" s="321" t="s">
        <v>183</v>
      </c>
      <c r="I12" s="321" t="s">
        <v>33</v>
      </c>
      <c r="J12" s="321" t="s">
        <v>34</v>
      </c>
      <c r="K12" s="321" t="s">
        <v>35</v>
      </c>
      <c r="L12" s="321" t="s">
        <v>36</v>
      </c>
      <c r="M12" s="321" t="s">
        <v>37</v>
      </c>
      <c r="N12" s="321" t="s">
        <v>38</v>
      </c>
      <c r="O12" s="251" t="s">
        <v>39</v>
      </c>
      <c r="P12" s="252" t="s">
        <v>40</v>
      </c>
      <c r="Q12" s="253" t="s">
        <v>41</v>
      </c>
      <c r="R12" s="247" t="s">
        <v>42</v>
      </c>
      <c r="S12" s="245" t="s">
        <v>43</v>
      </c>
      <c r="T12" s="243" t="s">
        <v>44</v>
      </c>
      <c r="U12" s="249" t="s">
        <v>45</v>
      </c>
      <c r="V12" s="254" t="s">
        <v>46</v>
      </c>
      <c r="W12" s="249" t="s">
        <v>47</v>
      </c>
      <c r="X12" s="243" t="s">
        <v>47</v>
      </c>
      <c r="Y12" s="245" t="s">
        <v>48</v>
      </c>
      <c r="Z12" s="247" t="s">
        <v>49</v>
      </c>
      <c r="AA12" s="245" t="s">
        <v>50</v>
      </c>
      <c r="AB12" s="243" t="s">
        <v>51</v>
      </c>
      <c r="AC12" s="249" t="s">
        <v>52</v>
      </c>
      <c r="AD12" s="241" t="s">
        <v>53</v>
      </c>
      <c r="AE12" s="237" t="s">
        <v>54</v>
      </c>
      <c r="AF12" s="237" t="s">
        <v>55</v>
      </c>
      <c r="AG12" s="237" t="s">
        <v>56</v>
      </c>
      <c r="AH12" s="237" t="s">
        <v>57</v>
      </c>
    </row>
    <row r="13" spans="1:59" ht="60" customHeight="1" thickBot="1">
      <c r="A13" s="320"/>
      <c r="B13" s="320"/>
      <c r="C13" s="320"/>
      <c r="D13" s="320"/>
      <c r="E13" s="320"/>
      <c r="F13" s="320"/>
      <c r="G13" s="320"/>
      <c r="H13" s="320"/>
      <c r="I13" s="320"/>
      <c r="J13" s="320"/>
      <c r="K13" s="320"/>
      <c r="L13" s="320"/>
      <c r="M13" s="320"/>
      <c r="N13" s="320"/>
      <c r="O13" s="251"/>
      <c r="P13" s="252"/>
      <c r="Q13" s="253"/>
      <c r="R13" s="248"/>
      <c r="S13" s="246"/>
      <c r="T13" s="244"/>
      <c r="U13" s="250"/>
      <c r="V13" s="255"/>
      <c r="W13" s="250"/>
      <c r="X13" s="244"/>
      <c r="Y13" s="246"/>
      <c r="Z13" s="248"/>
      <c r="AA13" s="246"/>
      <c r="AB13" s="244"/>
      <c r="AC13" s="250"/>
      <c r="AD13" s="242"/>
      <c r="AE13" s="237"/>
      <c r="AF13" s="237"/>
      <c r="AG13" s="237"/>
      <c r="AH13" s="237"/>
    </row>
    <row r="14" spans="1:59" ht="39.950000000000003" customHeight="1" thickBot="1">
      <c r="A14" s="300">
        <v>1</v>
      </c>
      <c r="B14" s="300" t="s">
        <v>131</v>
      </c>
      <c r="C14" s="300" t="s">
        <v>85</v>
      </c>
      <c r="D14" s="300" t="s">
        <v>917</v>
      </c>
      <c r="E14" s="300" t="s">
        <v>1225</v>
      </c>
      <c r="F14" s="310" t="s">
        <v>62</v>
      </c>
      <c r="G14" s="300" t="s">
        <v>1226</v>
      </c>
      <c r="H14" s="300" t="s">
        <v>1227</v>
      </c>
      <c r="I14" s="300" t="s">
        <v>1228</v>
      </c>
      <c r="J14" s="302" t="s">
        <v>68</v>
      </c>
      <c r="K14" s="302" t="s">
        <v>68</v>
      </c>
      <c r="L14" s="302" t="s">
        <v>841</v>
      </c>
      <c r="M14" s="304">
        <v>44958</v>
      </c>
      <c r="N14" s="304">
        <v>45199</v>
      </c>
      <c r="O14" s="60" t="s">
        <v>70</v>
      </c>
      <c r="P14" s="53">
        <f>+(P15*Q14)</f>
        <v>0</v>
      </c>
      <c r="Q14" s="70">
        <f>SUM(R14:AD14)</f>
        <v>0</v>
      </c>
      <c r="R14" s="43"/>
      <c r="S14" s="43"/>
      <c r="T14" s="43"/>
      <c r="U14" s="43"/>
      <c r="V14" s="43"/>
      <c r="W14" s="43"/>
      <c r="X14" s="43"/>
      <c r="Y14" s="43"/>
      <c r="Z14" s="44"/>
      <c r="AA14" s="44"/>
      <c r="AB14" s="44"/>
      <c r="AC14" s="44"/>
      <c r="AD14" s="44"/>
      <c r="AE14" s="233"/>
      <c r="AF14" s="235"/>
      <c r="AG14" s="231"/>
      <c r="AH14" s="231"/>
    </row>
    <row r="15" spans="1:59" ht="36.950000000000003" customHeight="1" thickBot="1">
      <c r="A15" s="301"/>
      <c r="B15" s="301"/>
      <c r="C15" s="301"/>
      <c r="D15" s="301"/>
      <c r="E15" s="301"/>
      <c r="F15" s="313"/>
      <c r="G15" s="301"/>
      <c r="H15" s="301"/>
      <c r="I15" s="301"/>
      <c r="J15" s="303"/>
      <c r="K15" s="303"/>
      <c r="L15" s="303"/>
      <c r="M15" s="305"/>
      <c r="N15" s="305"/>
      <c r="O15" s="60" t="s">
        <v>71</v>
      </c>
      <c r="P15" s="52">
        <f>100%/3</f>
        <v>0.33333333333333331</v>
      </c>
      <c r="Q15" s="70">
        <f>SUM(R15:AD15)</f>
        <v>1</v>
      </c>
      <c r="R15" s="42"/>
      <c r="S15" s="42"/>
      <c r="T15" s="42"/>
      <c r="U15" s="42"/>
      <c r="V15" s="42"/>
      <c r="W15" s="42"/>
      <c r="X15" s="42"/>
      <c r="Y15" s="42"/>
      <c r="Z15" s="42"/>
      <c r="AA15" s="42"/>
      <c r="AB15" s="42"/>
      <c r="AC15" s="42"/>
      <c r="AD15" s="42">
        <v>1</v>
      </c>
      <c r="AE15" s="234"/>
      <c r="AF15" s="236"/>
      <c r="AG15" s="232"/>
      <c r="AH15" s="232"/>
    </row>
    <row r="16" spans="1:59" ht="36.950000000000003" customHeight="1" thickBot="1">
      <c r="A16" s="300">
        <v>2</v>
      </c>
      <c r="B16" s="300" t="s">
        <v>131</v>
      </c>
      <c r="C16" s="300" t="s">
        <v>85</v>
      </c>
      <c r="D16" s="300" t="s">
        <v>917</v>
      </c>
      <c r="E16" s="300" t="s">
        <v>1225</v>
      </c>
      <c r="F16" s="310" t="s">
        <v>62</v>
      </c>
      <c r="G16" s="221" t="s">
        <v>1229</v>
      </c>
      <c r="H16" s="300" t="s">
        <v>1230</v>
      </c>
      <c r="I16" s="300" t="s">
        <v>1231</v>
      </c>
      <c r="J16" s="302" t="s">
        <v>68</v>
      </c>
      <c r="K16" s="302" t="s">
        <v>68</v>
      </c>
      <c r="L16" s="302" t="s">
        <v>841</v>
      </c>
      <c r="M16" s="304">
        <v>44927</v>
      </c>
      <c r="N16" s="304">
        <v>45275</v>
      </c>
      <c r="O16" s="60" t="s">
        <v>70</v>
      </c>
      <c r="P16" s="53">
        <f>+(P17*Q16)</f>
        <v>0</v>
      </c>
      <c r="Q16" s="70">
        <f>SUM(R16:AD16)</f>
        <v>0</v>
      </c>
      <c r="R16" s="43"/>
      <c r="S16" s="43"/>
      <c r="T16" s="43"/>
      <c r="U16" s="43"/>
      <c r="V16" s="43"/>
      <c r="W16" s="43"/>
      <c r="X16" s="43"/>
      <c r="Y16" s="43"/>
      <c r="Z16" s="44"/>
      <c r="AA16" s="44"/>
      <c r="AB16" s="44"/>
      <c r="AC16" s="44"/>
      <c r="AD16" s="44"/>
      <c r="AE16" s="233"/>
      <c r="AF16" s="235"/>
      <c r="AG16" s="231"/>
      <c r="AH16" s="231"/>
    </row>
    <row r="17" spans="1:34" ht="36.950000000000003" customHeight="1" thickBot="1">
      <c r="A17" s="301"/>
      <c r="B17" s="301"/>
      <c r="C17" s="301"/>
      <c r="D17" s="301"/>
      <c r="E17" s="301"/>
      <c r="F17" s="311"/>
      <c r="G17" s="221"/>
      <c r="H17" s="301"/>
      <c r="I17" s="301"/>
      <c r="J17" s="303"/>
      <c r="K17" s="303"/>
      <c r="L17" s="303"/>
      <c r="M17" s="305"/>
      <c r="N17" s="305"/>
      <c r="O17" s="60" t="s">
        <v>71</v>
      </c>
      <c r="P17" s="52">
        <f>100%/3</f>
        <v>0.33333333333333331</v>
      </c>
      <c r="Q17" s="70">
        <f>SUM(R17:AD17)</f>
        <v>1</v>
      </c>
      <c r="R17" s="42"/>
      <c r="S17" s="42"/>
      <c r="T17" s="42"/>
      <c r="U17" s="42"/>
      <c r="V17" s="42"/>
      <c r="W17" s="42"/>
      <c r="X17" s="42"/>
      <c r="Y17" s="42"/>
      <c r="Z17" s="42"/>
      <c r="AA17" s="42"/>
      <c r="AB17" s="42"/>
      <c r="AC17" s="42"/>
      <c r="AD17" s="42">
        <v>1</v>
      </c>
      <c r="AE17" s="234"/>
      <c r="AF17" s="236"/>
      <c r="AG17" s="232"/>
      <c r="AH17" s="232"/>
    </row>
    <row r="18" spans="1:34" ht="36.950000000000003" customHeight="1" thickBot="1">
      <c r="A18" s="300">
        <v>3</v>
      </c>
      <c r="B18" s="300" t="s">
        <v>131</v>
      </c>
      <c r="C18" s="300" t="s">
        <v>85</v>
      </c>
      <c r="D18" s="300" t="s">
        <v>917</v>
      </c>
      <c r="E18" s="300" t="s">
        <v>1225</v>
      </c>
      <c r="F18" s="310" t="s">
        <v>62</v>
      </c>
      <c r="G18" s="300" t="s">
        <v>1229</v>
      </c>
      <c r="H18" s="300" t="s">
        <v>1232</v>
      </c>
      <c r="I18" s="300" t="s">
        <v>1231</v>
      </c>
      <c r="J18" s="302" t="s">
        <v>68</v>
      </c>
      <c r="K18" s="302" t="s">
        <v>68</v>
      </c>
      <c r="L18" s="302" t="s">
        <v>841</v>
      </c>
      <c r="M18" s="304">
        <v>45108</v>
      </c>
      <c r="N18" s="304">
        <v>45275</v>
      </c>
      <c r="O18" s="60" t="s">
        <v>70</v>
      </c>
      <c r="P18" s="53">
        <f>+(P19*Q18)</f>
        <v>0</v>
      </c>
      <c r="Q18" s="70">
        <f>SUM(R18:AD18)</f>
        <v>0</v>
      </c>
      <c r="R18" s="43"/>
      <c r="S18" s="43"/>
      <c r="T18" s="43"/>
      <c r="U18" s="43"/>
      <c r="V18" s="43"/>
      <c r="W18" s="43"/>
      <c r="X18" s="43"/>
      <c r="Y18" s="43"/>
      <c r="Z18" s="44"/>
      <c r="AA18" s="44"/>
      <c r="AB18" s="44"/>
      <c r="AC18" s="44"/>
      <c r="AD18" s="44"/>
      <c r="AE18" s="233"/>
      <c r="AF18" s="235"/>
      <c r="AG18" s="231"/>
      <c r="AH18" s="231"/>
    </row>
    <row r="19" spans="1:34" ht="36.950000000000003" customHeight="1">
      <c r="A19" s="301"/>
      <c r="B19" s="301"/>
      <c r="C19" s="301"/>
      <c r="D19" s="301"/>
      <c r="E19" s="301"/>
      <c r="F19" s="311"/>
      <c r="G19" s="301"/>
      <c r="H19" s="301"/>
      <c r="I19" s="301"/>
      <c r="J19" s="303"/>
      <c r="K19" s="303"/>
      <c r="L19" s="303"/>
      <c r="M19" s="305"/>
      <c r="N19" s="305"/>
      <c r="O19" s="60" t="s">
        <v>71</v>
      </c>
      <c r="P19" s="52">
        <f>100%/3</f>
        <v>0.33333333333333331</v>
      </c>
      <c r="Q19" s="70">
        <f>SUM(R19:AD19)</f>
        <v>1</v>
      </c>
      <c r="R19" s="42"/>
      <c r="S19" s="42"/>
      <c r="T19" s="42"/>
      <c r="U19" s="42"/>
      <c r="V19" s="42"/>
      <c r="W19" s="42"/>
      <c r="X19" s="42"/>
      <c r="Y19" s="42"/>
      <c r="Z19" s="42"/>
      <c r="AA19" s="42"/>
      <c r="AB19" s="42"/>
      <c r="AC19" s="42"/>
      <c r="AD19" s="42">
        <v>1</v>
      </c>
      <c r="AE19" s="234"/>
      <c r="AF19" s="236"/>
      <c r="AG19" s="232"/>
      <c r="AH19" s="232"/>
    </row>
    <row r="21" spans="1:34" s="13" customFormat="1" ht="30" hidden="1" customHeight="1">
      <c r="D21" s="332" t="s">
        <v>15</v>
      </c>
      <c r="E21" s="332"/>
      <c r="F21" s="21">
        <v>1</v>
      </c>
      <c r="H21" s="328" t="s">
        <v>110</v>
      </c>
      <c r="I21" s="22" t="s">
        <v>111</v>
      </c>
      <c r="J21" s="54" t="e">
        <f>SUM(O21:AC21)</f>
        <v>#REF!</v>
      </c>
      <c r="K21" s="33"/>
      <c r="L21" s="33"/>
      <c r="M21" s="33"/>
      <c r="N21" s="33"/>
      <c r="O21" s="33" t="e">
        <f>+(AC14*$P$15)+(AC16*$P$17)+(AC18*$P$19)+(#REF!*#REF!)+(#REF!*#REF!)+(#REF!*#REF!)+(#REF!*#REF!)+(#REF!*#REF!)+(#REF!*#REF!)+(#REF!*#REF!)+(#REF!*#REF!)+(#REF!*#REF!)+(#REF!*#REF!)</f>
        <v>#REF!</v>
      </c>
      <c r="P21" s="36"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6" t="e">
        <f>+(#REF!*$P$15)+(#REF!*$P$17)+(#REF!*$P$19)+(#REF!*#REF!)+(#REF!*#REF!)+(#REF!*#REF!)+(#REF!*#REF!)+(#REF!*#REF!)+(#REF!*#REF!)+(#REF!*#REF!)+(#REF!*#REF!)+(#REF!*#REF!)+(#REF!*#REF!)</f>
        <v>#REF!</v>
      </c>
      <c r="AC21" s="33" t="e">
        <f>+(#REF!*$P$15)+(#REF!*$P$17)+(#REF!*$P$19)+(#REF!*#REF!)+(#REF!*#REF!)+(#REF!*#REF!)+(#REF!*#REF!)+(#REF!*#REF!)+(#REF!*#REF!)+(#REF!*#REF!)+(#REF!*#REF!)+(#REF!*#REF!)+(#REF!*#REF!)</f>
        <v>#REF!</v>
      </c>
      <c r="AD21" s="61"/>
    </row>
    <row r="22" spans="1:34" s="13" customFormat="1" ht="30" hidden="1" customHeight="1">
      <c r="D22" s="332"/>
      <c r="E22" s="332"/>
      <c r="F22" s="21"/>
      <c r="H22" s="329"/>
      <c r="I22" s="15" t="s">
        <v>112</v>
      </c>
      <c r="J22" s="17"/>
      <c r="K22" s="34"/>
      <c r="L22" s="34"/>
      <c r="M22" s="34"/>
      <c r="N22" s="34"/>
      <c r="O22" s="34" t="e">
        <f>SUM(O21:O21)</f>
        <v>#REF!</v>
      </c>
      <c r="P22" s="37"/>
      <c r="Q22" s="34"/>
      <c r="R22" s="34"/>
      <c r="S22" s="27" t="e">
        <f>SUM(P21:S21)</f>
        <v>#REF!</v>
      </c>
      <c r="T22" s="27"/>
      <c r="U22" s="27"/>
      <c r="V22" s="27"/>
      <c r="W22" s="27" t="e">
        <f>SUM(T21:W21)</f>
        <v>#REF!</v>
      </c>
      <c r="X22" s="27"/>
      <c r="Y22" s="27"/>
      <c r="Z22" s="27"/>
      <c r="AA22" s="27" t="e">
        <f>SUM(X21:AA21)</f>
        <v>#REF!</v>
      </c>
      <c r="AB22" s="39"/>
      <c r="AC22" s="27"/>
      <c r="AD22" s="62"/>
    </row>
    <row r="23" spans="1:34" s="13" customFormat="1" ht="30" hidden="1" customHeight="1">
      <c r="H23" s="329"/>
      <c r="I23" s="15" t="s">
        <v>113</v>
      </c>
      <c r="J23" s="14"/>
      <c r="K23" s="34"/>
      <c r="L23" s="34"/>
      <c r="M23" s="34"/>
      <c r="N23" s="34"/>
      <c r="O23" s="34" t="e">
        <f>+#REF!+O22</f>
        <v>#REF!</v>
      </c>
      <c r="P23" s="37"/>
      <c r="Q23" s="34"/>
      <c r="R23" s="34"/>
      <c r="S23" s="26"/>
      <c r="T23" s="27"/>
      <c r="U23" s="27"/>
      <c r="V23" s="27"/>
      <c r="W23" s="27"/>
      <c r="X23" s="27"/>
      <c r="Y23" s="27"/>
      <c r="Z23" s="27"/>
      <c r="AA23" s="27" t="e">
        <f>+S22+W22+AA22</f>
        <v>#REF!</v>
      </c>
      <c r="AB23" s="39"/>
      <c r="AC23" s="27"/>
      <c r="AD23" s="62"/>
    </row>
    <row r="24" spans="1:34" s="13" customFormat="1" ht="30" hidden="1" customHeight="1">
      <c r="H24" s="330"/>
      <c r="I24" s="18" t="s">
        <v>114</v>
      </c>
      <c r="J24" s="19"/>
      <c r="K24" s="35"/>
      <c r="L24" s="35"/>
      <c r="M24" s="35"/>
      <c r="N24" s="35"/>
      <c r="O24" s="35"/>
      <c r="P24" s="38"/>
      <c r="Q24" s="35"/>
      <c r="R24" s="35"/>
      <c r="S24" s="28"/>
      <c r="T24" s="29"/>
      <c r="U24" s="29"/>
      <c r="V24" s="29"/>
      <c r="W24" s="29"/>
      <c r="X24" s="29"/>
      <c r="Y24" s="29"/>
      <c r="Z24" s="29"/>
      <c r="AA24" s="29" t="e">
        <f>+O23+AA23</f>
        <v>#REF!</v>
      </c>
      <c r="AB24" s="40"/>
      <c r="AC24" s="29"/>
      <c r="AD24" s="62"/>
    </row>
    <row r="25" spans="1:34" s="13" customFormat="1" ht="30" hidden="1" customHeight="1">
      <c r="H25" s="331" t="s">
        <v>115</v>
      </c>
      <c r="I25" s="15" t="s">
        <v>116</v>
      </c>
      <c r="J25" s="23" t="e">
        <f>SUM(O25:AC25)</f>
        <v>#REF!</v>
      </c>
      <c r="K25" s="34"/>
      <c r="L25" s="34"/>
      <c r="M25" s="34"/>
      <c r="N25" s="34"/>
      <c r="O25" s="34" t="e">
        <f>+(AC15*$P$15)+(AC17*$P$17)+(AC19*$P$19)+(#REF!*#REF!)+(#REF!*#REF!)+(#REF!*#REF!)+(#REF!*#REF!)+(#REF!*#REF!)+(#REF!*#REF!)+(#REF!*#REF!)+(#REF!*#REF!)+(#REF!*#REF!)+(#REF!*#REF!)</f>
        <v>#REF!</v>
      </c>
      <c r="P25" s="37" t="e">
        <f>+(#REF!*$P$15)+(#REF!*$P$17)+(#REF!*$P$19)+(#REF!*#REF!)+(#REF!*#REF!)+(#REF!*#REF!)+(#REF!*#REF!)+(#REF!*#REF!)+(#REF!*#REF!)+(#REF!*#REF!)+(#REF!*#REF!)+(#REF!*#REF!)+(#REF!*#REF!)</f>
        <v>#REF!</v>
      </c>
      <c r="Q25" s="34" t="e">
        <f>+(#REF!*$P$15)+(#REF!*$P$17)+(#REF!*$P$19)+(#REF!*#REF!)+(#REF!*#REF!)+(#REF!*#REF!)+(#REF!*#REF!)+(#REF!*#REF!)+(#REF!*#REF!)+(#REF!*#REF!)+(#REF!*#REF!)+(#REF!*#REF!)+(#REF!*#REF!)</f>
        <v>#REF!</v>
      </c>
      <c r="R25" s="34" t="e">
        <f>+(#REF!*$P$15)+(#REF!*$P$17)+(#REF!*$P$19)+(#REF!*#REF!)+(#REF!*#REF!)+(#REF!*#REF!)+(#REF!*#REF!)+(#REF!*#REF!)+(#REF!*#REF!)+(#REF!*#REF!)+(#REF!*#REF!)+(#REF!*#REF!)+(#REF!*#REF!)</f>
        <v>#REF!</v>
      </c>
      <c r="S25" s="34" t="e">
        <f>+(#REF!*$P$15)+(#REF!*$P$17)+(#REF!*$P$19)+(#REF!*#REF!)+(#REF!*#REF!)+(#REF!*#REF!)+(#REF!*#REF!)+(#REF!*#REF!)+(#REF!*#REF!)+(#REF!*#REF!)+(#REF!*#REF!)+(#REF!*#REF!)+(#REF!*#REF!)</f>
        <v>#REF!</v>
      </c>
      <c r="T25" s="34" t="e">
        <f>+(#REF!*$P$15)+(#REF!*$P$17)+(#REF!*$P$19)+(#REF!*#REF!)+(#REF!*#REF!)+(#REF!*#REF!)+(#REF!*#REF!)+(#REF!*#REF!)+(#REF!*#REF!)+(#REF!*#REF!)+(#REF!*#REF!)+(#REF!*#REF!)+(#REF!*#REF!)</f>
        <v>#REF!</v>
      </c>
      <c r="U25" s="34" t="e">
        <f>+(#REF!*$P$15)+(#REF!*$P$17)+(#REF!*$P$19)+(#REF!*#REF!)+(#REF!*#REF!)+(#REF!*#REF!)+(#REF!*#REF!)+(#REF!*#REF!)+(#REF!*#REF!)+(#REF!*#REF!)+(#REF!*#REF!)+(#REF!*#REF!)+(#REF!*#REF!)</f>
        <v>#REF!</v>
      </c>
      <c r="V25" s="34" t="e">
        <f>+(#REF!*$P$15)+(#REF!*$P$17)+(#REF!*$P$19)+(#REF!*#REF!)+(#REF!*#REF!)+(#REF!*#REF!)+(#REF!*#REF!)+(#REF!*#REF!)+(#REF!*#REF!)+(#REF!*#REF!)+(#REF!*#REF!)+(#REF!*#REF!)+(#REF!*#REF!)</f>
        <v>#REF!</v>
      </c>
      <c r="W25" s="34" t="e">
        <f>+(#REF!*$P$15)+(#REF!*$P$17)+(#REF!*$P$19)+(#REF!*#REF!)+(#REF!*#REF!)+(#REF!*#REF!)+(#REF!*#REF!)+(#REF!*#REF!)+(#REF!*#REF!)+(#REF!*#REF!)+(#REF!*#REF!)+(#REF!*#REF!)+(#REF!*#REF!)</f>
        <v>#REF!</v>
      </c>
      <c r="X25" s="34" t="e">
        <f>+(#REF!*$P$15)+(#REF!*$P$17)+(#REF!*$P$19)+(#REF!*#REF!)+(#REF!*#REF!)+(#REF!*#REF!)+(#REF!*#REF!)+(#REF!*#REF!)+(#REF!*#REF!)+(#REF!*#REF!)+(#REF!*#REF!)+(#REF!*#REF!)+(#REF!*#REF!)</f>
        <v>#REF!</v>
      </c>
      <c r="Y25" s="34" t="e">
        <f>+(#REF!*$P$15)+(#REF!*$P$17)+(#REF!*$P$19)+(#REF!*#REF!)+(#REF!*#REF!)+(#REF!*#REF!)+(#REF!*#REF!)+(#REF!*#REF!)+(#REF!*#REF!)+(#REF!*#REF!)+(#REF!*#REF!)+(#REF!*#REF!)+(#REF!*#REF!)</f>
        <v>#REF!</v>
      </c>
      <c r="Z25" s="34" t="e">
        <f>+(#REF!*$P$15)+(#REF!*$P$17)+(#REF!*$P$19)+(#REF!*#REF!)+(#REF!*#REF!)+(#REF!*#REF!)+(#REF!*#REF!)+(#REF!*#REF!)+(#REF!*#REF!)+(#REF!*#REF!)+(#REF!*#REF!)+(#REF!*#REF!)+(#REF!*#REF!)</f>
        <v>#REF!</v>
      </c>
      <c r="AA25" s="34" t="e">
        <f>+(#REF!*$P$15)+(#REF!*$P$17)+(#REF!*$P$19)+(#REF!*#REF!)+(#REF!*#REF!)+(#REF!*#REF!)+(#REF!*#REF!)+(#REF!*#REF!)+(#REF!*#REF!)+(#REF!*#REF!)+(#REF!*#REF!)+(#REF!*#REF!)+(#REF!*#REF!)</f>
        <v>#REF!</v>
      </c>
      <c r="AB25" s="37" t="e">
        <f>+(#REF!*$P$15)+(#REF!*$P$17)+(#REF!*$P$19)+(#REF!*#REF!)+(#REF!*#REF!)+(#REF!*#REF!)+(#REF!*#REF!)+(#REF!*#REF!)+(#REF!*#REF!)+(#REF!*#REF!)+(#REF!*#REF!)+(#REF!*#REF!)+(#REF!*#REF!)</f>
        <v>#REF!</v>
      </c>
      <c r="AC25" s="34" t="e">
        <f>+(#REF!*$P$15)+(#REF!*$P$17)+(#REF!*$P$19)+(#REF!*#REF!)+(#REF!*#REF!)+(#REF!*#REF!)+(#REF!*#REF!)+(#REF!*#REF!)+(#REF!*#REF!)+(#REF!*#REF!)+(#REF!*#REF!)+(#REF!*#REF!)+(#REF!*#REF!)</f>
        <v>#REF!</v>
      </c>
      <c r="AD25" s="61"/>
    </row>
    <row r="26" spans="1:34" s="13" customFormat="1" ht="30" hidden="1" customHeight="1">
      <c r="H26" s="329"/>
      <c r="I26" s="15" t="s">
        <v>117</v>
      </c>
      <c r="J26" s="16"/>
      <c r="K26" s="34"/>
      <c r="L26" s="34"/>
      <c r="M26" s="34"/>
      <c r="N26" s="34"/>
      <c r="O26" s="34" t="e">
        <f>SUM(O25:O25)</f>
        <v>#REF!</v>
      </c>
      <c r="P26" s="37"/>
      <c r="Q26" s="34"/>
      <c r="R26" s="34"/>
      <c r="S26" s="34" t="e">
        <f>SUM(P25:S25)</f>
        <v>#REF!</v>
      </c>
      <c r="T26" s="34"/>
      <c r="U26" s="34"/>
      <c r="V26" s="34"/>
      <c r="W26" s="34" t="e">
        <f>SUM(T25:W25)</f>
        <v>#REF!</v>
      </c>
      <c r="X26" s="34"/>
      <c r="Y26" s="34"/>
      <c r="Z26" s="34"/>
      <c r="AA26" s="34" t="e">
        <f>SUM(X25:AA25)</f>
        <v>#REF!</v>
      </c>
      <c r="AB26" s="37"/>
      <c r="AC26" s="34"/>
      <c r="AD26" s="61"/>
    </row>
    <row r="27" spans="1:34" s="13" customFormat="1" ht="30" hidden="1" customHeight="1">
      <c r="H27" s="329"/>
      <c r="I27" s="15" t="s">
        <v>118</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62"/>
    </row>
    <row r="28" spans="1:34" s="13" customFormat="1" ht="30" hidden="1" customHeight="1">
      <c r="H28" s="330"/>
      <c r="I28" s="20" t="s">
        <v>119</v>
      </c>
      <c r="J28" s="19"/>
      <c r="K28" s="35"/>
      <c r="L28" s="35"/>
      <c r="M28" s="35"/>
      <c r="N28" s="35"/>
      <c r="O28" s="35"/>
      <c r="P28" s="38"/>
      <c r="Q28" s="35"/>
      <c r="R28" s="35"/>
      <c r="S28" s="28"/>
      <c r="T28" s="29"/>
      <c r="U28" s="29"/>
      <c r="V28" s="29"/>
      <c r="W28" s="29"/>
      <c r="X28" s="29"/>
      <c r="Y28" s="29"/>
      <c r="Z28" s="29"/>
      <c r="AA28" s="29" t="e">
        <f>+O27+AA27</f>
        <v>#REF!</v>
      </c>
      <c r="AB28" s="40"/>
      <c r="AC28" s="41"/>
      <c r="AD28" s="62"/>
    </row>
    <row r="29" spans="1:34" ht="30" hidden="1" customHeight="1">
      <c r="H29" s="24"/>
      <c r="I29" s="326" t="s">
        <v>120</v>
      </c>
      <c r="J29" s="326"/>
      <c r="K29" s="46"/>
      <c r="L29" s="46"/>
      <c r="M29" s="46"/>
      <c r="N29" s="46"/>
      <c r="O29" s="47" t="e">
        <f>+(#REF!+#REF!+#REF!+#REF!+#REF!+#REF!+#REF!+O21)/(#REF!+#REF!+#REF!+#REF!+#REF!+#REF!+#REF!+O25)</f>
        <v>#REF!</v>
      </c>
      <c r="P29" s="48" t="e">
        <f>+(#REF!+#REF!+#REF!+#REF!+#REF!+#REF!+#REF!+O21+P21)/(#REF!+#REF!+#REF!+#REF!+#REF!+#REF!+#REF!+O25+P25)</f>
        <v>#REF!</v>
      </c>
      <c r="Q29" s="46" t="e">
        <f>+(#REF!+#REF!+#REF!+#REF!+#REF!+#REF!+#REF!+O21+P21+Q21)/(#REF!+#REF!+#REF!+#REF!+#REF!+#REF!+#REF!+O25+P25+Q25)</f>
        <v>#REF!</v>
      </c>
      <c r="R29" s="46" t="e">
        <f>+(#REF!+#REF!+#REF!+#REF!+#REF!+#REF!+#REF!+O21+P21+Q21+R21)/(#REF!+#REF!+#REF!+#REF!+#REF!+#REF!+#REF!+O25+P25+Q25+R25)</f>
        <v>#REF!</v>
      </c>
      <c r="S29" s="47" t="e">
        <f>+(#REF!+#REF!+#REF!+#REF!+#REF!+#REF!+#REF!+O21+P21+Q21+R21+S21)/(#REF!+#REF!+#REF!+#REF!+#REF!+#REF!+#REF!+O25+P25+Q25+R25+S25)</f>
        <v>#REF!</v>
      </c>
      <c r="T29" s="46" t="e">
        <f>+(#REF!+#REF!+#REF!+#REF!+#REF!+#REF!+#REF!+O21+P21+Q21+R21+S21+T21)/(#REF!+#REF!+#REF!+#REF!+#REF!+#REF!+#REF!+O25+P25+Q25+R25+S25+T25)</f>
        <v>#REF!</v>
      </c>
      <c r="U29" s="46" t="e">
        <f>+(#REF!+#REF!+#REF!+#REF!+#REF!+#REF!+#REF!+O21+P21+Q21+R21+S21+T21+U21)/(#REF!+#REF!+#REF!+#REF!+#REF!+#REF!+#REF!+O25+P25+Q25+R25+S25+T25+U25)</f>
        <v>#REF!</v>
      </c>
      <c r="V29" s="46" t="e">
        <f>+(#REF!+#REF!+#REF!+#REF!+#REF!+#REF!+#REF!+O21+P21+Q21+R21+S21+T21+U21+V21)/(#REF!+#REF!+#REF!+#REF!+#REF!+#REF!+#REF!+O25+P25+Q25+R25+S25+T25+U25+V25)</f>
        <v>#REF!</v>
      </c>
      <c r="W29" s="47" t="e">
        <f>+(#REF!+#REF!+#REF!+#REF!+#REF!+#REF!+#REF!+O21+P21+Q21+R21+S21+T21+U21+V21+W21)/(#REF!+#REF!+#REF!+#REF!+#REF!+#REF!+#REF!+O25+P25+Q25+R25+S25+T25+U25+V25+W25)</f>
        <v>#REF!</v>
      </c>
      <c r="X29" s="46" t="e">
        <f>+(#REF!+#REF!+#REF!+#REF!+#REF!+#REF!+#REF!+O21+P21+Q21+R21+S21+T21+U21+V21+W21+X21)/(#REF!+#REF!+#REF!+#REF!+#REF!+#REF!+#REF!+O25+P25+Q25+R25+S25+T25+U25+V25+W25+X25)</f>
        <v>#REF!</v>
      </c>
      <c r="Y29" s="46" t="e">
        <f>+(#REF!+#REF!+#REF!+#REF!+#REF!+#REF!+#REF!+O21+P21+Q21+R21+S21+T21+U21+V21+W21+X21+Y21)/(#REF!+#REF!+#REF!+#REF!+#REF!+#REF!+#REF!+O25+P25+Q25+R25+S25+T25+U25+V25+W25+X25+Y25)</f>
        <v>#REF!</v>
      </c>
      <c r="Z29" s="46" t="e">
        <f>+(#REF!+#REF!+#REF!+#REF!+#REF!+#REF!+#REF!+O21+P21+Q21+R21+S21+T21+U21+V21+W21+X21+Y21+Z21)/(#REF!+#REF!+#REF!+#REF!+#REF!+#REF!+#REF!+O25+P25+Q25+R25+S25+T25+U25+V25+W25+X25+Y25+Z25)</f>
        <v>#REF!</v>
      </c>
      <c r="AA29" s="47" t="e">
        <f>+(#REF!+#REF!+#REF!+#REF!+#REF!+#REF!+#REF!+O21+P21+Q21+R21+S21+T21+U21+V21+W21+X21+Y21+Z21+AA21)/(#REF!+#REF!+#REF!+#REF!+#REF!+#REF!+#REF!+O25+P25+Q25+R25+S25+T25+U25+V25+W25+X25+Y25+Z25+AA25)</f>
        <v>#REF!</v>
      </c>
      <c r="AB29" s="48" t="e">
        <f>+(#REF!+#REF!+#REF!+#REF!+#REF!+#REF!+#REF!+O21+P21+Q21+R21+S21+T21+U21+V21+W21+X21+Y21+Z21+AA21+AB21)/(#REF!+#REF!+#REF!+#REF!+#REF!+#REF!+#REF!+O25+P25+Q25+R25+S25+T25+U25+V25+W25+X25+Y25+Z25+AA25+AB25)</f>
        <v>#REF!</v>
      </c>
      <c r="AC29" s="46" t="e">
        <f>+(#REF!+#REF!+#REF!+#REF!+#REF!+#REF!+#REF!+O21+P21+Q21+R21+S21+T21+U21+V21+W21+X21+Y21+Z21+AA21+AB21+AC21)/(#REF!+#REF!+#REF!+#REF!+#REF!+#REF!+#REF!+O25+P25+Q25+R25+S25+T25+U25+V25+W25+X25+Y25+Z25+AA25+AB25+AC25)</f>
        <v>#REF!</v>
      </c>
      <c r="AD29" s="63"/>
    </row>
    <row r="30" spans="1:34" ht="30" hidden="1" customHeight="1">
      <c r="H30" s="24"/>
      <c r="I30" s="327" t="s">
        <v>121</v>
      </c>
      <c r="J30" s="327"/>
      <c r="K30" s="47"/>
      <c r="L30" s="47"/>
      <c r="M30" s="47"/>
      <c r="N30" s="47"/>
      <c r="O30" s="47" t="e">
        <f>+(#REF!+#REF!+#REF!+#REF!+#REF!+#REF!+#REF!+O21)/$F$21</f>
        <v>#REF!</v>
      </c>
      <c r="P30" s="49" t="e">
        <f>+(#REF!+#REF!+#REF!+#REF!+#REF!+#REF!+#REF!+O21+P21)/$F$21</f>
        <v>#REF!</v>
      </c>
      <c r="Q30" s="47" t="e">
        <f>+(#REF!+#REF!+#REF!+#REF!+#REF!+#REF!+#REF!+O21+P21+Q21)/$F$21</f>
        <v>#REF!</v>
      </c>
      <c r="R30" s="47" t="e">
        <f>+(#REF!+#REF!+#REF!+#REF!+#REF!+#REF!+#REF!+O21+P21+Q21+R21)/$F$21</f>
        <v>#REF!</v>
      </c>
      <c r="S30" s="47" t="e">
        <f>+(#REF!+#REF!+#REF!+#REF!+#REF!+#REF!+#REF!+O21+P21+Q21+R21+S21)/$F$21</f>
        <v>#REF!</v>
      </c>
      <c r="T30" s="47" t="e">
        <f>+(#REF!+#REF!+#REF!+#REF!+#REF!+#REF!+#REF!+O21+P21+Q21+R21+S21+T21)/$F$21</f>
        <v>#REF!</v>
      </c>
      <c r="U30" s="47" t="e">
        <f>+(#REF!+#REF!+#REF!+#REF!+#REF!+#REF!+#REF!+O21+P21+Q21+R21+S21+T21+U21)/$F$21</f>
        <v>#REF!</v>
      </c>
      <c r="V30" s="47" t="e">
        <f>+(#REF!+#REF!+#REF!+#REF!+#REF!+#REF!+#REF!+O21+P21+Q21+R21+S21+T21+U21+V21)/$F$21</f>
        <v>#REF!</v>
      </c>
      <c r="W30" s="47" t="e">
        <f>+(#REF!+#REF!+#REF!+#REF!+#REF!+#REF!+#REF!+O21+P21+Q21+R21+S21+T21+U21+V21+W21)/$F$21</f>
        <v>#REF!</v>
      </c>
      <c r="X30" s="47" t="e">
        <f>+(#REF!+#REF!+#REF!+#REF!+#REF!+#REF!+#REF!+O21+P21+Q21+R21+S21+T21+U21+V21+W21+X21)/$F$21</f>
        <v>#REF!</v>
      </c>
      <c r="Y30" s="47" t="e">
        <f>+(#REF!+#REF!+#REF!+#REF!+#REF!+#REF!+#REF!+O21+P21+Q21+R21+S21+T21+U21+V21+W21+X21+Y21)/$F$21</f>
        <v>#REF!</v>
      </c>
      <c r="Z30" s="47" t="e">
        <f>+(#REF!+#REF!+#REF!+#REF!+#REF!+#REF!+#REF!+O21+P21+Q21+R21+S21+T21+U21+V21+W21+X21+Y21+Z21)/$F$21</f>
        <v>#REF!</v>
      </c>
      <c r="AA30" s="47" t="e">
        <f>+(#REF!+#REF!+#REF!+#REF!+#REF!+#REF!+#REF!+O21+P21+Q21+R21+S21+T21+U21+V21+W21+X21+Y21+Z21+AA21)/$F$21</f>
        <v>#REF!</v>
      </c>
      <c r="AB30" s="49" t="e">
        <f>+(#REF!+#REF!+#REF!+#REF!+#REF!+#REF!+#REF!+O21+P21+Q21+R21+S21+T21+U21+V21+W21+X21+Y21+Z21+AA21+AB21)/$F$21</f>
        <v>#REF!</v>
      </c>
      <c r="AC30" s="47" t="e">
        <f>+(#REF!+#REF!+#REF!+#REF!+#REF!+#REF!+#REF!+O21+P21+Q21+R21+S21+T21+U21+V21+W21+X21+Y21+Z21+AA21+AB21+AC21)/$F$21</f>
        <v>#REF!</v>
      </c>
      <c r="AD30" s="64"/>
    </row>
    <row r="31" spans="1:34" ht="30" hidden="1" customHeight="1">
      <c r="I31" s="326" t="s">
        <v>122</v>
      </c>
      <c r="J31" s="326"/>
      <c r="K31" s="50"/>
      <c r="L31" s="50"/>
      <c r="M31" s="50"/>
      <c r="N31" s="50"/>
      <c r="O31" s="47" t="e">
        <f>+O22/O26</f>
        <v>#REF!</v>
      </c>
      <c r="P31" s="51"/>
      <c r="Q31" s="50"/>
      <c r="R31" s="50"/>
      <c r="S31" s="47" t="e">
        <f>+S22/S26</f>
        <v>#REF!</v>
      </c>
      <c r="T31" s="50"/>
      <c r="U31" s="50"/>
      <c r="V31" s="50"/>
      <c r="W31" s="47" t="e">
        <f>+W22/W26</f>
        <v>#REF!</v>
      </c>
      <c r="X31" s="50"/>
      <c r="Y31" s="50"/>
      <c r="Z31" s="50"/>
      <c r="AA31" s="47" t="e">
        <f>+AA22/AA26</f>
        <v>#REF!</v>
      </c>
      <c r="AB31" s="51"/>
      <c r="AC31" s="50"/>
      <c r="AD31" s="65"/>
    </row>
    <row r="32" spans="1:34" ht="30" hidden="1" customHeight="1">
      <c r="I32" s="327" t="s">
        <v>123</v>
      </c>
      <c r="J32" s="327"/>
      <c r="K32" s="50"/>
      <c r="L32" s="50"/>
      <c r="M32" s="50"/>
      <c r="N32" s="50"/>
      <c r="O32" s="47" t="e">
        <f>+(#REF!+O22)/$F$21</f>
        <v>#REF!</v>
      </c>
      <c r="P32" s="51"/>
      <c r="Q32" s="50"/>
      <c r="R32" s="50"/>
      <c r="S32" s="47" t="e">
        <f>+(#REF!+O22+S22)/$F$21</f>
        <v>#REF!</v>
      </c>
      <c r="T32" s="50"/>
      <c r="U32" s="50"/>
      <c r="V32" s="50"/>
      <c r="W32" s="47" t="e">
        <f>+(#REF!+O22+S22+W22)/$F$21</f>
        <v>#REF!</v>
      </c>
      <c r="X32" s="50"/>
      <c r="Y32" s="50"/>
      <c r="Z32" s="50"/>
      <c r="AA32" s="47" t="e">
        <f>+(#REF!+O22+S22+W22+AA22)/$F$21</f>
        <v>#REF!</v>
      </c>
      <c r="AB32" s="51"/>
      <c r="AC32" s="50"/>
      <c r="AD32" s="65"/>
    </row>
    <row r="33" spans="8:30" ht="30" hidden="1" customHeight="1">
      <c r="I33" s="326" t="s">
        <v>124</v>
      </c>
      <c r="J33" s="326"/>
      <c r="K33" s="50"/>
      <c r="L33" s="50"/>
      <c r="M33" s="50"/>
      <c r="N33" s="50"/>
      <c r="O33" s="47" t="e">
        <f>+(#REF!+O22)/(#REF!+O26)</f>
        <v>#REF!</v>
      </c>
      <c r="P33" s="51"/>
      <c r="Q33" s="50"/>
      <c r="R33" s="50"/>
      <c r="S33" s="50"/>
      <c r="T33" s="50"/>
      <c r="U33" s="50"/>
      <c r="V33" s="50"/>
      <c r="W33" s="50"/>
      <c r="X33" s="50"/>
      <c r="Y33" s="50"/>
      <c r="Z33" s="50"/>
      <c r="AA33" s="47" t="e">
        <f>+(#REF!+O22+S22+W22+AA22)/(#REF!+O26+S26+W26+AA26)</f>
        <v>#REF!</v>
      </c>
      <c r="AB33" s="51"/>
      <c r="AC33" s="50"/>
      <c r="AD33" s="65"/>
    </row>
    <row r="34" spans="8:30" ht="30" hidden="1" customHeight="1">
      <c r="I34" s="326" t="s">
        <v>125</v>
      </c>
      <c r="J34" s="326"/>
      <c r="K34" s="50"/>
      <c r="L34" s="50"/>
      <c r="M34" s="50"/>
      <c r="N34" s="50"/>
      <c r="O34" s="47" t="e">
        <f>+(#REF!+O22)/$F$21</f>
        <v>#REF!</v>
      </c>
      <c r="P34" s="51"/>
      <c r="Q34" s="50"/>
      <c r="R34" s="50"/>
      <c r="S34" s="50"/>
      <c r="T34" s="50"/>
      <c r="U34" s="50"/>
      <c r="V34" s="50"/>
      <c r="W34" s="50"/>
      <c r="X34" s="50"/>
      <c r="Y34" s="50"/>
      <c r="Z34" s="50"/>
      <c r="AA34" s="47" t="e">
        <f>+(+#REF!+O22+S22+W22+AA22)/$F$21</f>
        <v>#REF!</v>
      </c>
      <c r="AB34" s="51"/>
      <c r="AC34" s="50"/>
      <c r="AD34" s="65"/>
    </row>
    <row r="35" spans="8:30" ht="15" hidden="1" customHeight="1"/>
    <row r="36" spans="8:30" ht="35.1" hidden="1" customHeight="1">
      <c r="H36" s="325" t="s">
        <v>126</v>
      </c>
      <c r="I36" s="325"/>
      <c r="J36" s="30" t="e">
        <f>+#REF!</f>
        <v>#REF!</v>
      </c>
      <c r="K36" s="32"/>
      <c r="L36" s="32"/>
      <c r="M36" s="32"/>
      <c r="N36" s="32"/>
    </row>
    <row r="37" spans="8:30" ht="35.1" hidden="1" customHeight="1">
      <c r="H37" s="325" t="s">
        <v>127</v>
      </c>
      <c r="I37" s="325"/>
      <c r="J37" s="25">
        <f>+F21</f>
        <v>1</v>
      </c>
      <c r="K37" s="32"/>
      <c r="L37" s="32"/>
      <c r="M37" s="32"/>
      <c r="N37" s="32"/>
    </row>
    <row r="38" spans="8:30" ht="35.1" hidden="1" customHeight="1">
      <c r="H38" s="325" t="s">
        <v>128</v>
      </c>
      <c r="I38" s="325"/>
      <c r="J38" s="31" t="e">
        <f>+J36/J37</f>
        <v>#REF!</v>
      </c>
      <c r="K38" s="32"/>
      <c r="L38" s="32"/>
      <c r="M38" s="32"/>
      <c r="N38" s="32"/>
    </row>
    <row r="39" spans="8:30" ht="15" customHeight="1">
      <c r="K39" s="32"/>
      <c r="L39" s="32"/>
      <c r="M39" s="32"/>
      <c r="N39" s="32"/>
    </row>
    <row r="40" spans="8:30" ht="15" customHeight="1">
      <c r="K40" s="32"/>
      <c r="L40" s="32"/>
      <c r="M40" s="32"/>
      <c r="N40" s="32"/>
    </row>
    <row r="41" spans="8:30" ht="15" customHeight="1">
      <c r="K41" s="32"/>
      <c r="L41" s="32"/>
      <c r="M41" s="32"/>
      <c r="N41" s="32"/>
    </row>
  </sheetData>
  <mergeCells count="120">
    <mergeCell ref="AE11:AH11"/>
    <mergeCell ref="K6:L10"/>
    <mergeCell ref="M6:M10"/>
    <mergeCell ref="A1:C3"/>
    <mergeCell ref="D1:AH3"/>
    <mergeCell ref="A4:A5"/>
    <mergeCell ref="G4:G5"/>
    <mergeCell ref="A6:B10"/>
    <mergeCell ref="C6:D10"/>
    <mergeCell ref="E6:F10"/>
    <mergeCell ref="G6:G10"/>
    <mergeCell ref="H6:I10"/>
    <mergeCell ref="J6:J10"/>
    <mergeCell ref="A12:A13"/>
    <mergeCell ref="B12:B13"/>
    <mergeCell ref="C12:C13"/>
    <mergeCell ref="D12:D13"/>
    <mergeCell ref="E12:E13"/>
    <mergeCell ref="F12:F13"/>
    <mergeCell ref="A11:F11"/>
    <mergeCell ref="G11:N11"/>
    <mergeCell ref="O11:AD11"/>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O12:O13"/>
    <mergeCell ref="P12:P13"/>
    <mergeCell ref="Q12:Q13"/>
    <mergeCell ref="AF14:AF15"/>
    <mergeCell ref="F14:F15"/>
    <mergeCell ref="G14:G15"/>
    <mergeCell ref="H14:H15"/>
    <mergeCell ref="I14:I15"/>
    <mergeCell ref="J14:J15"/>
    <mergeCell ref="K14:K15"/>
    <mergeCell ref="AD12:AD13"/>
    <mergeCell ref="AE12:AE13"/>
    <mergeCell ref="AF12:AF13"/>
    <mergeCell ref="G12:G13"/>
    <mergeCell ref="H12:H13"/>
    <mergeCell ref="I12:I13"/>
    <mergeCell ref="J12:J13"/>
    <mergeCell ref="K12:K13"/>
    <mergeCell ref="L12:L13"/>
    <mergeCell ref="A18:A19"/>
    <mergeCell ref="B18:B19"/>
    <mergeCell ref="C18:C19"/>
    <mergeCell ref="D18:D19"/>
    <mergeCell ref="E18:E19"/>
    <mergeCell ref="I16:I17"/>
    <mergeCell ref="J16:J17"/>
    <mergeCell ref="K16:K17"/>
    <mergeCell ref="L16:L17"/>
    <mergeCell ref="A16:A17"/>
    <mergeCell ref="B16:B17"/>
    <mergeCell ref="C16:C17"/>
    <mergeCell ref="D16:D17"/>
    <mergeCell ref="E16:E17"/>
    <mergeCell ref="F16:F17"/>
    <mergeCell ref="G16:G17"/>
    <mergeCell ref="H16:H17"/>
    <mergeCell ref="D21:E21"/>
    <mergeCell ref="H21:H24"/>
    <mergeCell ref="D22:E22"/>
    <mergeCell ref="H25:H28"/>
    <mergeCell ref="AG18:AG19"/>
    <mergeCell ref="AH18:AH19"/>
    <mergeCell ref="L18:L19"/>
    <mergeCell ref="M18:M19"/>
    <mergeCell ref="N18:N19"/>
    <mergeCell ref="AE18:AE19"/>
    <mergeCell ref="AF18:AF19"/>
    <mergeCell ref="F18:F19"/>
    <mergeCell ref="G18:G19"/>
    <mergeCell ref="H18:H19"/>
    <mergeCell ref="I18:I19"/>
    <mergeCell ref="J18:J19"/>
    <mergeCell ref="K18:K19"/>
    <mergeCell ref="H36:I36"/>
    <mergeCell ref="H37:I37"/>
    <mergeCell ref="H38:I38"/>
    <mergeCell ref="N6:O10"/>
    <mergeCell ref="P6:Q10"/>
    <mergeCell ref="R6:AH10"/>
    <mergeCell ref="I29:J29"/>
    <mergeCell ref="I30:J30"/>
    <mergeCell ref="I31:J31"/>
    <mergeCell ref="I32:J32"/>
    <mergeCell ref="I33:J33"/>
    <mergeCell ref="I34:J34"/>
    <mergeCell ref="AE16:AE17"/>
    <mergeCell ref="AF16:AF17"/>
    <mergeCell ref="AG16:AG17"/>
    <mergeCell ref="AH16:AH17"/>
    <mergeCell ref="M16:M17"/>
    <mergeCell ref="N16:N17"/>
    <mergeCell ref="AG14:AG15"/>
    <mergeCell ref="AH14:AH15"/>
    <mergeCell ref="L14:L15"/>
    <mergeCell ref="M14:M15"/>
    <mergeCell ref="N14:N15"/>
    <mergeCell ref="AE14:AE15"/>
  </mergeCells>
  <conditionalFormatting sqref="J38 O29:O34 S29:S32 W29:W32 AA29:AA34 K30:N30 P30:R30 T30:V30 X30:Z30 AB30:AD30">
    <cfRule type="cellIs" dxfId="31" priority="20" operator="greaterThanOrEqual">
      <formula>$D$9</formula>
    </cfRule>
    <cfRule type="cellIs" dxfId="30" priority="21" operator="lessThanOrEqual">
      <formula>$C$6</formula>
    </cfRule>
    <cfRule type="cellIs" dxfId="29" priority="22" operator="between">
      <formula>$C$6</formula>
      <formula>$D$9</formula>
    </cfRule>
  </conditionalFormatting>
  <conditionalFormatting sqref="J6">
    <cfRule type="cellIs" dxfId="28" priority="17" operator="greaterThanOrEqual">
      <formula>$C$5</formula>
    </cfRule>
    <cfRule type="cellIs" dxfId="27" priority="18" operator="lessThanOrEqual">
      <formula>$C$4</formula>
    </cfRule>
    <cfRule type="cellIs" dxfId="26" priority="19" operator="between">
      <formula>$C$5</formula>
      <formula>$C$4</formula>
    </cfRule>
  </conditionalFormatting>
  <conditionalFormatting sqref="I4">
    <cfRule type="cellIs" dxfId="25" priority="16" operator="lessThanOrEqual">
      <formula>$C$4</formula>
    </cfRule>
  </conditionalFormatting>
  <conditionalFormatting sqref="P6">
    <cfRule type="cellIs" dxfId="24" priority="13" operator="greaterThanOrEqual">
      <formula>$I$5</formula>
    </cfRule>
    <cfRule type="cellIs" dxfId="23" priority="14" operator="lessThanOrEqual">
      <formula>$I$4</formula>
    </cfRule>
    <cfRule type="cellIs" dxfId="22" priority="15" operator="between">
      <formula>$I$5</formula>
      <formula>$I$4</formula>
    </cfRule>
  </conditionalFormatting>
  <conditionalFormatting sqref="Q14:Q19">
    <cfRule type="cellIs" dxfId="21" priority="10" operator="greaterThanOrEqual">
      <formula>$C$5</formula>
    </cfRule>
    <cfRule type="cellIs" dxfId="20" priority="11" operator="lessThanOrEqual">
      <formula>$C$4</formula>
    </cfRule>
    <cfRule type="cellIs" dxfId="19" priority="12" operator="between">
      <formula>$C$5</formula>
      <formula>$C$4</formula>
    </cfRule>
  </conditionalFormatting>
  <dataValidations count="4">
    <dataValidation allowBlank="1" showErrorMessage="1" sqref="Q14:Q19" xr:uid="{7DBB4879-4A50-4400-ACD4-E8C31B46AD77}"/>
    <dataValidation type="decimal" allowBlank="1" showInputMessage="1" showErrorMessage="1" prompt="% de avance en la actividad - indique el % programado de avance durante esta semana_x000a_" sqref="R14:AD19" xr:uid="{E4C01763-5DAD-4C29-8998-DAF85B933DC9}">
      <formula1>0</formula1>
      <formula2>1</formula2>
    </dataValidation>
    <dataValidation type="decimal" allowBlank="1" showInputMessage="1" showErrorMessage="1" prompt="campo calculado  - indica el % de avance  que aporta la activadad a todo el proyecto" sqref="P15 P17 P19" xr:uid="{0E37F844-6869-4CB4-A633-BBAA56289DCA}">
      <formula1>0</formula1>
      <formula2>1</formula2>
    </dataValidation>
    <dataValidation type="decimal" allowBlank="1" showInputMessage="1" showErrorMessage="1" prompt="valor porcentual de la activida - Indique el peso porcentual de la actividad dentro del proyecto" sqref="P14 P16 P18" xr:uid="{DF278D53-5715-47CE-86C8-7D225D755835}">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D7EE-A84F-4CE4-9847-98943A10A2B4}">
  <dimension ref="A1:BG47"/>
  <sheetViews>
    <sheetView showGridLines="0" view="pageBreakPreview" zoomScale="59" zoomScaleNormal="10" zoomScaleSheetLayoutView="59" zoomScalePageLayoutView="48" workbookViewId="0">
      <selection activeCell="AD6" sqref="AD6:AE10"/>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4" width="18.140625" style="1" customWidth="1"/>
    <col min="15" max="17" width="13.85546875" style="1" customWidth="1"/>
    <col min="18" max="30" width="9.5703125" style="1" customWidth="1"/>
    <col min="31" max="31" width="35.85546875" style="1" customWidth="1"/>
    <col min="32" max="34" width="42.5703125" style="1" customWidth="1"/>
    <col min="35" max="16384" width="12.5703125" style="1"/>
  </cols>
  <sheetData>
    <row r="1" spans="1:59" s="55" customFormat="1" ht="15" customHeight="1">
      <c r="A1" s="290"/>
      <c r="B1" s="291"/>
      <c r="C1" s="292"/>
      <c r="D1" s="221" t="s">
        <v>1233</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69"/>
      <c r="AJ1" s="69"/>
      <c r="AK1" s="69"/>
      <c r="AL1" s="69"/>
      <c r="AM1" s="69"/>
      <c r="AN1" s="69"/>
      <c r="AO1" s="69"/>
      <c r="AP1" s="69"/>
      <c r="AQ1" s="69"/>
      <c r="AR1" s="69"/>
      <c r="AS1" s="69"/>
      <c r="AT1" s="69"/>
      <c r="AU1" s="69"/>
      <c r="AV1" s="69"/>
      <c r="AW1" s="69"/>
      <c r="AX1" s="69"/>
      <c r="AY1" s="69"/>
      <c r="AZ1" s="69"/>
      <c r="BA1" s="69"/>
      <c r="BB1" s="69"/>
      <c r="BC1" s="69"/>
      <c r="BD1" s="69"/>
      <c r="BE1" s="69"/>
      <c r="BF1" s="69"/>
      <c r="BG1" s="69"/>
    </row>
    <row r="2" spans="1:59"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69"/>
      <c r="AJ2" s="69"/>
      <c r="AK2" s="69"/>
      <c r="AL2" s="69"/>
      <c r="AM2" s="69"/>
      <c r="AN2" s="69"/>
      <c r="AO2" s="69"/>
      <c r="AP2" s="69"/>
      <c r="AQ2" s="69"/>
      <c r="AR2" s="69"/>
      <c r="AS2" s="69"/>
      <c r="AT2" s="69"/>
      <c r="AU2" s="69"/>
      <c r="AV2" s="69"/>
      <c r="AW2" s="69"/>
      <c r="AX2" s="69"/>
      <c r="AY2" s="69"/>
      <c r="AZ2" s="69"/>
      <c r="BA2" s="69"/>
      <c r="BB2" s="69"/>
      <c r="BC2" s="69"/>
      <c r="BD2" s="69"/>
      <c r="BE2" s="69"/>
      <c r="BF2" s="69"/>
      <c r="BG2" s="69"/>
    </row>
    <row r="3" spans="1:59"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69"/>
      <c r="AJ3" s="69"/>
      <c r="AK3" s="69"/>
      <c r="AL3" s="69"/>
      <c r="AM3" s="69"/>
      <c r="AN3" s="69"/>
      <c r="AO3" s="69"/>
      <c r="AP3" s="69"/>
      <c r="AQ3" s="69"/>
      <c r="AR3" s="69"/>
      <c r="AS3" s="69"/>
      <c r="AT3" s="69"/>
      <c r="AU3" s="69"/>
      <c r="AV3" s="69"/>
      <c r="AW3" s="69"/>
      <c r="AX3" s="69"/>
      <c r="AY3" s="69"/>
      <c r="AZ3" s="69"/>
      <c r="BA3" s="69"/>
      <c r="BB3" s="69"/>
      <c r="BC3" s="69"/>
      <c r="BD3" s="69"/>
      <c r="BE3" s="69"/>
      <c r="BF3" s="69"/>
      <c r="BG3" s="69"/>
    </row>
    <row r="4" spans="1:59" s="55" customFormat="1" ht="60" hidden="1" customHeight="1" thickBo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row>
    <row r="5" spans="1:59" s="55" customFormat="1" ht="60" hidden="1" customHeigh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row>
    <row r="6" spans="1:59" ht="20.100000000000001" customHeight="1">
      <c r="A6" s="289" t="s">
        <v>11</v>
      </c>
      <c r="B6" s="289"/>
      <c r="C6" s="666" t="s">
        <v>1234</v>
      </c>
      <c r="D6" s="667"/>
      <c r="E6" s="274" t="s">
        <v>13</v>
      </c>
      <c r="F6" s="274"/>
      <c r="G6" s="271">
        <f>+P15+P17+P19+P21+P23+P25</f>
        <v>0.99999999999999989</v>
      </c>
      <c r="H6" s="274" t="s">
        <v>14</v>
      </c>
      <c r="I6" s="274"/>
      <c r="J6" s="275">
        <f>+P14+P16+P18+P20+P22+P24</f>
        <v>0</v>
      </c>
      <c r="K6" s="661" t="s">
        <v>15</v>
      </c>
      <c r="L6" s="278">
        <v>0.95</v>
      </c>
      <c r="M6" s="289" t="s">
        <v>16</v>
      </c>
      <c r="N6" s="289"/>
      <c r="O6" s="281">
        <f>(SUM(U14,U16,U18,U20,U22,U24)/SUM(U15,U17,U19,U21,U25))</f>
        <v>0</v>
      </c>
      <c r="P6" s="281"/>
      <c r="Q6" s="281"/>
      <c r="R6" s="228" t="s">
        <v>17</v>
      </c>
      <c r="S6" s="256"/>
      <c r="T6" s="256"/>
      <c r="U6" s="257"/>
      <c r="V6" s="262">
        <f>SUM(X14,X16,X18,X20,X22,X24)/SUM(X15,X17,X19,X21,X25)</f>
        <v>0</v>
      </c>
      <c r="W6" s="263"/>
      <c r="X6" s="263"/>
      <c r="Y6" s="264"/>
      <c r="Z6" s="228" t="s">
        <v>18</v>
      </c>
      <c r="AA6" s="256"/>
      <c r="AB6" s="256"/>
      <c r="AC6" s="257"/>
      <c r="AD6" s="262">
        <f>SUM(AA14,AA16,AA18,AA20,AA22,AA24)/SUM(AA15,AA17,AA19,AA21,AA25)</f>
        <v>0</v>
      </c>
      <c r="AE6" s="263"/>
      <c r="AF6" s="228" t="s">
        <v>19</v>
      </c>
      <c r="AG6" s="262">
        <f>SUM(AA14,AA16,AA18,AA20,AA22,AA24)/SUM(AA15,AA17,AA19,AA21,AA25)</f>
        <v>0</v>
      </c>
    </row>
    <row r="7" spans="1:59" ht="15" customHeight="1">
      <c r="A7" s="289"/>
      <c r="B7" s="289"/>
      <c r="C7" s="667"/>
      <c r="D7" s="667"/>
      <c r="E7" s="274"/>
      <c r="F7" s="274"/>
      <c r="G7" s="272"/>
      <c r="H7" s="274"/>
      <c r="I7" s="274"/>
      <c r="J7" s="276"/>
      <c r="K7" s="662"/>
      <c r="L7" s="279"/>
      <c r="M7" s="289"/>
      <c r="N7" s="289"/>
      <c r="O7" s="281"/>
      <c r="P7" s="281"/>
      <c r="Q7" s="281"/>
      <c r="R7" s="229"/>
      <c r="S7" s="258"/>
      <c r="T7" s="258"/>
      <c r="U7" s="259"/>
      <c r="V7" s="265"/>
      <c r="W7" s="266"/>
      <c r="X7" s="266"/>
      <c r="Y7" s="267"/>
      <c r="Z7" s="229"/>
      <c r="AA7" s="258"/>
      <c r="AB7" s="258"/>
      <c r="AC7" s="259"/>
      <c r="AD7" s="265"/>
      <c r="AE7" s="266"/>
      <c r="AF7" s="229"/>
      <c r="AG7" s="265"/>
    </row>
    <row r="8" spans="1:59" ht="24.95" hidden="1" customHeight="1">
      <c r="A8" s="289"/>
      <c r="B8" s="289"/>
      <c r="C8" s="667"/>
      <c r="D8" s="667"/>
      <c r="E8" s="274"/>
      <c r="F8" s="274"/>
      <c r="G8" s="272"/>
      <c r="H8" s="274"/>
      <c r="I8" s="274"/>
      <c r="J8" s="276"/>
      <c r="K8" s="662"/>
      <c r="L8" s="279"/>
      <c r="M8" s="289"/>
      <c r="N8" s="289"/>
      <c r="O8" s="281"/>
      <c r="P8" s="281"/>
      <c r="Q8" s="281"/>
      <c r="R8" s="229"/>
      <c r="S8" s="258"/>
      <c r="T8" s="258"/>
      <c r="U8" s="259"/>
      <c r="V8" s="265"/>
      <c r="W8" s="266"/>
      <c r="X8" s="266"/>
      <c r="Y8" s="267"/>
      <c r="Z8" s="229"/>
      <c r="AA8" s="258"/>
      <c r="AB8" s="258"/>
      <c r="AC8" s="259"/>
      <c r="AD8" s="265"/>
      <c r="AE8" s="266"/>
      <c r="AF8" s="229"/>
      <c r="AG8" s="265"/>
    </row>
    <row r="9" spans="1:59" ht="24.95" hidden="1" customHeight="1" thickBot="1">
      <c r="A9" s="289"/>
      <c r="B9" s="289"/>
      <c r="C9" s="667"/>
      <c r="D9" s="667"/>
      <c r="E9" s="274"/>
      <c r="F9" s="274"/>
      <c r="G9" s="272"/>
      <c r="H9" s="274"/>
      <c r="I9" s="274"/>
      <c r="J9" s="276"/>
      <c r="K9" s="662"/>
      <c r="L9" s="279"/>
      <c r="M9" s="289"/>
      <c r="N9" s="289"/>
      <c r="O9" s="281"/>
      <c r="P9" s="281"/>
      <c r="Q9" s="281"/>
      <c r="R9" s="229"/>
      <c r="S9" s="258"/>
      <c r="T9" s="258"/>
      <c r="U9" s="259"/>
      <c r="V9" s="265"/>
      <c r="W9" s="266"/>
      <c r="X9" s="266"/>
      <c r="Y9" s="267"/>
      <c r="Z9" s="229"/>
      <c r="AA9" s="258"/>
      <c r="AB9" s="258"/>
      <c r="AC9" s="259"/>
      <c r="AD9" s="265"/>
      <c r="AE9" s="266"/>
      <c r="AF9" s="229"/>
      <c r="AG9" s="265"/>
    </row>
    <row r="10" spans="1:59" ht="15" customHeight="1" thickBot="1">
      <c r="A10" s="289"/>
      <c r="B10" s="289"/>
      <c r="C10" s="667"/>
      <c r="D10" s="667"/>
      <c r="E10" s="274"/>
      <c r="F10" s="274"/>
      <c r="G10" s="273"/>
      <c r="H10" s="274"/>
      <c r="I10" s="274"/>
      <c r="J10" s="277"/>
      <c r="K10" s="663"/>
      <c r="L10" s="280"/>
      <c r="M10" s="289"/>
      <c r="N10" s="289"/>
      <c r="O10" s="281"/>
      <c r="P10" s="281"/>
      <c r="Q10" s="281"/>
      <c r="R10" s="230"/>
      <c r="S10" s="260"/>
      <c r="T10" s="260"/>
      <c r="U10" s="261"/>
      <c r="V10" s="268"/>
      <c r="W10" s="269"/>
      <c r="X10" s="269"/>
      <c r="Y10" s="270"/>
      <c r="Z10" s="230"/>
      <c r="AA10" s="260"/>
      <c r="AB10" s="260"/>
      <c r="AC10" s="261"/>
      <c r="AD10" s="268"/>
      <c r="AE10" s="269"/>
      <c r="AF10" s="230"/>
      <c r="AG10" s="268"/>
    </row>
    <row r="11" spans="1:59" s="12" customFormat="1" ht="39.950000000000003" customHeight="1" thickBot="1">
      <c r="A11" s="314" t="s">
        <v>20</v>
      </c>
      <c r="B11" s="314"/>
      <c r="C11" s="314"/>
      <c r="D11" s="314"/>
      <c r="E11" s="314"/>
      <c r="F11" s="315"/>
      <c r="G11" s="316" t="s">
        <v>21</v>
      </c>
      <c r="H11" s="317"/>
      <c r="I11" s="317"/>
      <c r="J11" s="317"/>
      <c r="K11" s="317"/>
      <c r="L11" s="317"/>
      <c r="M11" s="317"/>
      <c r="N11" s="318"/>
      <c r="O11" s="238" t="s">
        <v>22</v>
      </c>
      <c r="P11" s="239"/>
      <c r="Q11" s="239"/>
      <c r="R11" s="239"/>
      <c r="S11" s="239"/>
      <c r="T11" s="239"/>
      <c r="U11" s="239"/>
      <c r="V11" s="239"/>
      <c r="W11" s="239"/>
      <c r="X11" s="239"/>
      <c r="Y11" s="239"/>
      <c r="Z11" s="239"/>
      <c r="AA11" s="239"/>
      <c r="AB11" s="239"/>
      <c r="AC11" s="239"/>
      <c r="AD11" s="240"/>
      <c r="AE11" s="238" t="s">
        <v>23</v>
      </c>
      <c r="AF11" s="239"/>
      <c r="AG11" s="239"/>
      <c r="AH11" s="239"/>
    </row>
    <row r="12" spans="1:59" ht="39" customHeight="1">
      <c r="A12" s="319" t="s">
        <v>24</v>
      </c>
      <c r="B12" s="321" t="s">
        <v>25</v>
      </c>
      <c r="C12" s="321" t="s">
        <v>26</v>
      </c>
      <c r="D12" s="321" t="s">
        <v>27</v>
      </c>
      <c r="E12" s="321" t="s">
        <v>28</v>
      </c>
      <c r="F12" s="321" t="s">
        <v>29</v>
      </c>
      <c r="G12" s="321" t="s">
        <v>1186</v>
      </c>
      <c r="H12" s="321" t="s">
        <v>1188</v>
      </c>
      <c r="I12" s="321" t="s">
        <v>33</v>
      </c>
      <c r="J12" s="321" t="s">
        <v>34</v>
      </c>
      <c r="K12" s="321" t="s">
        <v>35</v>
      </c>
      <c r="L12" s="321" t="s">
        <v>36</v>
      </c>
      <c r="M12" s="321" t="s">
        <v>37</v>
      </c>
      <c r="N12" s="321" t="s">
        <v>38</v>
      </c>
      <c r="O12" s="251" t="s">
        <v>39</v>
      </c>
      <c r="P12" s="252" t="s">
        <v>40</v>
      </c>
      <c r="Q12" s="253" t="s">
        <v>41</v>
      </c>
      <c r="R12" s="247" t="s">
        <v>42</v>
      </c>
      <c r="S12" s="245" t="s">
        <v>43</v>
      </c>
      <c r="T12" s="243" t="s">
        <v>44</v>
      </c>
      <c r="U12" s="249" t="s">
        <v>45</v>
      </c>
      <c r="V12" s="254" t="s">
        <v>46</v>
      </c>
      <c r="W12" s="249" t="s">
        <v>47</v>
      </c>
      <c r="X12" s="243" t="s">
        <v>47</v>
      </c>
      <c r="Y12" s="245" t="s">
        <v>48</v>
      </c>
      <c r="Z12" s="247" t="s">
        <v>49</v>
      </c>
      <c r="AA12" s="245" t="s">
        <v>50</v>
      </c>
      <c r="AB12" s="243" t="s">
        <v>51</v>
      </c>
      <c r="AC12" s="249" t="s">
        <v>52</v>
      </c>
      <c r="AD12" s="241" t="s">
        <v>53</v>
      </c>
      <c r="AE12" s="237" t="s">
        <v>54</v>
      </c>
      <c r="AF12" s="237" t="s">
        <v>55</v>
      </c>
      <c r="AG12" s="237" t="s">
        <v>56</v>
      </c>
      <c r="AH12" s="237" t="s">
        <v>57</v>
      </c>
    </row>
    <row r="13" spans="1:59" ht="60" customHeight="1" thickBot="1">
      <c r="A13" s="320"/>
      <c r="B13" s="320"/>
      <c r="C13" s="320"/>
      <c r="D13" s="320"/>
      <c r="E13" s="320"/>
      <c r="F13" s="320"/>
      <c r="G13" s="320"/>
      <c r="H13" s="320"/>
      <c r="I13" s="320"/>
      <c r="J13" s="320"/>
      <c r="K13" s="320"/>
      <c r="L13" s="320"/>
      <c r="M13" s="320"/>
      <c r="N13" s="320"/>
      <c r="O13" s="251"/>
      <c r="P13" s="252"/>
      <c r="Q13" s="253"/>
      <c r="R13" s="248"/>
      <c r="S13" s="246"/>
      <c r="T13" s="244"/>
      <c r="U13" s="250"/>
      <c r="V13" s="255"/>
      <c r="W13" s="250"/>
      <c r="X13" s="244"/>
      <c r="Y13" s="246"/>
      <c r="Z13" s="248"/>
      <c r="AA13" s="246"/>
      <c r="AB13" s="244"/>
      <c r="AC13" s="250"/>
      <c r="AD13" s="242"/>
      <c r="AE13" s="237"/>
      <c r="AF13" s="237"/>
      <c r="AG13" s="237"/>
      <c r="AH13" s="237"/>
    </row>
    <row r="14" spans="1:59" ht="39.950000000000003" customHeight="1" thickBot="1">
      <c r="A14" s="300">
        <v>1</v>
      </c>
      <c r="B14" s="300" t="s">
        <v>161</v>
      </c>
      <c r="C14" s="300" t="s">
        <v>85</v>
      </c>
      <c r="D14" s="300" t="s">
        <v>917</v>
      </c>
      <c r="E14" s="300" t="s">
        <v>1225</v>
      </c>
      <c r="F14" s="195" t="s">
        <v>62</v>
      </c>
      <c r="G14" s="300" t="s">
        <v>1235</v>
      </c>
      <c r="H14" s="300" t="s">
        <v>1236</v>
      </c>
      <c r="I14" s="300" t="s">
        <v>1237</v>
      </c>
      <c r="J14" s="302" t="s">
        <v>1238</v>
      </c>
      <c r="K14" s="302" t="s">
        <v>1239</v>
      </c>
      <c r="L14" s="302" t="s">
        <v>69</v>
      </c>
      <c r="M14" s="304">
        <v>44927</v>
      </c>
      <c r="N14" s="304">
        <v>45291</v>
      </c>
      <c r="O14" s="60" t="s">
        <v>70</v>
      </c>
      <c r="P14" s="53">
        <f>+(P15*Q14)</f>
        <v>0</v>
      </c>
      <c r="Q14" s="70">
        <f>SUM(R14:AD14)</f>
        <v>0</v>
      </c>
      <c r="R14" s="43"/>
      <c r="S14" s="43"/>
      <c r="T14" s="43"/>
      <c r="U14" s="43"/>
      <c r="V14" s="43"/>
      <c r="W14" s="43"/>
      <c r="X14" s="43"/>
      <c r="Y14" s="43"/>
      <c r="Z14" s="44"/>
      <c r="AA14" s="44"/>
      <c r="AB14" s="44"/>
      <c r="AC14" s="44"/>
      <c r="AD14" s="44"/>
      <c r="AE14" s="233"/>
      <c r="AF14" s="235"/>
      <c r="AG14" s="231"/>
      <c r="AH14" s="231"/>
    </row>
    <row r="15" spans="1:59" ht="36.950000000000003" customHeight="1" thickBot="1">
      <c r="A15" s="301"/>
      <c r="B15" s="301"/>
      <c r="C15" s="301"/>
      <c r="D15" s="301"/>
      <c r="E15" s="301"/>
      <c r="F15" s="196"/>
      <c r="G15" s="301"/>
      <c r="H15" s="301"/>
      <c r="I15" s="301"/>
      <c r="J15" s="303"/>
      <c r="K15" s="303"/>
      <c r="L15" s="303"/>
      <c r="M15" s="305"/>
      <c r="N15" s="305"/>
      <c r="O15" s="60" t="s">
        <v>71</v>
      </c>
      <c r="P15" s="52">
        <f>100%/6</f>
        <v>0.16666666666666666</v>
      </c>
      <c r="Q15" s="70">
        <f>SUM(R15:AD15)</f>
        <v>1</v>
      </c>
      <c r="R15" s="42"/>
      <c r="S15" s="42"/>
      <c r="T15" s="42"/>
      <c r="U15" s="42">
        <v>0.25</v>
      </c>
      <c r="V15" s="42"/>
      <c r="W15" s="42"/>
      <c r="X15" s="42">
        <v>0.25</v>
      </c>
      <c r="Y15" s="42"/>
      <c r="Z15" s="42"/>
      <c r="AA15" s="42">
        <v>0.25</v>
      </c>
      <c r="AB15" s="42"/>
      <c r="AC15" s="42"/>
      <c r="AD15" s="42">
        <v>0.25</v>
      </c>
      <c r="AE15" s="234"/>
      <c r="AF15" s="236"/>
      <c r="AG15" s="232"/>
      <c r="AH15" s="232"/>
    </row>
    <row r="16" spans="1:59" ht="36.950000000000003" customHeight="1" thickBot="1">
      <c r="A16" s="300">
        <v>2</v>
      </c>
      <c r="B16" s="300" t="s">
        <v>161</v>
      </c>
      <c r="C16" s="300" t="s">
        <v>85</v>
      </c>
      <c r="D16" s="300" t="s">
        <v>917</v>
      </c>
      <c r="E16" s="300" t="s">
        <v>1225</v>
      </c>
      <c r="F16" s="310" t="s">
        <v>62</v>
      </c>
      <c r="G16" s="300" t="s">
        <v>1240</v>
      </c>
      <c r="H16" s="300" t="s">
        <v>1241</v>
      </c>
      <c r="I16" s="300" t="s">
        <v>1242</v>
      </c>
      <c r="J16" s="302" t="s">
        <v>1238</v>
      </c>
      <c r="K16" s="664" t="s">
        <v>1243</v>
      </c>
      <c r="L16" s="302" t="s">
        <v>841</v>
      </c>
      <c r="M16" s="304">
        <v>45108</v>
      </c>
      <c r="N16" s="304">
        <v>45275</v>
      </c>
      <c r="O16" s="60" t="s">
        <v>70</v>
      </c>
      <c r="P16" s="53">
        <f>+(P17*Q16)</f>
        <v>0</v>
      </c>
      <c r="Q16" s="70">
        <f>SUM(R16:AD16)</f>
        <v>0</v>
      </c>
      <c r="R16" s="43"/>
      <c r="S16" s="43"/>
      <c r="T16" s="43"/>
      <c r="U16" s="43"/>
      <c r="V16" s="43"/>
      <c r="W16" s="43"/>
      <c r="X16" s="43"/>
      <c r="Y16" s="43"/>
      <c r="Z16" s="44"/>
      <c r="AA16" s="44"/>
      <c r="AB16" s="44"/>
      <c r="AC16" s="44"/>
      <c r="AD16" s="44"/>
      <c r="AE16" s="233"/>
      <c r="AF16" s="235"/>
      <c r="AG16" s="231"/>
      <c r="AH16" s="231"/>
    </row>
    <row r="17" spans="1:34" ht="36.950000000000003" customHeight="1" thickBot="1">
      <c r="A17" s="301"/>
      <c r="B17" s="301"/>
      <c r="C17" s="301"/>
      <c r="D17" s="301"/>
      <c r="E17" s="301"/>
      <c r="F17" s="311"/>
      <c r="G17" s="301"/>
      <c r="H17" s="301"/>
      <c r="I17" s="301"/>
      <c r="J17" s="303"/>
      <c r="K17" s="665"/>
      <c r="L17" s="303"/>
      <c r="M17" s="305"/>
      <c r="N17" s="305"/>
      <c r="O17" s="60" t="s">
        <v>71</v>
      </c>
      <c r="P17" s="52">
        <f>100%/6</f>
        <v>0.16666666666666666</v>
      </c>
      <c r="Q17" s="70">
        <f>SUM(R17:AD17)</f>
        <v>1</v>
      </c>
      <c r="R17" s="42"/>
      <c r="S17" s="42"/>
      <c r="T17" s="42"/>
      <c r="U17" s="42"/>
      <c r="V17" s="42"/>
      <c r="W17" s="42"/>
      <c r="X17" s="42"/>
      <c r="Y17" s="42"/>
      <c r="Z17" s="42"/>
      <c r="AA17" s="42"/>
      <c r="AB17" s="42"/>
      <c r="AC17" s="42"/>
      <c r="AD17" s="42">
        <v>1</v>
      </c>
      <c r="AE17" s="234"/>
      <c r="AF17" s="236"/>
      <c r="AG17" s="232"/>
      <c r="AH17" s="232"/>
    </row>
    <row r="18" spans="1:34" ht="36.950000000000003" customHeight="1" thickBot="1">
      <c r="A18" s="300">
        <v>3</v>
      </c>
      <c r="B18" s="300" t="s">
        <v>161</v>
      </c>
      <c r="C18" s="300" t="s">
        <v>85</v>
      </c>
      <c r="D18" s="300" t="s">
        <v>917</v>
      </c>
      <c r="E18" s="300" t="s">
        <v>1225</v>
      </c>
      <c r="F18" s="310" t="s">
        <v>62</v>
      </c>
      <c r="G18" s="300" t="s">
        <v>1244</v>
      </c>
      <c r="H18" s="300" t="s">
        <v>1245</v>
      </c>
      <c r="I18" s="300" t="s">
        <v>1246</v>
      </c>
      <c r="J18" s="302" t="s">
        <v>1238</v>
      </c>
      <c r="K18" s="664" t="s">
        <v>1243</v>
      </c>
      <c r="L18" s="302" t="s">
        <v>69</v>
      </c>
      <c r="M18" s="304">
        <v>44927</v>
      </c>
      <c r="N18" s="304">
        <v>45291</v>
      </c>
      <c r="O18" s="60" t="s">
        <v>70</v>
      </c>
      <c r="P18" s="53">
        <f>+(P19*Q18)</f>
        <v>0</v>
      </c>
      <c r="Q18" s="70">
        <f>SUM(R18:AD18)</f>
        <v>0</v>
      </c>
      <c r="R18" s="43"/>
      <c r="S18" s="43"/>
      <c r="T18" s="43"/>
      <c r="U18" s="43"/>
      <c r="V18" s="43"/>
      <c r="W18" s="43"/>
      <c r="X18" s="43"/>
      <c r="Y18" s="43"/>
      <c r="Z18" s="44"/>
      <c r="AA18" s="44"/>
      <c r="AB18" s="44"/>
      <c r="AC18" s="44"/>
      <c r="AD18" s="44"/>
      <c r="AE18" s="233"/>
      <c r="AF18" s="235"/>
      <c r="AG18" s="231"/>
      <c r="AH18" s="231"/>
    </row>
    <row r="19" spans="1:34" ht="36.950000000000003" customHeight="1" thickBot="1">
      <c r="A19" s="301"/>
      <c r="B19" s="301"/>
      <c r="C19" s="301"/>
      <c r="D19" s="301"/>
      <c r="E19" s="301"/>
      <c r="F19" s="311"/>
      <c r="G19" s="301"/>
      <c r="H19" s="301"/>
      <c r="I19" s="301"/>
      <c r="J19" s="303"/>
      <c r="K19" s="665"/>
      <c r="L19" s="303"/>
      <c r="M19" s="305"/>
      <c r="N19" s="305"/>
      <c r="O19" s="60" t="s">
        <v>71</v>
      </c>
      <c r="P19" s="52">
        <f>100%/6</f>
        <v>0.16666666666666666</v>
      </c>
      <c r="Q19" s="70">
        <f>SUM(R19:AD19)</f>
        <v>1</v>
      </c>
      <c r="R19" s="42"/>
      <c r="S19" s="42"/>
      <c r="T19" s="42"/>
      <c r="U19" s="42">
        <v>0.25</v>
      </c>
      <c r="V19" s="42"/>
      <c r="W19" s="42"/>
      <c r="X19" s="42">
        <v>0.25</v>
      </c>
      <c r="Y19" s="42"/>
      <c r="Z19" s="42"/>
      <c r="AA19" s="42">
        <v>0.25</v>
      </c>
      <c r="AB19" s="42"/>
      <c r="AC19" s="42"/>
      <c r="AD19" s="42">
        <v>0.25</v>
      </c>
      <c r="AE19" s="234"/>
      <c r="AF19" s="236"/>
      <c r="AG19" s="232"/>
      <c r="AH19" s="232"/>
    </row>
    <row r="20" spans="1:34" ht="36.950000000000003" customHeight="1" thickBot="1">
      <c r="A20" s="300">
        <v>4</v>
      </c>
      <c r="B20" s="300" t="s">
        <v>161</v>
      </c>
      <c r="C20" s="300" t="s">
        <v>85</v>
      </c>
      <c r="D20" s="300" t="s">
        <v>917</v>
      </c>
      <c r="E20" s="300" t="s">
        <v>1225</v>
      </c>
      <c r="F20" s="310" t="s">
        <v>62</v>
      </c>
      <c r="G20" s="300" t="s">
        <v>1247</v>
      </c>
      <c r="H20" s="300" t="s">
        <v>1248</v>
      </c>
      <c r="I20" s="300" t="s">
        <v>1249</v>
      </c>
      <c r="J20" s="73" t="s">
        <v>1238</v>
      </c>
      <c r="K20" s="300"/>
      <c r="L20" s="302" t="s">
        <v>109</v>
      </c>
      <c r="M20" s="304">
        <v>44927</v>
      </c>
      <c r="N20" s="304">
        <v>45291</v>
      </c>
      <c r="O20" s="60" t="s">
        <v>70</v>
      </c>
      <c r="P20" s="53">
        <f>+(P21*Q20)</f>
        <v>0</v>
      </c>
      <c r="Q20" s="70">
        <f>SUM(R20:AD20)</f>
        <v>0</v>
      </c>
      <c r="R20" s="43"/>
      <c r="S20" s="43"/>
      <c r="T20" s="43"/>
      <c r="U20" s="43"/>
      <c r="V20" s="43"/>
      <c r="W20" s="43"/>
      <c r="X20" s="43"/>
      <c r="Y20" s="43"/>
      <c r="Z20" s="44"/>
      <c r="AA20" s="44"/>
      <c r="AB20" s="44"/>
      <c r="AC20" s="44"/>
      <c r="AD20" s="44"/>
      <c r="AE20" s="233"/>
      <c r="AF20" s="235"/>
      <c r="AG20" s="231"/>
      <c r="AH20" s="231"/>
    </row>
    <row r="21" spans="1:34" ht="36.950000000000003" customHeight="1" thickBot="1">
      <c r="A21" s="301"/>
      <c r="B21" s="301"/>
      <c r="C21" s="301"/>
      <c r="D21" s="301"/>
      <c r="E21" s="301"/>
      <c r="F21" s="311"/>
      <c r="G21" s="301"/>
      <c r="H21" s="301"/>
      <c r="I21" s="301"/>
      <c r="J21" s="76" t="s">
        <v>1250</v>
      </c>
      <c r="K21" s="301"/>
      <c r="L21" s="303"/>
      <c r="M21" s="305"/>
      <c r="N21" s="305"/>
      <c r="O21" s="60" t="s">
        <v>71</v>
      </c>
      <c r="P21" s="52">
        <f>100%/6</f>
        <v>0.16666666666666666</v>
      </c>
      <c r="Q21" s="70">
        <f>SUM(R21:AD21)</f>
        <v>1</v>
      </c>
      <c r="R21" s="42"/>
      <c r="S21" s="42"/>
      <c r="T21" s="42"/>
      <c r="U21" s="42"/>
      <c r="V21" s="42"/>
      <c r="W21" s="42"/>
      <c r="X21" s="42">
        <v>0.5</v>
      </c>
      <c r="Y21" s="42"/>
      <c r="Z21" s="42"/>
      <c r="AA21" s="42"/>
      <c r="AB21" s="42"/>
      <c r="AC21" s="42"/>
      <c r="AD21" s="42">
        <v>0.5</v>
      </c>
      <c r="AE21" s="234"/>
      <c r="AF21" s="236"/>
      <c r="AG21" s="232"/>
      <c r="AH21" s="232"/>
    </row>
    <row r="22" spans="1:34" ht="36.950000000000003" customHeight="1" thickBot="1">
      <c r="A22" s="300">
        <v>5</v>
      </c>
      <c r="B22" s="300" t="s">
        <v>161</v>
      </c>
      <c r="C22" s="300" t="s">
        <v>85</v>
      </c>
      <c r="D22" s="300" t="s">
        <v>917</v>
      </c>
      <c r="E22" s="300" t="s">
        <v>1225</v>
      </c>
      <c r="F22" s="195" t="s">
        <v>62</v>
      </c>
      <c r="G22" s="648" t="s">
        <v>1251</v>
      </c>
      <c r="H22" s="648" t="s">
        <v>1252</v>
      </c>
      <c r="I22" s="648" t="s">
        <v>1253</v>
      </c>
      <c r="J22" s="648" t="s">
        <v>1238</v>
      </c>
      <c r="K22" s="648" t="s">
        <v>1254</v>
      </c>
      <c r="L22" s="650" t="s">
        <v>69</v>
      </c>
      <c r="M22" s="659">
        <v>44927</v>
      </c>
      <c r="N22" s="659">
        <v>45291</v>
      </c>
      <c r="O22" s="60" t="s">
        <v>70</v>
      </c>
      <c r="P22" s="53">
        <f>+(P23*Q22)</f>
        <v>0</v>
      </c>
      <c r="Q22" s="70">
        <f>SUM(R22:AD22)</f>
        <v>0</v>
      </c>
      <c r="R22" s="45"/>
      <c r="S22" s="45"/>
      <c r="T22" s="45"/>
      <c r="U22" s="43"/>
      <c r="V22" s="43"/>
      <c r="W22" s="43"/>
      <c r="X22" s="43"/>
      <c r="Y22" s="43"/>
      <c r="Z22" s="44"/>
      <c r="AA22" s="44"/>
      <c r="AB22" s="44"/>
      <c r="AC22" s="44"/>
      <c r="AD22" s="44"/>
      <c r="AE22" s="58"/>
      <c r="AF22" s="81"/>
      <c r="AG22" s="82"/>
      <c r="AH22" s="82"/>
    </row>
    <row r="23" spans="1:34" ht="36.950000000000003" customHeight="1" thickBot="1">
      <c r="A23" s="301"/>
      <c r="B23" s="301"/>
      <c r="C23" s="301"/>
      <c r="D23" s="301"/>
      <c r="E23" s="301"/>
      <c r="F23" s="74"/>
      <c r="G23" s="649"/>
      <c r="H23" s="649"/>
      <c r="I23" s="649"/>
      <c r="J23" s="649"/>
      <c r="K23" s="649"/>
      <c r="L23" s="651"/>
      <c r="M23" s="660"/>
      <c r="N23" s="660"/>
      <c r="O23" s="60" t="s">
        <v>71</v>
      </c>
      <c r="P23" s="52">
        <f>100%/6</f>
        <v>0.16666666666666666</v>
      </c>
      <c r="Q23" s="70">
        <f>SUM(R23:AD23)</f>
        <v>1</v>
      </c>
      <c r="R23" s="42"/>
      <c r="S23" s="42"/>
      <c r="T23" s="42"/>
      <c r="U23" s="42">
        <v>0.25</v>
      </c>
      <c r="V23" s="42"/>
      <c r="W23" s="42"/>
      <c r="X23" s="42">
        <v>0.25</v>
      </c>
      <c r="Y23" s="42"/>
      <c r="Z23" s="42"/>
      <c r="AA23" s="42">
        <v>0.25</v>
      </c>
      <c r="AB23" s="42"/>
      <c r="AC23" s="42"/>
      <c r="AD23" s="42">
        <v>0.25</v>
      </c>
      <c r="AE23" s="58"/>
      <c r="AF23" s="81"/>
      <c r="AG23" s="82"/>
      <c r="AH23" s="82"/>
    </row>
    <row r="24" spans="1:34" ht="36.950000000000003" customHeight="1" thickBot="1">
      <c r="A24" s="300">
        <v>6</v>
      </c>
      <c r="B24" s="300" t="s">
        <v>161</v>
      </c>
      <c r="C24" s="300" t="s">
        <v>85</v>
      </c>
      <c r="D24" s="300" t="s">
        <v>917</v>
      </c>
      <c r="E24" s="300" t="s">
        <v>1225</v>
      </c>
      <c r="F24" s="310" t="s">
        <v>62</v>
      </c>
      <c r="G24" s="648" t="s">
        <v>1255</v>
      </c>
      <c r="H24" s="648" t="s">
        <v>1256</v>
      </c>
      <c r="I24" s="648" t="s">
        <v>1257</v>
      </c>
      <c r="J24" s="648" t="s">
        <v>1238</v>
      </c>
      <c r="K24" s="86" t="s">
        <v>1258</v>
      </c>
      <c r="L24" s="650" t="s">
        <v>841</v>
      </c>
      <c r="M24" s="659">
        <v>44927</v>
      </c>
      <c r="N24" s="659">
        <v>45291</v>
      </c>
      <c r="O24" s="60" t="s">
        <v>70</v>
      </c>
      <c r="P24" s="53">
        <f>+(P25*Q24)</f>
        <v>0</v>
      </c>
      <c r="Q24" s="70">
        <f>SUM(R24:AD24)</f>
        <v>0</v>
      </c>
      <c r="R24" s="59"/>
      <c r="S24" s="59"/>
      <c r="T24" s="59"/>
      <c r="U24" s="43"/>
      <c r="V24" s="43"/>
      <c r="W24" s="43"/>
      <c r="X24" s="43"/>
      <c r="Y24" s="43"/>
      <c r="Z24" s="44"/>
      <c r="AA24" s="44"/>
      <c r="AB24" s="44"/>
      <c r="AC24" s="44"/>
      <c r="AD24" s="44"/>
      <c r="AE24" s="233"/>
      <c r="AF24" s="235"/>
      <c r="AG24" s="231"/>
      <c r="AH24" s="231"/>
    </row>
    <row r="25" spans="1:34" ht="39.950000000000003" customHeight="1">
      <c r="A25" s="301"/>
      <c r="B25" s="301"/>
      <c r="C25" s="301"/>
      <c r="D25" s="301"/>
      <c r="E25" s="301"/>
      <c r="F25" s="311"/>
      <c r="G25" s="649"/>
      <c r="H25" s="649"/>
      <c r="I25" s="649"/>
      <c r="J25" s="649"/>
      <c r="K25" s="197">
        <v>2549836800</v>
      </c>
      <c r="L25" s="651"/>
      <c r="M25" s="660"/>
      <c r="N25" s="660"/>
      <c r="O25" s="60" t="s">
        <v>71</v>
      </c>
      <c r="P25" s="52">
        <f>100%/6</f>
        <v>0.16666666666666666</v>
      </c>
      <c r="Q25" s="70">
        <f>SUM(R25:AD25)</f>
        <v>1</v>
      </c>
      <c r="R25" s="42"/>
      <c r="S25" s="42"/>
      <c r="T25" s="42"/>
      <c r="U25" s="42"/>
      <c r="V25" s="42"/>
      <c r="W25" s="42"/>
      <c r="X25" s="42"/>
      <c r="Y25" s="42"/>
      <c r="Z25" s="42"/>
      <c r="AA25" s="42"/>
      <c r="AB25" s="42"/>
      <c r="AC25" s="42"/>
      <c r="AD25" s="42">
        <v>1</v>
      </c>
      <c r="AE25" s="234"/>
      <c r="AF25" s="236"/>
      <c r="AG25" s="232"/>
      <c r="AH25" s="232"/>
    </row>
    <row r="27" spans="1:34" s="13" customFormat="1" ht="30" hidden="1" customHeight="1">
      <c r="D27" s="332" t="s">
        <v>15</v>
      </c>
      <c r="E27" s="332"/>
      <c r="F27" s="21">
        <v>1</v>
      </c>
      <c r="H27" s="328" t="s">
        <v>110</v>
      </c>
      <c r="I27" s="22" t="s">
        <v>111</v>
      </c>
      <c r="J27" s="54" t="e">
        <f>SUM(N27:AC27)</f>
        <v>#REF!</v>
      </c>
      <c r="K27" s="33"/>
      <c r="L27" s="33"/>
      <c r="M27" s="33"/>
      <c r="N27" s="33" t="e">
        <f>+(V14*$P$15)+(V16*$P$17)+(V18*$P$19)+(V20*$P$21)+(V22*#REF!)+(V25*$P$25)+(#REF!*#REF!)+(#REF!*#REF!)+(#REF!*#REF!)+(#REF!*#REF!)+(#REF!*#REF!)+(#REF!*#REF!)+(#REF!*#REF!)</f>
        <v>#REF!</v>
      </c>
      <c r="O27" s="33" t="e">
        <f>+(AC14*$P$15)+(AC16*$P$17)+(AC18*$P$19)+(AC20*$P$21)+(AC22*#REF!)+(AC25*$P$25)+(#REF!*#REF!)+(#REF!*#REF!)+(#REF!*#REF!)+(#REF!*#REF!)+(#REF!*#REF!)+(#REF!*#REF!)+(#REF!*#REF!)</f>
        <v>#REF!</v>
      </c>
      <c r="P27" s="36" t="e">
        <f>+(#REF!*$P$15)+(#REF!*$P$17)+(#REF!*$P$19)+(#REF!*$P$21)+(#REF!*#REF!)+(#REF!*$P$25)+(#REF!*#REF!)+(#REF!*#REF!)+(#REF!*#REF!)+(#REF!*#REF!)+(#REF!*#REF!)+(#REF!*#REF!)+(#REF!*#REF!)</f>
        <v>#REF!</v>
      </c>
      <c r="Q27" s="33" t="e">
        <f>+(#REF!*$P$15)+(#REF!*$P$17)+(#REF!*$P$19)+(#REF!*$P$21)+(#REF!*#REF!)+(#REF!*$P$25)+(#REF!*#REF!)+(#REF!*#REF!)+(#REF!*#REF!)+(#REF!*#REF!)+(#REF!*#REF!)+(#REF!*#REF!)+(#REF!*#REF!)</f>
        <v>#REF!</v>
      </c>
      <c r="R27" s="33" t="e">
        <f>+(#REF!*$P$15)+(#REF!*$P$17)+(#REF!*$P$19)+(#REF!*$P$21)+(#REF!*#REF!)+(#REF!*$P$25)+(#REF!*#REF!)+(#REF!*#REF!)+(#REF!*#REF!)+(#REF!*#REF!)+(#REF!*#REF!)+(#REF!*#REF!)+(#REF!*#REF!)</f>
        <v>#REF!</v>
      </c>
      <c r="S27" s="33" t="e">
        <f>+(#REF!*$P$15)+(#REF!*$P$17)+(#REF!*$P$19)+(#REF!*$P$21)+(#REF!*#REF!)+(#REF!*$P$25)+(#REF!*#REF!)+(#REF!*#REF!)+(#REF!*#REF!)+(#REF!*#REF!)+(#REF!*#REF!)+(#REF!*#REF!)+(#REF!*#REF!)</f>
        <v>#REF!</v>
      </c>
      <c r="T27" s="33" t="e">
        <f>+(#REF!*$P$15)+(#REF!*$P$17)+(#REF!*$P$19)+(#REF!*$P$21)+(#REF!*#REF!)+(#REF!*$P$25)+(#REF!*#REF!)+(#REF!*#REF!)+(#REF!*#REF!)+(#REF!*#REF!)+(#REF!*#REF!)+(#REF!*#REF!)+(#REF!*#REF!)</f>
        <v>#REF!</v>
      </c>
      <c r="U27" s="33" t="e">
        <f>+(#REF!*$P$15)+(#REF!*$P$17)+(#REF!*$P$19)+(#REF!*$P$21)+(#REF!*#REF!)+(#REF!*$P$25)+(#REF!*#REF!)+(#REF!*#REF!)+(#REF!*#REF!)+(#REF!*#REF!)+(#REF!*#REF!)+(#REF!*#REF!)+(#REF!*#REF!)</f>
        <v>#REF!</v>
      </c>
      <c r="V27" s="33" t="e">
        <f>+(#REF!*$P$15)+(#REF!*$P$17)+(#REF!*$P$19)+(#REF!*$P$21)+(#REF!*#REF!)+(#REF!*$P$25)+(#REF!*#REF!)+(#REF!*#REF!)+(#REF!*#REF!)+(#REF!*#REF!)+(#REF!*#REF!)+(#REF!*#REF!)+(#REF!*#REF!)</f>
        <v>#REF!</v>
      </c>
      <c r="W27" s="33" t="e">
        <f>+(#REF!*$P$15)+(#REF!*$P$17)+(#REF!*$P$19)+(#REF!*$P$21)+(#REF!*#REF!)+(#REF!*$P$25)+(#REF!*#REF!)+(#REF!*#REF!)+(#REF!*#REF!)+(#REF!*#REF!)+(#REF!*#REF!)+(#REF!*#REF!)+(#REF!*#REF!)</f>
        <v>#REF!</v>
      </c>
      <c r="X27" s="33" t="e">
        <f>+(#REF!*$P$15)+(#REF!*$P$17)+(#REF!*$P$19)+(#REF!*$P$21)+(#REF!*#REF!)+(#REF!*$P$25)+(#REF!*#REF!)+(#REF!*#REF!)+(#REF!*#REF!)+(#REF!*#REF!)+(#REF!*#REF!)+(#REF!*#REF!)+(#REF!*#REF!)</f>
        <v>#REF!</v>
      </c>
      <c r="Y27" s="33" t="e">
        <f>+(#REF!*$P$15)+(#REF!*$P$17)+(#REF!*$P$19)+(#REF!*$P$21)+(#REF!*#REF!)+(#REF!*$P$25)+(#REF!*#REF!)+(#REF!*#REF!)+(#REF!*#REF!)+(#REF!*#REF!)+(#REF!*#REF!)+(#REF!*#REF!)+(#REF!*#REF!)</f>
        <v>#REF!</v>
      </c>
      <c r="Z27" s="33" t="e">
        <f>+(#REF!*$P$15)+(#REF!*$P$17)+(#REF!*$P$19)+(#REF!*$P$21)+(#REF!*#REF!)+(#REF!*$P$25)+(#REF!*#REF!)+(#REF!*#REF!)+(#REF!*#REF!)+(#REF!*#REF!)+(#REF!*#REF!)+(#REF!*#REF!)+(#REF!*#REF!)</f>
        <v>#REF!</v>
      </c>
      <c r="AA27" s="33" t="e">
        <f>+(#REF!*$P$15)+(#REF!*$P$17)+(#REF!*$P$19)+(#REF!*$P$21)+(#REF!*#REF!)+(#REF!*$P$25)+(#REF!*#REF!)+(#REF!*#REF!)+(#REF!*#REF!)+(#REF!*#REF!)+(#REF!*#REF!)+(#REF!*#REF!)+(#REF!*#REF!)</f>
        <v>#REF!</v>
      </c>
      <c r="AB27" s="36" t="e">
        <f>+(#REF!*$P$15)+(#REF!*$P$17)+(#REF!*$P$19)+(#REF!*$P$21)+(#REF!*#REF!)+(#REF!*$P$25)+(#REF!*#REF!)+(#REF!*#REF!)+(#REF!*#REF!)+(#REF!*#REF!)+(#REF!*#REF!)+(#REF!*#REF!)+(#REF!*#REF!)</f>
        <v>#REF!</v>
      </c>
      <c r="AC27" s="33" t="e">
        <f>+(#REF!*$P$15)+(#REF!*$P$17)+(#REF!*$P$19)+(#REF!*$P$21)+(#REF!*#REF!)+(#REF!*$P$25)+(#REF!*#REF!)+(#REF!*#REF!)+(#REF!*#REF!)+(#REF!*#REF!)+(#REF!*#REF!)+(#REF!*#REF!)+(#REF!*#REF!)</f>
        <v>#REF!</v>
      </c>
      <c r="AD27" s="61"/>
    </row>
    <row r="28" spans="1:34" s="13" customFormat="1" ht="30" hidden="1" customHeight="1">
      <c r="D28" s="332"/>
      <c r="E28" s="332"/>
      <c r="F28" s="21"/>
      <c r="H28" s="329"/>
      <c r="I28" s="15" t="s">
        <v>112</v>
      </c>
      <c r="J28" s="17"/>
      <c r="K28" s="34"/>
      <c r="L28" s="34"/>
      <c r="M28" s="34"/>
      <c r="N28" s="34"/>
      <c r="O28" s="34" t="e">
        <f>SUM(O27:O27)</f>
        <v>#REF!</v>
      </c>
      <c r="P28" s="37"/>
      <c r="Q28" s="34"/>
      <c r="R28" s="34"/>
      <c r="S28" s="27" t="e">
        <f>SUM(P27:S27)</f>
        <v>#REF!</v>
      </c>
      <c r="T28" s="27"/>
      <c r="U28" s="27"/>
      <c r="V28" s="27"/>
      <c r="W28" s="27" t="e">
        <f>SUM(T27:W27)</f>
        <v>#REF!</v>
      </c>
      <c r="X28" s="27"/>
      <c r="Y28" s="27"/>
      <c r="Z28" s="27"/>
      <c r="AA28" s="27" t="e">
        <f>SUM(X27:AA27)</f>
        <v>#REF!</v>
      </c>
      <c r="AB28" s="39"/>
      <c r="AC28" s="27"/>
      <c r="AD28" s="62"/>
    </row>
    <row r="29" spans="1:34" s="13" customFormat="1" ht="30" hidden="1" customHeight="1">
      <c r="H29" s="329"/>
      <c r="I29" s="15" t="s">
        <v>113</v>
      </c>
      <c r="J29" s="14"/>
      <c r="K29" s="34"/>
      <c r="L29" s="34"/>
      <c r="M29" s="34"/>
      <c r="N29" s="34"/>
      <c r="O29" s="34" t="e">
        <f>+#REF!+O28</f>
        <v>#REF!</v>
      </c>
      <c r="P29" s="37"/>
      <c r="Q29" s="34"/>
      <c r="R29" s="34"/>
      <c r="S29" s="26"/>
      <c r="T29" s="27"/>
      <c r="U29" s="27"/>
      <c r="V29" s="27"/>
      <c r="W29" s="27"/>
      <c r="X29" s="27"/>
      <c r="Y29" s="27"/>
      <c r="Z29" s="27"/>
      <c r="AA29" s="27" t="e">
        <f>+S28+W28+AA28</f>
        <v>#REF!</v>
      </c>
      <c r="AB29" s="39"/>
      <c r="AC29" s="27"/>
      <c r="AD29" s="62"/>
    </row>
    <row r="30" spans="1:34" s="13" customFormat="1" ht="30" hidden="1" customHeight="1">
      <c r="H30" s="330"/>
      <c r="I30" s="18" t="s">
        <v>114</v>
      </c>
      <c r="J30" s="19"/>
      <c r="K30" s="35"/>
      <c r="L30" s="35"/>
      <c r="M30" s="35"/>
      <c r="N30" s="35"/>
      <c r="O30" s="35"/>
      <c r="P30" s="38"/>
      <c r="Q30" s="35"/>
      <c r="R30" s="35"/>
      <c r="S30" s="28"/>
      <c r="T30" s="29"/>
      <c r="U30" s="29"/>
      <c r="V30" s="29"/>
      <c r="W30" s="29"/>
      <c r="X30" s="29"/>
      <c r="Y30" s="29"/>
      <c r="Z30" s="29"/>
      <c r="AA30" s="29" t="e">
        <f>+O29+AA29</f>
        <v>#REF!</v>
      </c>
      <c r="AB30" s="40"/>
      <c r="AC30" s="29"/>
      <c r="AD30" s="62"/>
    </row>
    <row r="31" spans="1:34" s="13" customFormat="1" ht="30" hidden="1" customHeight="1">
      <c r="H31" s="331" t="s">
        <v>115</v>
      </c>
      <c r="I31" s="15" t="s">
        <v>116</v>
      </c>
      <c r="J31" s="23" t="e">
        <f>SUM(N31:AC31)</f>
        <v>#REF!</v>
      </c>
      <c r="K31" s="34"/>
      <c r="L31" s="34"/>
      <c r="M31" s="34"/>
      <c r="N31" s="34" t="e">
        <f>+(V15*$P$15)+(V17*$P$17)+(V19*$P$19)+(V21*$P$21)+(#REF!*#REF!)+(#REF!*$P$25)+(#REF!*#REF!)+(#REF!*#REF!)+(#REF!*#REF!)+(#REF!*#REF!)+(#REF!*#REF!)+(#REF!*#REF!)+(#REF!*#REF!)</f>
        <v>#REF!</v>
      </c>
      <c r="O31" s="34" t="e">
        <f>+(AC15*$P$15)+(AC17*$P$17)+(AC19*$P$19)+(AC21*$P$21)+(#REF!*#REF!)+(#REF!*$P$25)+(#REF!*#REF!)+(#REF!*#REF!)+(#REF!*#REF!)+(#REF!*#REF!)+(#REF!*#REF!)+(#REF!*#REF!)+(#REF!*#REF!)</f>
        <v>#REF!</v>
      </c>
      <c r="P31" s="37" t="e">
        <f>+(#REF!*$P$15)+(#REF!*$P$17)+(#REF!*$P$19)+(#REF!*$P$21)+(#REF!*#REF!)+(#REF!*$P$25)+(#REF!*#REF!)+(#REF!*#REF!)+(#REF!*#REF!)+(#REF!*#REF!)+(#REF!*#REF!)+(#REF!*#REF!)+(#REF!*#REF!)</f>
        <v>#REF!</v>
      </c>
      <c r="Q31" s="34" t="e">
        <f>+(#REF!*$P$15)+(#REF!*$P$17)+(#REF!*$P$19)+(#REF!*$P$21)+(#REF!*#REF!)+(#REF!*$P$25)+(#REF!*#REF!)+(#REF!*#REF!)+(#REF!*#REF!)+(#REF!*#REF!)+(#REF!*#REF!)+(#REF!*#REF!)+(#REF!*#REF!)</f>
        <v>#REF!</v>
      </c>
      <c r="R31" s="34" t="e">
        <f>+(#REF!*$P$15)+(#REF!*$P$17)+(#REF!*$P$19)+(#REF!*$P$21)+(#REF!*#REF!)+(#REF!*$P$25)+(#REF!*#REF!)+(#REF!*#REF!)+(#REF!*#REF!)+(#REF!*#REF!)+(#REF!*#REF!)+(#REF!*#REF!)+(#REF!*#REF!)</f>
        <v>#REF!</v>
      </c>
      <c r="S31" s="34" t="e">
        <f>+(#REF!*$P$15)+(#REF!*$P$17)+(#REF!*$P$19)+(#REF!*$P$21)+(#REF!*#REF!)+(#REF!*$P$25)+(#REF!*#REF!)+(#REF!*#REF!)+(#REF!*#REF!)+(#REF!*#REF!)+(#REF!*#REF!)+(#REF!*#REF!)+(#REF!*#REF!)</f>
        <v>#REF!</v>
      </c>
      <c r="T31" s="34" t="e">
        <f>+(#REF!*$P$15)+(#REF!*$P$17)+(#REF!*$P$19)+(#REF!*$P$21)+(#REF!*#REF!)+(#REF!*$P$25)+(#REF!*#REF!)+(#REF!*#REF!)+(#REF!*#REF!)+(#REF!*#REF!)+(#REF!*#REF!)+(#REF!*#REF!)+(#REF!*#REF!)</f>
        <v>#REF!</v>
      </c>
      <c r="U31" s="34" t="e">
        <f>+(#REF!*$P$15)+(#REF!*$P$17)+(#REF!*$P$19)+(#REF!*$P$21)+(#REF!*#REF!)+(#REF!*$P$25)+(#REF!*#REF!)+(#REF!*#REF!)+(#REF!*#REF!)+(#REF!*#REF!)+(#REF!*#REF!)+(#REF!*#REF!)+(#REF!*#REF!)</f>
        <v>#REF!</v>
      </c>
      <c r="V31" s="34" t="e">
        <f>+(#REF!*$P$15)+(#REF!*$P$17)+(#REF!*$P$19)+(#REF!*$P$21)+(#REF!*#REF!)+(#REF!*$P$25)+(#REF!*#REF!)+(#REF!*#REF!)+(#REF!*#REF!)+(#REF!*#REF!)+(#REF!*#REF!)+(#REF!*#REF!)+(#REF!*#REF!)</f>
        <v>#REF!</v>
      </c>
      <c r="W31" s="34" t="e">
        <f>+(#REF!*$P$15)+(#REF!*$P$17)+(#REF!*$P$19)+(#REF!*$P$21)+(#REF!*#REF!)+(#REF!*$P$25)+(#REF!*#REF!)+(#REF!*#REF!)+(#REF!*#REF!)+(#REF!*#REF!)+(#REF!*#REF!)+(#REF!*#REF!)+(#REF!*#REF!)</f>
        <v>#REF!</v>
      </c>
      <c r="X31" s="34" t="e">
        <f>+(#REF!*$P$15)+(#REF!*$P$17)+(#REF!*$P$19)+(#REF!*$P$21)+(#REF!*#REF!)+(#REF!*$P$25)+(#REF!*#REF!)+(#REF!*#REF!)+(#REF!*#REF!)+(#REF!*#REF!)+(#REF!*#REF!)+(#REF!*#REF!)+(#REF!*#REF!)</f>
        <v>#REF!</v>
      </c>
      <c r="Y31" s="34" t="e">
        <f>+(#REF!*$P$15)+(#REF!*$P$17)+(#REF!*$P$19)+(#REF!*$P$21)+(#REF!*#REF!)+(#REF!*$P$25)+(#REF!*#REF!)+(#REF!*#REF!)+(#REF!*#REF!)+(#REF!*#REF!)+(#REF!*#REF!)+(#REF!*#REF!)+(#REF!*#REF!)</f>
        <v>#REF!</v>
      </c>
      <c r="Z31" s="34" t="e">
        <f>+(#REF!*$P$15)+(#REF!*$P$17)+(#REF!*$P$19)+(#REF!*$P$21)+(#REF!*#REF!)+(#REF!*$P$25)+(#REF!*#REF!)+(#REF!*#REF!)+(#REF!*#REF!)+(#REF!*#REF!)+(#REF!*#REF!)+(#REF!*#REF!)+(#REF!*#REF!)</f>
        <v>#REF!</v>
      </c>
      <c r="AA31" s="34" t="e">
        <f>+(#REF!*$P$15)+(#REF!*$P$17)+(#REF!*$P$19)+(#REF!*$P$21)+(#REF!*#REF!)+(#REF!*$P$25)+(#REF!*#REF!)+(#REF!*#REF!)+(#REF!*#REF!)+(#REF!*#REF!)+(#REF!*#REF!)+(#REF!*#REF!)+(#REF!*#REF!)</f>
        <v>#REF!</v>
      </c>
      <c r="AB31" s="37" t="e">
        <f>+(#REF!*$P$15)+(#REF!*$P$17)+(#REF!*$P$19)+(#REF!*$P$21)+(#REF!*#REF!)+(#REF!*$P$25)+(#REF!*#REF!)+(#REF!*#REF!)+(#REF!*#REF!)+(#REF!*#REF!)+(#REF!*#REF!)+(#REF!*#REF!)+(#REF!*#REF!)</f>
        <v>#REF!</v>
      </c>
      <c r="AC31" s="34" t="e">
        <f>+(#REF!*$P$15)+(#REF!*$P$17)+(#REF!*$P$19)+(#REF!*$P$21)+(#REF!*#REF!)+(#REF!*$P$25)+(#REF!*#REF!)+(#REF!*#REF!)+(#REF!*#REF!)+(#REF!*#REF!)+(#REF!*#REF!)+(#REF!*#REF!)+(#REF!*#REF!)</f>
        <v>#REF!</v>
      </c>
      <c r="AD31" s="61"/>
    </row>
    <row r="32" spans="1:34" s="13" customFormat="1" ht="30" hidden="1" customHeight="1">
      <c r="H32" s="329"/>
      <c r="I32" s="15" t="s">
        <v>117</v>
      </c>
      <c r="J32" s="16"/>
      <c r="K32" s="34"/>
      <c r="L32" s="34"/>
      <c r="M32" s="34"/>
      <c r="N32" s="34"/>
      <c r="O32" s="34" t="e">
        <f>SUM(O31:O31)</f>
        <v>#REF!</v>
      </c>
      <c r="P32" s="37"/>
      <c r="Q32" s="34"/>
      <c r="R32" s="34"/>
      <c r="S32" s="34" t="e">
        <f>SUM(P31:S31)</f>
        <v>#REF!</v>
      </c>
      <c r="T32" s="34"/>
      <c r="U32" s="34"/>
      <c r="V32" s="34"/>
      <c r="W32" s="34" t="e">
        <f>SUM(T31:W31)</f>
        <v>#REF!</v>
      </c>
      <c r="X32" s="34"/>
      <c r="Y32" s="34"/>
      <c r="Z32" s="34"/>
      <c r="AA32" s="34" t="e">
        <f>SUM(X31:AA31)</f>
        <v>#REF!</v>
      </c>
      <c r="AB32" s="37"/>
      <c r="AC32" s="34"/>
      <c r="AD32" s="61"/>
    </row>
    <row r="33" spans="8:30" s="13" customFormat="1" ht="30" hidden="1" customHeight="1">
      <c r="H33" s="329"/>
      <c r="I33" s="15" t="s">
        <v>118</v>
      </c>
      <c r="J33" s="14"/>
      <c r="K33" s="34"/>
      <c r="L33" s="34"/>
      <c r="M33" s="34"/>
      <c r="N33" s="34"/>
      <c r="O33" s="34" t="e">
        <f>+#REF!+O32</f>
        <v>#REF!</v>
      </c>
      <c r="P33" s="37"/>
      <c r="Q33" s="34"/>
      <c r="R33" s="34"/>
      <c r="S33" s="26"/>
      <c r="T33" s="27"/>
      <c r="U33" s="27"/>
      <c r="V33" s="27"/>
      <c r="W33" s="27"/>
      <c r="X33" s="27"/>
      <c r="Y33" s="27"/>
      <c r="Z33" s="27"/>
      <c r="AA33" s="27" t="e">
        <f>+S32+W32+AA32</f>
        <v>#REF!</v>
      </c>
      <c r="AB33" s="39"/>
      <c r="AC33" s="27"/>
      <c r="AD33" s="62"/>
    </row>
    <row r="34" spans="8:30" s="13" customFormat="1" ht="30" hidden="1" customHeight="1">
      <c r="H34" s="330"/>
      <c r="I34" s="20" t="s">
        <v>119</v>
      </c>
      <c r="J34" s="19"/>
      <c r="K34" s="35"/>
      <c r="L34" s="35"/>
      <c r="M34" s="35"/>
      <c r="N34" s="35"/>
      <c r="O34" s="35"/>
      <c r="P34" s="38"/>
      <c r="Q34" s="35"/>
      <c r="R34" s="35"/>
      <c r="S34" s="28"/>
      <c r="T34" s="29"/>
      <c r="U34" s="29"/>
      <c r="V34" s="29"/>
      <c r="W34" s="29"/>
      <c r="X34" s="29"/>
      <c r="Y34" s="29"/>
      <c r="Z34" s="29"/>
      <c r="AA34" s="29" t="e">
        <f>+O33+AA33</f>
        <v>#REF!</v>
      </c>
      <c r="AB34" s="40"/>
      <c r="AC34" s="41"/>
      <c r="AD34" s="62"/>
    </row>
    <row r="35" spans="8:30" ht="30" hidden="1" customHeight="1">
      <c r="H35" s="24"/>
      <c r="I35" s="326" t="s">
        <v>120</v>
      </c>
      <c r="J35" s="326"/>
      <c r="K35" s="46"/>
      <c r="L35" s="46"/>
      <c r="M35" s="46"/>
      <c r="N35" s="46" t="e">
        <f>+N27/N31</f>
        <v>#REF!</v>
      </c>
      <c r="O35" s="47" t="e">
        <f>+(N27+#REF!+#REF!+#REF!+#REF!+#REF!+#REF!+O27)/(N31+#REF!+#REF!+#REF!+#REF!+#REF!+#REF!+O31)</f>
        <v>#REF!</v>
      </c>
      <c r="P35" s="48" t="e">
        <f>+(N27+#REF!+#REF!+#REF!+#REF!+#REF!+#REF!+O27+P27)/(N31+#REF!+#REF!+#REF!+#REF!+#REF!+#REF!+O31+P31)</f>
        <v>#REF!</v>
      </c>
      <c r="Q35" s="46" t="e">
        <f>+(N27+#REF!+#REF!+#REF!+#REF!+#REF!+#REF!+O27+P27+Q27)/(N31+#REF!+#REF!+#REF!+#REF!+#REF!+#REF!+O31+P31+Q31)</f>
        <v>#REF!</v>
      </c>
      <c r="R35" s="46" t="e">
        <f>+(N27+#REF!+#REF!+#REF!+#REF!+#REF!+#REF!+O27+P27+Q27+R27)/(N31+#REF!+#REF!+#REF!+#REF!+#REF!+#REF!+O31+P31+Q31+R31)</f>
        <v>#REF!</v>
      </c>
      <c r="S35" s="47" t="e">
        <f>+(N27+#REF!+#REF!+#REF!+#REF!+#REF!+#REF!+O27+P27+Q27+R27+S27)/(N31+#REF!+#REF!+#REF!+#REF!+#REF!+#REF!+O31+P31+Q31+R31+S31)</f>
        <v>#REF!</v>
      </c>
      <c r="T35" s="46" t="e">
        <f>+(N27+#REF!+#REF!+#REF!+#REF!+#REF!+#REF!+O27+P27+Q27+R27+S27+T27)/(N31+#REF!+#REF!+#REF!+#REF!+#REF!+#REF!+O31+P31+Q31+R31+S31+T31)</f>
        <v>#REF!</v>
      </c>
      <c r="U35" s="46" t="e">
        <f>+(N27+#REF!+#REF!+#REF!+#REF!+#REF!+#REF!+O27+P27+Q27+R27+S27+T27+U27)/(N31+#REF!+#REF!+#REF!+#REF!+#REF!+#REF!+O31+P31+Q31+R31+S31+T31+U31)</f>
        <v>#REF!</v>
      </c>
      <c r="V35" s="46" t="e">
        <f>+(N27+#REF!+#REF!+#REF!+#REF!+#REF!+#REF!+O27+P27+Q27+R27+S27+T27+U27+V27)/(N31+#REF!+#REF!+#REF!+#REF!+#REF!+#REF!+O31+P31+Q31+R31+S31+T31+U31+V31)</f>
        <v>#REF!</v>
      </c>
      <c r="W35" s="47" t="e">
        <f>+(N27+#REF!+#REF!+#REF!+#REF!+#REF!+#REF!+O27+P27+Q27+R27+S27+T27+U27+V27+W27)/(N31+#REF!+#REF!+#REF!+#REF!+#REF!+#REF!+O31+P31+Q31+R31+S31+T31+U31+V31+W31)</f>
        <v>#REF!</v>
      </c>
      <c r="X35" s="46" t="e">
        <f>+(N27+#REF!+#REF!+#REF!+#REF!+#REF!+#REF!+O27+P27+Q27+R27+S27+T27+U27+V27+W27+X27)/(N31+#REF!+#REF!+#REF!+#REF!+#REF!+#REF!+O31+P31+Q31+R31+S31+T31+U31+V31+W31+X31)</f>
        <v>#REF!</v>
      </c>
      <c r="Y35" s="46" t="e">
        <f>+(N27+#REF!+#REF!+#REF!+#REF!+#REF!+#REF!+O27+P27+Q27+R27+S27+T27+U27+V27+W27+X27+Y27)/(N31+#REF!+#REF!+#REF!+#REF!+#REF!+#REF!+O31+P31+Q31+R31+S31+T31+U31+V31+W31+X31+Y31)</f>
        <v>#REF!</v>
      </c>
      <c r="Z35" s="46" t="e">
        <f>+(N27+#REF!+#REF!+#REF!+#REF!+#REF!+#REF!+O27+P27+Q27+R27+S27+T27+U27+V27+W27+X27+Y27+Z27)/(N31+#REF!+#REF!+#REF!+#REF!+#REF!+#REF!+O31+P31+Q31+R31+S31+T31+U31+V31+W31+X31+Y31+Z31)</f>
        <v>#REF!</v>
      </c>
      <c r="AA35" s="47" t="e">
        <f>+(N27+#REF!+#REF!+#REF!+#REF!+#REF!+#REF!+O27+P27+Q27+R27+S27+T27+U27+V27+W27+X27+Y27+Z27+AA27)/(N31+#REF!+#REF!+#REF!+#REF!+#REF!+#REF!+O31+P31+Q31+R31+S31+T31+U31+V31+W31+X31+Y31+Z31+AA31)</f>
        <v>#REF!</v>
      </c>
      <c r="AB35" s="48" t="e">
        <f>+(N27+#REF!+#REF!+#REF!+#REF!+#REF!+#REF!+O27+P27+Q27+R27+S27+T27+U27+V27+W27+X27+Y27+Z27+AA27+AB27)/(N31+#REF!+#REF!+#REF!+#REF!+#REF!+#REF!+O31+P31+Q31+R31+S31+T31+U31+V31+W31+X31+Y31+Z31+AA31+AB31)</f>
        <v>#REF!</v>
      </c>
      <c r="AC35" s="46" t="e">
        <f>+(N27+#REF!+#REF!+#REF!+#REF!+#REF!+#REF!+O27+P27+Q27+R27+S27+T27+U27+V27+W27+X27+Y27+Z27+AA27+AB27+AC27)/(N31+#REF!+#REF!+#REF!+#REF!+#REF!+#REF!+O31+P31+Q31+R31+S31+T31+U31+V31+W31+X31+Y31+Z31+AA31+AB31+AC31)</f>
        <v>#REF!</v>
      </c>
      <c r="AD35" s="63"/>
    </row>
    <row r="36" spans="8:30" ht="30" hidden="1" customHeight="1">
      <c r="H36" s="24"/>
      <c r="I36" s="327" t="s">
        <v>121</v>
      </c>
      <c r="J36" s="327"/>
      <c r="K36" s="47"/>
      <c r="L36" s="47"/>
      <c r="M36" s="47"/>
      <c r="N36" s="47" t="e">
        <f>+N27/$F$27</f>
        <v>#REF!</v>
      </c>
      <c r="O36" s="47" t="e">
        <f>+(N27+#REF!+#REF!+#REF!+#REF!+#REF!+#REF!+O27)/$F$27</f>
        <v>#REF!</v>
      </c>
      <c r="P36" s="49" t="e">
        <f>+(N27+#REF!+#REF!+#REF!+#REF!+#REF!+#REF!+O27+P27)/$F$27</f>
        <v>#REF!</v>
      </c>
      <c r="Q36" s="47" t="e">
        <f>+(N27+#REF!+#REF!+#REF!+#REF!+#REF!+#REF!+O27+P27+Q27)/$F$27</f>
        <v>#REF!</v>
      </c>
      <c r="R36" s="47" t="e">
        <f>+(N27+#REF!+#REF!+#REF!+#REF!+#REF!+#REF!+O27+P27+Q27+R27)/$F$27</f>
        <v>#REF!</v>
      </c>
      <c r="S36" s="47" t="e">
        <f>+(N27+#REF!+#REF!+#REF!+#REF!+#REF!+#REF!+O27+P27+Q27+R27+S27)/$F$27</f>
        <v>#REF!</v>
      </c>
      <c r="T36" s="47" t="e">
        <f>+(N27+#REF!+#REF!+#REF!+#REF!+#REF!+#REF!+O27+P27+Q27+R27+S27+T27)/$F$27</f>
        <v>#REF!</v>
      </c>
      <c r="U36" s="47" t="e">
        <f>+(N27+#REF!+#REF!+#REF!+#REF!+#REF!+#REF!+O27+P27+Q27+R27+S27+T27+U27)/$F$27</f>
        <v>#REF!</v>
      </c>
      <c r="V36" s="47" t="e">
        <f>+(N27+#REF!+#REF!+#REF!+#REF!+#REF!+#REF!+O27+P27+Q27+R27+S27+T27+U27+V27)/$F$27</f>
        <v>#REF!</v>
      </c>
      <c r="W36" s="47" t="e">
        <f>+(N27+#REF!+#REF!+#REF!+#REF!+#REF!+#REF!+O27+P27+Q27+R27+S27+T27+U27+V27+W27)/$F$27</f>
        <v>#REF!</v>
      </c>
      <c r="X36" s="47" t="e">
        <f>+(N27+#REF!+#REF!+#REF!+#REF!+#REF!+#REF!+O27+P27+Q27+R27+S27+T27+U27+V27+W27+X27)/$F$27</f>
        <v>#REF!</v>
      </c>
      <c r="Y36" s="47" t="e">
        <f>+(N27+#REF!+#REF!+#REF!+#REF!+#REF!+#REF!+O27+P27+Q27+R27+S27+T27+U27+V27+W27+X27+Y27)/$F$27</f>
        <v>#REF!</v>
      </c>
      <c r="Z36" s="47" t="e">
        <f>+(N27+#REF!+#REF!+#REF!+#REF!+#REF!+#REF!+O27+P27+Q27+R27+S27+T27+U27+V27+W27+X27+Y27+Z27)/$F$27</f>
        <v>#REF!</v>
      </c>
      <c r="AA36" s="47" t="e">
        <f>+(N27+#REF!+#REF!+#REF!+#REF!+#REF!+#REF!+O27+P27+Q27+R27+S27+T27+U27+V27+W27+X27+Y27+Z27+AA27)/$F$27</f>
        <v>#REF!</v>
      </c>
      <c r="AB36" s="49" t="e">
        <f>+(N27+#REF!+#REF!+#REF!+#REF!+#REF!+#REF!+O27+P27+Q27+R27+S27+T27+U27+V27+W27+X27+Y27+Z27+AA27+AB27)/$F$27</f>
        <v>#REF!</v>
      </c>
      <c r="AC36" s="47" t="e">
        <f>+(N27+#REF!+#REF!+#REF!+#REF!+#REF!+#REF!+O27+P27+Q27+R27+S27+T27+U27+V27+W27+X27+Y27+Z27+AA27+AB27+AC27)/$F$27</f>
        <v>#REF!</v>
      </c>
      <c r="AD36" s="64"/>
    </row>
    <row r="37" spans="8:30" ht="30" hidden="1" customHeight="1">
      <c r="I37" s="326" t="s">
        <v>122</v>
      </c>
      <c r="J37" s="326"/>
      <c r="K37" s="50"/>
      <c r="L37" s="50"/>
      <c r="M37" s="50"/>
      <c r="N37" s="50"/>
      <c r="O37" s="47" t="e">
        <f>+O28/O32</f>
        <v>#REF!</v>
      </c>
      <c r="P37" s="51"/>
      <c r="Q37" s="50"/>
      <c r="R37" s="50"/>
      <c r="S37" s="47" t="e">
        <f>+S28/S32</f>
        <v>#REF!</v>
      </c>
      <c r="T37" s="50"/>
      <c r="U37" s="50"/>
      <c r="V37" s="50"/>
      <c r="W37" s="47" t="e">
        <f>+W28/W32</f>
        <v>#REF!</v>
      </c>
      <c r="X37" s="50"/>
      <c r="Y37" s="50"/>
      <c r="Z37" s="50"/>
      <c r="AA37" s="47" t="e">
        <f>+AA28/AA32</f>
        <v>#REF!</v>
      </c>
      <c r="AB37" s="51"/>
      <c r="AC37" s="50"/>
      <c r="AD37" s="65"/>
    </row>
    <row r="38" spans="8:30" ht="30" hidden="1" customHeight="1">
      <c r="I38" s="327" t="s">
        <v>123</v>
      </c>
      <c r="J38" s="327"/>
      <c r="K38" s="50"/>
      <c r="L38" s="50"/>
      <c r="M38" s="50"/>
      <c r="N38" s="50"/>
      <c r="O38" s="47" t="e">
        <f>+(#REF!+O28)/$F$27</f>
        <v>#REF!</v>
      </c>
      <c r="P38" s="51"/>
      <c r="Q38" s="50"/>
      <c r="R38" s="50"/>
      <c r="S38" s="47" t="e">
        <f>+(#REF!+O28+S28)/$F$27</f>
        <v>#REF!</v>
      </c>
      <c r="T38" s="50"/>
      <c r="U38" s="50"/>
      <c r="V38" s="50"/>
      <c r="W38" s="47" t="e">
        <f>+(#REF!+O28+S28+W28)/$F$27</f>
        <v>#REF!</v>
      </c>
      <c r="X38" s="50"/>
      <c r="Y38" s="50"/>
      <c r="Z38" s="50"/>
      <c r="AA38" s="47" t="e">
        <f>+(#REF!+O28+S28+W28+AA28)/$F$27</f>
        <v>#REF!</v>
      </c>
      <c r="AB38" s="51"/>
      <c r="AC38" s="50"/>
      <c r="AD38" s="65"/>
    </row>
    <row r="39" spans="8:30" ht="30" hidden="1" customHeight="1">
      <c r="I39" s="326" t="s">
        <v>124</v>
      </c>
      <c r="J39" s="326"/>
      <c r="K39" s="50"/>
      <c r="L39" s="50"/>
      <c r="M39" s="50"/>
      <c r="N39" s="50"/>
      <c r="O39" s="47" t="e">
        <f>+(#REF!+O28)/(#REF!+O32)</f>
        <v>#REF!</v>
      </c>
      <c r="P39" s="51"/>
      <c r="Q39" s="50"/>
      <c r="R39" s="50"/>
      <c r="S39" s="50"/>
      <c r="T39" s="50"/>
      <c r="U39" s="50"/>
      <c r="V39" s="50"/>
      <c r="W39" s="50"/>
      <c r="X39" s="50"/>
      <c r="Y39" s="50"/>
      <c r="Z39" s="50"/>
      <c r="AA39" s="47" t="e">
        <f>+(#REF!+O28+S28+W28+AA28)/(#REF!+O32+S32+W32+AA32)</f>
        <v>#REF!</v>
      </c>
      <c r="AB39" s="51"/>
      <c r="AC39" s="50"/>
      <c r="AD39" s="65"/>
    </row>
    <row r="40" spans="8:30" ht="30" hidden="1" customHeight="1">
      <c r="I40" s="326" t="s">
        <v>125</v>
      </c>
      <c r="J40" s="326"/>
      <c r="K40" s="50"/>
      <c r="L40" s="50"/>
      <c r="M40" s="50"/>
      <c r="N40" s="50"/>
      <c r="O40" s="47" t="e">
        <f>+(#REF!+O28)/$F$27</f>
        <v>#REF!</v>
      </c>
      <c r="P40" s="51"/>
      <c r="Q40" s="50"/>
      <c r="R40" s="50"/>
      <c r="S40" s="50"/>
      <c r="T40" s="50"/>
      <c r="U40" s="50"/>
      <c r="V40" s="50"/>
      <c r="W40" s="50"/>
      <c r="X40" s="50"/>
      <c r="Y40" s="50"/>
      <c r="Z40" s="50"/>
      <c r="AA40" s="47" t="e">
        <f>+(+#REF!+O28+S28+W28+AA28)/$F$27</f>
        <v>#REF!</v>
      </c>
      <c r="AB40" s="51"/>
      <c r="AC40" s="50"/>
      <c r="AD40" s="65"/>
    </row>
    <row r="41" spans="8:30" ht="15" hidden="1" customHeight="1"/>
    <row r="42" spans="8:30" ht="35.1" hidden="1" customHeight="1">
      <c r="H42" s="325" t="s">
        <v>126</v>
      </c>
      <c r="I42" s="325"/>
      <c r="J42" s="30" t="e">
        <f>+#REF!</f>
        <v>#REF!</v>
      </c>
      <c r="K42" s="32"/>
      <c r="L42" s="32"/>
      <c r="M42" s="32"/>
      <c r="N42" s="32"/>
    </row>
    <row r="43" spans="8:30" ht="35.1" hidden="1" customHeight="1">
      <c r="H43" s="325" t="s">
        <v>127</v>
      </c>
      <c r="I43" s="325"/>
      <c r="J43" s="25">
        <f>+F27</f>
        <v>1</v>
      </c>
      <c r="K43" s="32"/>
      <c r="L43" s="32"/>
      <c r="M43" s="32"/>
      <c r="N43" s="32"/>
    </row>
    <row r="44" spans="8:30" ht="35.1" hidden="1" customHeight="1">
      <c r="H44" s="325" t="s">
        <v>128</v>
      </c>
      <c r="I44" s="325"/>
      <c r="J44" s="31" t="e">
        <f>+J42/J43</f>
        <v>#REF!</v>
      </c>
      <c r="K44" s="32"/>
      <c r="L44" s="32"/>
      <c r="M44" s="32"/>
      <c r="N44" s="32"/>
    </row>
    <row r="45" spans="8:30" ht="15" customHeight="1">
      <c r="K45" s="32"/>
      <c r="L45" s="32"/>
      <c r="M45" s="32"/>
      <c r="N45" s="32"/>
    </row>
    <row r="46" spans="8:30" ht="15" customHeight="1">
      <c r="K46" s="32"/>
      <c r="L46" s="32"/>
      <c r="M46" s="32"/>
      <c r="N46" s="32"/>
    </row>
    <row r="47" spans="8:30" ht="15" customHeight="1">
      <c r="K47" s="32"/>
      <c r="L47" s="32"/>
      <c r="M47" s="32"/>
      <c r="N47" s="32"/>
    </row>
  </sheetData>
  <mergeCells count="171">
    <mergeCell ref="A1:C3"/>
    <mergeCell ref="D1:AH3"/>
    <mergeCell ref="A4:A5"/>
    <mergeCell ref="G4:G5"/>
    <mergeCell ref="A6:B10"/>
    <mergeCell ref="C6:D10"/>
    <mergeCell ref="E6:F10"/>
    <mergeCell ref="G6:G10"/>
    <mergeCell ref="H6:I10"/>
    <mergeCell ref="J6:J10"/>
    <mergeCell ref="Z6:AC10"/>
    <mergeCell ref="AD6:AE10"/>
    <mergeCell ref="AF6:AF10"/>
    <mergeCell ref="AG6:AG10"/>
    <mergeCell ref="A11:F11"/>
    <mergeCell ref="G11:N11"/>
    <mergeCell ref="O11:AD11"/>
    <mergeCell ref="AE11:AH11"/>
    <mergeCell ref="L6:L10"/>
    <mergeCell ref="M6:N10"/>
    <mergeCell ref="O6:Q10"/>
    <mergeCell ref="R6:U10"/>
    <mergeCell ref="V6:Y10"/>
    <mergeCell ref="H12:H13"/>
    <mergeCell ref="I12:I13"/>
    <mergeCell ref="J12:J13"/>
    <mergeCell ref="K12:K13"/>
    <mergeCell ref="L12:L13"/>
    <mergeCell ref="A12:A13"/>
    <mergeCell ref="B12:B13"/>
    <mergeCell ref="C12:C13"/>
    <mergeCell ref="D12:D13"/>
    <mergeCell ref="E12:E13"/>
    <mergeCell ref="F12:F13"/>
    <mergeCell ref="R12:R13"/>
    <mergeCell ref="S12:S13"/>
    <mergeCell ref="T12:T13"/>
    <mergeCell ref="U12:U13"/>
    <mergeCell ref="V12:V13"/>
    <mergeCell ref="W12:W13"/>
    <mergeCell ref="M12:M13"/>
    <mergeCell ref="N12:N13"/>
    <mergeCell ref="O12:O13"/>
    <mergeCell ref="P12:P13"/>
    <mergeCell ref="Q12:Q13"/>
    <mergeCell ref="AD12:AD13"/>
    <mergeCell ref="AE12:AE13"/>
    <mergeCell ref="AF12:AF13"/>
    <mergeCell ref="AG12:AG13"/>
    <mergeCell ref="AH12:AH13"/>
    <mergeCell ref="X12:X13"/>
    <mergeCell ref="Y12:Y13"/>
    <mergeCell ref="Z12:Z13"/>
    <mergeCell ref="AA12:AA13"/>
    <mergeCell ref="AB12:AB13"/>
    <mergeCell ref="AC12:AC13"/>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G14:G15"/>
    <mergeCell ref="H14:H15"/>
    <mergeCell ref="I14:I15"/>
    <mergeCell ref="J14:J15"/>
    <mergeCell ref="K14:K15"/>
    <mergeCell ref="AE16:AE17"/>
    <mergeCell ref="AF16:AF17"/>
    <mergeCell ref="AG16:AG17"/>
    <mergeCell ref="AH16:AH17"/>
    <mergeCell ref="A18:A19"/>
    <mergeCell ref="B18:B19"/>
    <mergeCell ref="C18:C19"/>
    <mergeCell ref="D18:D19"/>
    <mergeCell ref="E18:E19"/>
    <mergeCell ref="I16:I17"/>
    <mergeCell ref="J16:J17"/>
    <mergeCell ref="K16:K17"/>
    <mergeCell ref="L16:L17"/>
    <mergeCell ref="M16:M17"/>
    <mergeCell ref="AE20:AE21"/>
    <mergeCell ref="AF20:AF21"/>
    <mergeCell ref="AG20:AG21"/>
    <mergeCell ref="AH20:AH21"/>
    <mergeCell ref="I20:I21"/>
    <mergeCell ref="K20:K21"/>
    <mergeCell ref="L20:L21"/>
    <mergeCell ref="M20:M21"/>
    <mergeCell ref="AG18:AG19"/>
    <mergeCell ref="AH18:AH19"/>
    <mergeCell ref="L18:L19"/>
    <mergeCell ref="M18:M19"/>
    <mergeCell ref="N18:N19"/>
    <mergeCell ref="AE18:AE19"/>
    <mergeCell ref="AF18:AF19"/>
    <mergeCell ref="I18:I19"/>
    <mergeCell ref="J18:J19"/>
    <mergeCell ref="K18:K19"/>
    <mergeCell ref="A24:A25"/>
    <mergeCell ref="B24:B25"/>
    <mergeCell ref="C24:C25"/>
    <mergeCell ref="D24:D25"/>
    <mergeCell ref="E24:E25"/>
    <mergeCell ref="F24:F25"/>
    <mergeCell ref="G24:G25"/>
    <mergeCell ref="H24:H25"/>
    <mergeCell ref="N20:N21"/>
    <mergeCell ref="A20:A21"/>
    <mergeCell ref="B20:B21"/>
    <mergeCell ref="C20:C21"/>
    <mergeCell ref="D20:D21"/>
    <mergeCell ref="E20:E21"/>
    <mergeCell ref="F20:F21"/>
    <mergeCell ref="G20:G21"/>
    <mergeCell ref="H20:H21"/>
    <mergeCell ref="D27:E27"/>
    <mergeCell ref="H27:H30"/>
    <mergeCell ref="D28:E28"/>
    <mergeCell ref="H31:H34"/>
    <mergeCell ref="N24:N25"/>
    <mergeCell ref="AE24:AE25"/>
    <mergeCell ref="AF24:AF25"/>
    <mergeCell ref="AG24:AG25"/>
    <mergeCell ref="AH24:AH25"/>
    <mergeCell ref="I24:I25"/>
    <mergeCell ref="J24:J25"/>
    <mergeCell ref="L24:L25"/>
    <mergeCell ref="M24:M25"/>
    <mergeCell ref="H42:I42"/>
    <mergeCell ref="H43:I43"/>
    <mergeCell ref="H44:I44"/>
    <mergeCell ref="I35:J35"/>
    <mergeCell ref="I36:J36"/>
    <mergeCell ref="I37:J37"/>
    <mergeCell ref="I38:J38"/>
    <mergeCell ref="I39:J39"/>
    <mergeCell ref="I40:J40"/>
    <mergeCell ref="D14:D15"/>
    <mergeCell ref="C14:C15"/>
    <mergeCell ref="B14:B15"/>
    <mergeCell ref="A14:A15"/>
    <mergeCell ref="L22:L23"/>
    <mergeCell ref="M22:M23"/>
    <mergeCell ref="N22:N23"/>
    <mergeCell ref="K6:K10"/>
    <mergeCell ref="E14:E15"/>
    <mergeCell ref="E22:E23"/>
    <mergeCell ref="G22:G23"/>
    <mergeCell ref="H22:H23"/>
    <mergeCell ref="I22:I23"/>
    <mergeCell ref="J22:J23"/>
    <mergeCell ref="K22:K23"/>
    <mergeCell ref="A22:A23"/>
    <mergeCell ref="B22:B23"/>
    <mergeCell ref="C22:C23"/>
    <mergeCell ref="D22:D23"/>
    <mergeCell ref="F18:F19"/>
    <mergeCell ref="G18:G19"/>
    <mergeCell ref="H18:H19"/>
    <mergeCell ref="N16:N17"/>
    <mergeCell ref="G12:G13"/>
  </mergeCells>
  <conditionalFormatting sqref="J44 O35:O40 S35:S38 W35:W38 AA35:AA40 P36:R36 T36:V36 X36:Z36 AB36:AD36 K36:N36">
    <cfRule type="cellIs" dxfId="18" priority="20" operator="greaterThanOrEqual">
      <formula>$D$9</formula>
    </cfRule>
    <cfRule type="cellIs" dxfId="17" priority="21" operator="lessThanOrEqual">
      <formula>$C$6</formula>
    </cfRule>
    <cfRule type="cellIs" dxfId="16" priority="22" operator="between">
      <formula>$C$6</formula>
      <formula>$D$9</formula>
    </cfRule>
  </conditionalFormatting>
  <conditionalFormatting sqref="J6 Q14:Q25">
    <cfRule type="cellIs" dxfId="15" priority="17" operator="greaterThanOrEqual">
      <formula>$C$5</formula>
    </cfRule>
    <cfRule type="cellIs" dxfId="14" priority="18" operator="lessThanOrEqual">
      <formula>$C$4</formula>
    </cfRule>
    <cfRule type="cellIs" dxfId="13" priority="19" operator="between">
      <formula>$C$5</formula>
      <formula>$C$4</formula>
    </cfRule>
  </conditionalFormatting>
  <conditionalFormatting sqref="I4">
    <cfRule type="cellIs" dxfId="12" priority="16" operator="lessThanOrEqual">
      <formula>$C$4</formula>
    </cfRule>
  </conditionalFormatting>
  <conditionalFormatting sqref="O6">
    <cfRule type="cellIs" dxfId="11" priority="13" operator="greaterThanOrEqual">
      <formula>$I$5</formula>
    </cfRule>
    <cfRule type="cellIs" dxfId="10" priority="14" operator="lessThanOrEqual">
      <formula>$I$4</formula>
    </cfRule>
    <cfRule type="cellIs" dxfId="9" priority="15" operator="between">
      <formula>$I$5</formula>
      <formula>$I$4</formula>
    </cfRule>
  </conditionalFormatting>
  <conditionalFormatting sqref="V6">
    <cfRule type="cellIs" dxfId="8" priority="7" operator="greaterThanOrEqual">
      <formula>$I$5</formula>
    </cfRule>
    <cfRule type="cellIs" dxfId="7" priority="8" operator="lessThanOrEqual">
      <formula>$I$4</formula>
    </cfRule>
    <cfRule type="cellIs" dxfId="6" priority="9" operator="between">
      <formula>$I$5</formula>
      <formula>$I$4</formula>
    </cfRule>
  </conditionalFormatting>
  <conditionalFormatting sqref="AD6">
    <cfRule type="cellIs" dxfId="5" priority="4" operator="greaterThanOrEqual">
      <formula>$I$5</formula>
    </cfRule>
    <cfRule type="cellIs" dxfId="4" priority="5" operator="lessThanOrEqual">
      <formula>$I$4</formula>
    </cfRule>
    <cfRule type="cellIs" dxfId="3" priority="6" operator="between">
      <formula>$I$5</formula>
      <formula>$I$4</formula>
    </cfRule>
  </conditionalFormatting>
  <conditionalFormatting sqref="AG6">
    <cfRule type="cellIs" dxfId="2" priority="1" operator="greaterThanOrEqual">
      <formula>$I$5</formula>
    </cfRule>
    <cfRule type="cellIs" dxfId="1" priority="2" operator="lessThanOrEqual">
      <formula>$I$4</formula>
    </cfRule>
    <cfRule type="cellIs" dxfId="0" priority="3"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22 P18 P16 P20 P24" xr:uid="{3B8B5ED9-8025-4F76-8799-A17734ABD876}">
      <formula1>0</formula1>
      <formula2>1</formula2>
    </dataValidation>
    <dataValidation type="decimal" allowBlank="1" showInputMessage="1" showErrorMessage="1" prompt="campo calculado  - indica el % de avance  que aporta la activadad a todo el proyecto" sqref="P23 P19 P15 P17 P21 P25" xr:uid="{262DF8B3-B77E-4B14-BCC8-0855A759C7CB}">
      <formula1>0</formula1>
      <formula2>1</formula2>
    </dataValidation>
    <dataValidation type="decimal" allowBlank="1" showInputMessage="1" showErrorMessage="1" prompt="% de avance en la actividad - indique el % programado de avance durante esta semana_x000a_" sqref="R25:T25 R14:T23 U14:AD25" xr:uid="{45D94B7C-80F1-4224-B220-F5DC7D14C3A9}">
      <formula1>0</formula1>
      <formula2>1</formula2>
    </dataValidation>
    <dataValidation allowBlank="1" showErrorMessage="1" sqref="Q14:Q25" xr:uid="{05390F29-7F08-4563-96ED-AC268129708F}"/>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500"/>
  <sheetViews>
    <sheetView workbookViewId="0"/>
  </sheetViews>
  <sheetFormatPr defaultColWidth="12.5703125" defaultRowHeight="15" customHeight="1"/>
  <cols>
    <col min="1" max="5" width="9.42578125" customWidth="1"/>
    <col min="6" max="6" width="58.140625" customWidth="1"/>
    <col min="7" max="13" width="9.42578125" customWidth="1"/>
  </cols>
  <sheetData>
    <row r="1" spans="3:9" ht="45" customHeight="1"/>
    <row r="2" spans="3:9" ht="45" customHeight="1"/>
    <row r="3" spans="3:9" ht="45" customHeight="1">
      <c r="C3" t="s">
        <v>1259</v>
      </c>
    </row>
    <row r="4" spans="3:9" ht="45" customHeight="1">
      <c r="C4" t="s">
        <v>1260</v>
      </c>
      <c r="D4" t="s">
        <v>1260</v>
      </c>
      <c r="F4" s="2" t="s">
        <v>1261</v>
      </c>
      <c r="I4" s="3" t="s">
        <v>1262</v>
      </c>
    </row>
    <row r="5" spans="3:9" ht="45" customHeight="1">
      <c r="C5" t="s">
        <v>1263</v>
      </c>
      <c r="D5" t="s">
        <v>1263</v>
      </c>
      <c r="F5" s="2" t="s">
        <v>1264</v>
      </c>
      <c r="I5" s="4" t="s">
        <v>1265</v>
      </c>
    </row>
    <row r="6" spans="3:9" ht="45" customHeight="1">
      <c r="C6" t="s">
        <v>1266</v>
      </c>
      <c r="D6" t="s">
        <v>1260</v>
      </c>
      <c r="F6" s="2" t="s">
        <v>1267</v>
      </c>
      <c r="I6" s="5" t="s">
        <v>1268</v>
      </c>
    </row>
    <row r="7" spans="3:9" ht="45" customHeight="1">
      <c r="F7" s="2" t="s">
        <v>1269</v>
      </c>
      <c r="I7" s="5" t="s">
        <v>1270</v>
      </c>
    </row>
    <row r="8" spans="3:9" ht="45" customHeight="1">
      <c r="F8" s="2" t="s">
        <v>1271</v>
      </c>
      <c r="I8" s="4" t="s">
        <v>1272</v>
      </c>
    </row>
    <row r="9" spans="3:9" ht="45" customHeight="1">
      <c r="F9" s="2" t="s">
        <v>1273</v>
      </c>
      <c r="I9" s="6" t="s">
        <v>1274</v>
      </c>
    </row>
    <row r="10" spans="3:9" ht="45" customHeight="1">
      <c r="F10" s="2" t="s">
        <v>1275</v>
      </c>
      <c r="I10" s="7" t="s">
        <v>1276</v>
      </c>
    </row>
    <row r="11" spans="3:9" ht="45" customHeight="1">
      <c r="F11" s="2" t="s">
        <v>1277</v>
      </c>
      <c r="I11" s="5" t="s">
        <v>1278</v>
      </c>
    </row>
    <row r="12" spans="3:9" ht="45" customHeight="1">
      <c r="I12" s="4" t="s">
        <v>1279</v>
      </c>
    </row>
    <row r="13" spans="3:9" ht="45" customHeight="1">
      <c r="I13" s="5" t="s">
        <v>1280</v>
      </c>
    </row>
    <row r="14" spans="3:9" ht="45" customHeight="1"/>
    <row r="15" spans="3:9" ht="45" customHeight="1"/>
    <row r="16" spans="3:9"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row r="220" ht="45" customHeight="1"/>
    <row r="221" ht="45" customHeight="1"/>
    <row r="222" ht="45" customHeight="1"/>
    <row r="223" ht="45" customHeight="1"/>
    <row r="224" ht="45" customHeight="1"/>
    <row r="225" ht="45" customHeight="1"/>
    <row r="226" ht="45" customHeight="1"/>
    <row r="227" ht="45" customHeight="1"/>
    <row r="228" ht="45" customHeight="1"/>
    <row r="229" ht="45" customHeight="1"/>
    <row r="230" ht="45" customHeight="1"/>
    <row r="231" ht="45" customHeight="1"/>
    <row r="232" ht="45" customHeight="1"/>
    <row r="233" ht="45" customHeight="1"/>
    <row r="234" ht="45" customHeight="1"/>
    <row r="235" ht="45" customHeight="1"/>
    <row r="236" ht="45" customHeight="1"/>
    <row r="237" ht="45" customHeight="1"/>
    <row r="238" ht="45" customHeight="1"/>
    <row r="239" ht="45" customHeight="1"/>
    <row r="240" ht="45" customHeight="1"/>
    <row r="241" ht="45" customHeight="1"/>
    <row r="242" ht="45" customHeight="1"/>
    <row r="243" ht="45" customHeight="1"/>
    <row r="244" ht="45" customHeight="1"/>
    <row r="245" ht="45" customHeight="1"/>
    <row r="246" ht="45" customHeight="1"/>
    <row r="247" ht="45" customHeight="1"/>
    <row r="248" ht="45" customHeight="1"/>
    <row r="249" ht="45" customHeight="1"/>
    <row r="250" ht="45" customHeight="1"/>
    <row r="251" ht="45" customHeight="1"/>
    <row r="252" ht="45" customHeight="1"/>
    <row r="253" ht="45" customHeight="1"/>
    <row r="254" ht="45" customHeight="1"/>
    <row r="255" ht="45" customHeight="1"/>
    <row r="256" ht="45" customHeight="1"/>
    <row r="257" ht="45" customHeight="1"/>
    <row r="258" ht="45" customHeight="1"/>
    <row r="259" ht="45" customHeight="1"/>
    <row r="260" ht="45" customHeight="1"/>
    <row r="261" ht="45" customHeight="1"/>
    <row r="262" ht="45" customHeight="1"/>
    <row r="263" ht="45" customHeight="1"/>
    <row r="264" ht="45" customHeight="1"/>
    <row r="265" ht="45" customHeight="1"/>
    <row r="266" ht="45" customHeight="1"/>
    <row r="267" ht="45" customHeight="1"/>
    <row r="268" ht="45" customHeight="1"/>
    <row r="269" ht="45" customHeight="1"/>
    <row r="270" ht="45" customHeight="1"/>
    <row r="271" ht="45" customHeight="1"/>
    <row r="272" ht="45" customHeight="1"/>
    <row r="273" ht="45" customHeight="1"/>
    <row r="274" ht="45" customHeight="1"/>
    <row r="275" ht="45" customHeight="1"/>
    <row r="276" ht="45" customHeight="1"/>
    <row r="277" ht="45" customHeight="1"/>
    <row r="278" ht="45" customHeight="1"/>
    <row r="279" ht="45" customHeight="1"/>
    <row r="280" ht="45" customHeight="1"/>
    <row r="281" ht="45" customHeight="1"/>
    <row r="282" ht="45" customHeight="1"/>
    <row r="283" ht="45" customHeight="1"/>
    <row r="284" ht="45" customHeight="1"/>
    <row r="285" ht="45" customHeight="1"/>
    <row r="286" ht="45" customHeight="1"/>
    <row r="287" ht="45" customHeight="1"/>
    <row r="288" ht="45" customHeight="1"/>
    <row r="289" ht="45" customHeight="1"/>
    <row r="290" ht="45" customHeight="1"/>
    <row r="291" ht="45" customHeight="1"/>
    <row r="292" ht="45" customHeight="1"/>
    <row r="293" ht="45" customHeight="1"/>
    <row r="294" ht="45" customHeight="1"/>
    <row r="295" ht="45" customHeight="1"/>
    <row r="296" ht="45" customHeight="1"/>
    <row r="297" ht="45" customHeight="1"/>
    <row r="298" ht="45" customHeight="1"/>
    <row r="299" ht="45" customHeight="1"/>
    <row r="300" ht="45" customHeight="1"/>
    <row r="301" ht="45" customHeight="1"/>
    <row r="302" ht="45" customHeight="1"/>
    <row r="303" ht="45" customHeight="1"/>
    <row r="304" ht="45" customHeight="1"/>
    <row r="305" ht="45" customHeight="1"/>
    <row r="306" ht="45" customHeight="1"/>
    <row r="307" ht="45" customHeight="1"/>
    <row r="308" ht="45" customHeight="1"/>
    <row r="309" ht="45" customHeight="1"/>
    <row r="310" ht="45" customHeight="1"/>
    <row r="311" ht="45" customHeight="1"/>
    <row r="312" ht="45" customHeight="1"/>
    <row r="313" ht="45" customHeight="1"/>
    <row r="314" ht="45" customHeight="1"/>
    <row r="315" ht="45" customHeight="1"/>
    <row r="316" ht="45" customHeight="1"/>
    <row r="317" ht="45" customHeight="1"/>
    <row r="318" ht="45" customHeight="1"/>
    <row r="319" ht="45" customHeight="1"/>
    <row r="320" ht="45" customHeight="1"/>
    <row r="321" ht="45" customHeight="1"/>
    <row r="322" ht="45" customHeight="1"/>
    <row r="323" ht="45" customHeight="1"/>
    <row r="324" ht="45" customHeight="1"/>
    <row r="325" ht="45" customHeight="1"/>
    <row r="326" ht="45" customHeight="1"/>
    <row r="327" ht="45" customHeight="1"/>
    <row r="328" ht="45" customHeight="1"/>
    <row r="329" ht="45" customHeight="1"/>
    <row r="330" ht="45" customHeight="1"/>
    <row r="331" ht="45" customHeight="1"/>
    <row r="332" ht="45" customHeight="1"/>
    <row r="333" ht="45" customHeight="1"/>
    <row r="334" ht="45" customHeight="1"/>
    <row r="335" ht="45" customHeight="1"/>
    <row r="336" ht="45" customHeight="1"/>
    <row r="337" ht="45" customHeight="1"/>
    <row r="338" ht="45" customHeight="1"/>
    <row r="339" ht="45" customHeight="1"/>
    <row r="340" ht="45" customHeight="1"/>
    <row r="341" ht="45" customHeight="1"/>
    <row r="342" ht="45" customHeight="1"/>
    <row r="343" ht="45" customHeight="1"/>
    <row r="344" ht="45" customHeight="1"/>
    <row r="345" ht="45" customHeight="1"/>
    <row r="346" ht="45" customHeight="1"/>
    <row r="347" ht="45" customHeight="1"/>
    <row r="348" ht="45" customHeight="1"/>
    <row r="349" ht="45" customHeight="1"/>
    <row r="350" ht="45" customHeight="1"/>
    <row r="351" ht="45" customHeight="1"/>
    <row r="352" ht="45" customHeight="1"/>
    <row r="353" ht="45" customHeight="1"/>
    <row r="354" ht="45" customHeight="1"/>
    <row r="355" ht="45" customHeight="1"/>
    <row r="356" ht="45" customHeight="1"/>
    <row r="357" ht="45" customHeight="1"/>
    <row r="358" ht="45" customHeight="1"/>
    <row r="359" ht="45" customHeight="1"/>
    <row r="360" ht="45" customHeight="1"/>
    <row r="361" ht="45" customHeight="1"/>
    <row r="362" ht="45" customHeight="1"/>
    <row r="363" ht="45" customHeight="1"/>
    <row r="364" ht="45" customHeight="1"/>
    <row r="365" ht="45" customHeight="1"/>
    <row r="366" ht="45" customHeight="1"/>
    <row r="367" ht="45" customHeight="1"/>
    <row r="368" ht="45" customHeight="1"/>
    <row r="369" ht="45" customHeight="1"/>
    <row r="370" ht="45" customHeight="1"/>
    <row r="371" ht="45" customHeight="1"/>
    <row r="372" ht="45" customHeight="1"/>
    <row r="373" ht="45" customHeight="1"/>
    <row r="374" ht="45" customHeight="1"/>
    <row r="375" ht="45" customHeight="1"/>
    <row r="376" ht="45" customHeight="1"/>
    <row r="377" ht="45" customHeight="1"/>
    <row r="378" ht="45" customHeight="1"/>
    <row r="379" ht="45" customHeight="1"/>
    <row r="380" ht="45" customHeight="1"/>
    <row r="381" ht="45" customHeight="1"/>
    <row r="382" ht="45" customHeight="1"/>
    <row r="383" ht="45" customHeight="1"/>
    <row r="384" ht="45" customHeight="1"/>
    <row r="385" ht="45" customHeight="1"/>
    <row r="386" ht="45" customHeight="1"/>
    <row r="387" ht="45" customHeight="1"/>
    <row r="388" ht="45" customHeight="1"/>
    <row r="389" ht="45" customHeight="1"/>
    <row r="390" ht="45" customHeight="1"/>
    <row r="391" ht="45" customHeight="1"/>
    <row r="392" ht="45" customHeight="1"/>
    <row r="393" ht="45" customHeight="1"/>
    <row r="394" ht="45" customHeight="1"/>
    <row r="395" ht="45" customHeight="1"/>
    <row r="396" ht="45" customHeight="1"/>
    <row r="397" ht="45" customHeight="1"/>
    <row r="398" ht="45" customHeight="1"/>
    <row r="399" ht="45" customHeight="1"/>
    <row r="400" ht="45" customHeight="1"/>
    <row r="401" ht="45" customHeight="1"/>
    <row r="402" ht="45" customHeight="1"/>
    <row r="403" ht="45" customHeight="1"/>
    <row r="404" ht="45" customHeight="1"/>
    <row r="405" ht="45" customHeight="1"/>
    <row r="406" ht="45" customHeight="1"/>
    <row r="407" ht="45" customHeight="1"/>
    <row r="408" ht="45" customHeight="1"/>
    <row r="409" ht="45" customHeight="1"/>
    <row r="410" ht="45" customHeight="1"/>
    <row r="411" ht="45" customHeight="1"/>
    <row r="412" ht="45" customHeight="1"/>
    <row r="413" ht="45" customHeight="1"/>
    <row r="414" ht="45" customHeight="1"/>
    <row r="415" ht="45" customHeight="1"/>
    <row r="416" ht="45" customHeight="1"/>
    <row r="417" ht="45" customHeight="1"/>
    <row r="418" ht="45" customHeight="1"/>
    <row r="419" ht="45" customHeight="1"/>
    <row r="420" ht="45" customHeight="1"/>
    <row r="421" ht="45" customHeight="1"/>
    <row r="422" ht="45" customHeight="1"/>
    <row r="423" ht="45" customHeight="1"/>
    <row r="424" ht="45" customHeight="1"/>
    <row r="425" ht="45" customHeight="1"/>
    <row r="426" ht="45" customHeight="1"/>
    <row r="427" ht="45" customHeight="1"/>
    <row r="428" ht="45" customHeight="1"/>
    <row r="429" ht="45" customHeight="1"/>
    <row r="430" ht="45" customHeight="1"/>
    <row r="431" ht="45" customHeight="1"/>
    <row r="432" ht="45" customHeight="1"/>
    <row r="433" ht="45" customHeight="1"/>
    <row r="434" ht="45" customHeight="1"/>
    <row r="435" ht="45" customHeight="1"/>
    <row r="436" ht="45" customHeight="1"/>
    <row r="437" ht="45" customHeight="1"/>
    <row r="438" ht="45" customHeight="1"/>
    <row r="439" ht="45" customHeight="1"/>
    <row r="440" ht="45" customHeight="1"/>
    <row r="441" ht="45" customHeight="1"/>
    <row r="442" ht="45" customHeight="1"/>
    <row r="443" ht="45" customHeight="1"/>
    <row r="444" ht="45" customHeight="1"/>
    <row r="445" ht="45" customHeight="1"/>
    <row r="446" ht="45" customHeight="1"/>
    <row r="447" ht="45" customHeight="1"/>
    <row r="448" ht="45" customHeight="1"/>
    <row r="449" ht="45" customHeight="1"/>
    <row r="450" ht="45" customHeight="1"/>
    <row r="451" ht="45" customHeight="1"/>
    <row r="452" ht="45" customHeight="1"/>
    <row r="453" ht="45" customHeight="1"/>
    <row r="454" ht="45" customHeight="1"/>
    <row r="455" ht="45" customHeight="1"/>
    <row r="456" ht="45" customHeight="1"/>
    <row r="457" ht="45" customHeight="1"/>
    <row r="458" ht="45" customHeight="1"/>
    <row r="459" ht="45" customHeight="1"/>
    <row r="460" ht="45" customHeight="1"/>
    <row r="461" ht="45" customHeight="1"/>
    <row r="462" ht="45" customHeight="1"/>
    <row r="463" ht="45" customHeight="1"/>
    <row r="464" ht="45" customHeight="1"/>
    <row r="465" ht="45" customHeight="1"/>
    <row r="466" ht="45" customHeight="1"/>
    <row r="467" ht="45" customHeight="1"/>
    <row r="468" ht="45" customHeight="1"/>
    <row r="469" ht="45" customHeight="1"/>
    <row r="470" ht="45" customHeight="1"/>
    <row r="471" ht="45" customHeight="1"/>
    <row r="472" ht="45" customHeight="1"/>
    <row r="473" ht="45" customHeight="1"/>
    <row r="474" ht="45" customHeight="1"/>
    <row r="475" ht="45" customHeight="1"/>
    <row r="476" ht="45" customHeight="1"/>
    <row r="477" ht="45" customHeight="1"/>
    <row r="478" ht="45" customHeight="1"/>
    <row r="479" ht="45" customHeight="1"/>
    <row r="480" ht="45" customHeight="1"/>
    <row r="481" ht="45" customHeight="1"/>
    <row r="482" ht="45" customHeight="1"/>
    <row r="483" ht="45" customHeight="1"/>
    <row r="484" ht="45" customHeight="1"/>
    <row r="485" ht="45" customHeight="1"/>
    <row r="486" ht="45" customHeight="1"/>
    <row r="487" ht="45" customHeight="1"/>
    <row r="488" ht="45" customHeight="1"/>
    <row r="489" ht="45" customHeight="1"/>
    <row r="490" ht="45" customHeight="1"/>
    <row r="491" ht="45" customHeight="1"/>
    <row r="492" ht="45" customHeight="1"/>
    <row r="493" ht="45" customHeight="1"/>
    <row r="494" ht="45" customHeight="1"/>
    <row r="495" ht="45" customHeight="1"/>
    <row r="496" ht="45" customHeight="1"/>
    <row r="497" ht="45" customHeight="1"/>
    <row r="498" ht="45" customHeight="1"/>
    <row r="499" ht="45" customHeight="1"/>
    <row r="500" ht="45" customHeight="1"/>
  </sheetData>
  <pageMargins left="0.7" right="0.7" top="0.75" bottom="0.75" header="0.3" footer="0.3"/>
  <headerFooter>
    <oddFooter>&amp;C_x000D_&amp;1#&amp;"Calibri"&amp;10&amp;K008000 DOCUMENTO PÚBLICO</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49"/>
  <sheetViews>
    <sheetView showGridLines="0" view="pageBreakPreview" zoomScale="59" zoomScaleNormal="10" zoomScaleSheetLayoutView="59" zoomScalePageLayoutView="48" workbookViewId="0">
      <selection sqref="A1:C3"/>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5" width="18.140625" style="1" customWidth="1"/>
    <col min="16" max="18" width="13.85546875" style="1" customWidth="1"/>
    <col min="19" max="31" width="9.5703125" style="1" customWidth="1"/>
    <col min="32" max="32" width="35.85546875" style="1" customWidth="1"/>
    <col min="33" max="35" width="42.5703125" style="1" customWidth="1"/>
    <col min="36" max="16384" width="12.5703125" style="1"/>
  </cols>
  <sheetData>
    <row r="1" spans="1:60" s="55" customFormat="1" ht="15" customHeight="1">
      <c r="A1" s="290"/>
      <c r="B1" s="291"/>
      <c r="C1" s="292"/>
      <c r="D1" s="221" t="s">
        <v>6</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69"/>
      <c r="AK2" s="69"/>
      <c r="AL2" s="69"/>
      <c r="AM2" s="69"/>
      <c r="AN2" s="69"/>
      <c r="AO2" s="69"/>
      <c r="AP2" s="69"/>
      <c r="AQ2" s="69"/>
      <c r="AR2" s="69"/>
      <c r="AS2" s="69"/>
      <c r="AT2" s="69"/>
      <c r="AU2" s="69"/>
      <c r="AV2" s="69"/>
      <c r="AW2" s="69"/>
      <c r="AX2" s="69"/>
      <c r="AY2" s="69"/>
      <c r="AZ2" s="69"/>
      <c r="BA2" s="69"/>
      <c r="BB2" s="69"/>
      <c r="BC2" s="69"/>
      <c r="BD2" s="69"/>
      <c r="BE2" s="69"/>
      <c r="BF2" s="69"/>
      <c r="BG2" s="69"/>
      <c r="BH2" s="69"/>
    </row>
    <row r="3" spans="1:60"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69"/>
      <c r="AK3" s="69"/>
      <c r="AL3" s="69"/>
      <c r="AM3" s="69"/>
      <c r="AN3" s="69"/>
      <c r="AO3" s="69"/>
      <c r="AP3" s="69"/>
      <c r="AQ3" s="69"/>
      <c r="AR3" s="69"/>
      <c r="AS3" s="69"/>
      <c r="AT3" s="69"/>
      <c r="AU3" s="69"/>
      <c r="AV3" s="69"/>
      <c r="AW3" s="69"/>
      <c r="AX3" s="69"/>
      <c r="AY3" s="69"/>
      <c r="AZ3" s="69"/>
      <c r="BA3" s="69"/>
      <c r="BB3" s="69"/>
      <c r="BC3" s="69"/>
      <c r="BD3" s="69"/>
      <c r="BE3" s="69"/>
      <c r="BF3" s="69"/>
      <c r="BG3" s="69"/>
      <c r="BH3" s="69"/>
    </row>
    <row r="4" spans="1:60" s="55" customFormat="1" ht="60" hidden="1" customHeigh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row>
    <row r="5" spans="1:60" s="55" customFormat="1" ht="60" hidden="1" customHeight="1" thickBo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row>
    <row r="6" spans="1:60" ht="20.100000000000001" customHeight="1">
      <c r="A6" s="289" t="s">
        <v>11</v>
      </c>
      <c r="B6" s="289"/>
      <c r="C6" s="299" t="s">
        <v>12</v>
      </c>
      <c r="D6" s="299"/>
      <c r="E6" s="274" t="s">
        <v>13</v>
      </c>
      <c r="F6" s="274"/>
      <c r="G6" s="271">
        <f>+Q15+Q17+Q19+Q21+Q23+Q25+Q27</f>
        <v>0.99999999999999978</v>
      </c>
      <c r="H6" s="274" t="s">
        <v>14</v>
      </c>
      <c r="I6" s="274"/>
      <c r="J6" s="275">
        <f>+Q14+Q16+Q18+Q20+Q22+Q24+Q26</f>
        <v>0</v>
      </c>
      <c r="K6" s="283" t="s">
        <v>15</v>
      </c>
      <c r="L6" s="284"/>
      <c r="M6" s="278">
        <v>0.95</v>
      </c>
      <c r="N6" s="289" t="s">
        <v>16</v>
      </c>
      <c r="O6" s="289"/>
      <c r="P6" s="281">
        <f>(SUM(V14,V16,V18,V20,V22,V24,V26)/SUM(V15,V17,V19,V21,V23,V25))</f>
        <v>0</v>
      </c>
      <c r="Q6" s="281"/>
      <c r="R6" s="281"/>
      <c r="S6" s="228" t="s">
        <v>17</v>
      </c>
      <c r="T6" s="256"/>
      <c r="U6" s="256"/>
      <c r="V6" s="257"/>
      <c r="W6" s="262">
        <f>SUM(Y14,Y16,Y18,Y20,Y22,Y24,Y26)/SUM(Y15,Y17,Y19,Y21,Y23,Y25,Y27)</f>
        <v>0</v>
      </c>
      <c r="X6" s="263"/>
      <c r="Y6" s="263"/>
      <c r="Z6" s="264"/>
      <c r="AA6" s="228" t="s">
        <v>18</v>
      </c>
      <c r="AB6" s="256"/>
      <c r="AC6" s="256"/>
      <c r="AD6" s="257"/>
      <c r="AE6" s="222">
        <f>SUM(AB14,AB16,AB18,AB20,AB22,AB24)/SUM(AB15,AB17,AB19,AB21,AB23,AB25)</f>
        <v>0</v>
      </c>
      <c r="AF6" s="223"/>
      <c r="AG6" s="228" t="s">
        <v>19</v>
      </c>
      <c r="AH6" s="222"/>
    </row>
    <row r="7" spans="1:60" ht="15" customHeight="1">
      <c r="A7" s="289"/>
      <c r="B7" s="289"/>
      <c r="C7" s="299"/>
      <c r="D7" s="299"/>
      <c r="E7" s="274"/>
      <c r="F7" s="274"/>
      <c r="G7" s="272"/>
      <c r="H7" s="274"/>
      <c r="I7" s="274"/>
      <c r="J7" s="276"/>
      <c r="K7" s="285"/>
      <c r="L7" s="286"/>
      <c r="M7" s="279"/>
      <c r="N7" s="289"/>
      <c r="O7" s="289"/>
      <c r="P7" s="281"/>
      <c r="Q7" s="281"/>
      <c r="R7" s="281"/>
      <c r="S7" s="229"/>
      <c r="T7" s="258"/>
      <c r="U7" s="258"/>
      <c r="V7" s="259"/>
      <c r="W7" s="265"/>
      <c r="X7" s="266"/>
      <c r="Y7" s="266"/>
      <c r="Z7" s="267"/>
      <c r="AA7" s="229"/>
      <c r="AB7" s="258"/>
      <c r="AC7" s="258"/>
      <c r="AD7" s="259"/>
      <c r="AE7" s="224"/>
      <c r="AF7" s="225"/>
      <c r="AG7" s="229"/>
      <c r="AH7" s="224"/>
    </row>
    <row r="8" spans="1:60" ht="24.95" hidden="1" customHeight="1" thickBot="1">
      <c r="A8" s="289"/>
      <c r="B8" s="289"/>
      <c r="C8" s="299"/>
      <c r="D8" s="299"/>
      <c r="E8" s="274"/>
      <c r="F8" s="274"/>
      <c r="G8" s="272"/>
      <c r="H8" s="274"/>
      <c r="I8" s="274"/>
      <c r="J8" s="276"/>
      <c r="K8" s="285"/>
      <c r="L8" s="286"/>
      <c r="M8" s="279"/>
      <c r="N8" s="289"/>
      <c r="O8" s="289"/>
      <c r="P8" s="281"/>
      <c r="Q8" s="281"/>
      <c r="R8" s="281"/>
      <c r="S8" s="229"/>
      <c r="T8" s="258"/>
      <c r="U8" s="258"/>
      <c r="V8" s="259"/>
      <c r="W8" s="265"/>
      <c r="X8" s="266"/>
      <c r="Y8" s="266"/>
      <c r="Z8" s="267"/>
      <c r="AA8" s="229"/>
      <c r="AB8" s="258"/>
      <c r="AC8" s="258"/>
      <c r="AD8" s="259"/>
      <c r="AE8" s="224"/>
      <c r="AF8" s="225"/>
      <c r="AG8" s="229"/>
      <c r="AH8" s="224"/>
    </row>
    <row r="9" spans="1:60" ht="24.95" hidden="1" customHeight="1" thickBot="1">
      <c r="A9" s="289"/>
      <c r="B9" s="289"/>
      <c r="C9" s="299"/>
      <c r="D9" s="299"/>
      <c r="E9" s="274"/>
      <c r="F9" s="274"/>
      <c r="G9" s="272"/>
      <c r="H9" s="274"/>
      <c r="I9" s="274"/>
      <c r="J9" s="276"/>
      <c r="K9" s="285"/>
      <c r="L9" s="286"/>
      <c r="M9" s="279"/>
      <c r="N9" s="289"/>
      <c r="O9" s="289"/>
      <c r="P9" s="281"/>
      <c r="Q9" s="281"/>
      <c r="R9" s="281"/>
      <c r="S9" s="229"/>
      <c r="T9" s="258"/>
      <c r="U9" s="258"/>
      <c r="V9" s="259"/>
      <c r="W9" s="265"/>
      <c r="X9" s="266"/>
      <c r="Y9" s="266"/>
      <c r="Z9" s="267"/>
      <c r="AA9" s="229"/>
      <c r="AB9" s="258"/>
      <c r="AC9" s="258"/>
      <c r="AD9" s="259"/>
      <c r="AE9" s="224"/>
      <c r="AF9" s="225"/>
      <c r="AG9" s="229"/>
      <c r="AH9" s="224"/>
    </row>
    <row r="10" spans="1:60" ht="15" customHeight="1" thickBot="1">
      <c r="A10" s="289"/>
      <c r="B10" s="289"/>
      <c r="C10" s="299"/>
      <c r="D10" s="299"/>
      <c r="E10" s="274"/>
      <c r="F10" s="274"/>
      <c r="G10" s="273"/>
      <c r="H10" s="274"/>
      <c r="I10" s="274"/>
      <c r="J10" s="277"/>
      <c r="K10" s="287"/>
      <c r="L10" s="288"/>
      <c r="M10" s="280"/>
      <c r="N10" s="289"/>
      <c r="O10" s="289"/>
      <c r="P10" s="281"/>
      <c r="Q10" s="281"/>
      <c r="R10" s="281"/>
      <c r="S10" s="230"/>
      <c r="T10" s="260"/>
      <c r="U10" s="260"/>
      <c r="V10" s="261"/>
      <c r="W10" s="268"/>
      <c r="X10" s="269"/>
      <c r="Y10" s="269"/>
      <c r="Z10" s="270"/>
      <c r="AA10" s="230"/>
      <c r="AB10" s="260"/>
      <c r="AC10" s="260"/>
      <c r="AD10" s="261"/>
      <c r="AE10" s="226"/>
      <c r="AF10" s="227"/>
      <c r="AG10" s="230"/>
      <c r="AH10" s="226"/>
    </row>
    <row r="11" spans="1:60" s="12" customFormat="1" ht="39.950000000000003" customHeight="1" thickBot="1">
      <c r="A11" s="314" t="s">
        <v>20</v>
      </c>
      <c r="B11" s="314"/>
      <c r="C11" s="314"/>
      <c r="D11" s="314"/>
      <c r="E11" s="314"/>
      <c r="F11" s="315"/>
      <c r="G11" s="316" t="s">
        <v>21</v>
      </c>
      <c r="H11" s="317"/>
      <c r="I11" s="317"/>
      <c r="J11" s="317"/>
      <c r="K11" s="317"/>
      <c r="L11" s="317"/>
      <c r="M11" s="317"/>
      <c r="N11" s="317"/>
      <c r="O11" s="318"/>
      <c r="P11" s="238" t="s">
        <v>22</v>
      </c>
      <c r="Q11" s="239"/>
      <c r="R11" s="239"/>
      <c r="S11" s="239"/>
      <c r="T11" s="239"/>
      <c r="U11" s="239"/>
      <c r="V11" s="239"/>
      <c r="W11" s="239"/>
      <c r="X11" s="239"/>
      <c r="Y11" s="239"/>
      <c r="Z11" s="239"/>
      <c r="AA11" s="239"/>
      <c r="AB11" s="239"/>
      <c r="AC11" s="239"/>
      <c r="AD11" s="239"/>
      <c r="AE11" s="240"/>
      <c r="AF11" s="238" t="s">
        <v>23</v>
      </c>
      <c r="AG11" s="239"/>
      <c r="AH11" s="239"/>
      <c r="AI11" s="239"/>
    </row>
    <row r="12" spans="1:60" ht="39" customHeight="1">
      <c r="A12" s="319" t="s">
        <v>24</v>
      </c>
      <c r="B12" s="321" t="s">
        <v>25</v>
      </c>
      <c r="C12" s="321" t="s">
        <v>26</v>
      </c>
      <c r="D12" s="321" t="s">
        <v>27</v>
      </c>
      <c r="E12" s="321" t="s">
        <v>28</v>
      </c>
      <c r="F12" s="321" t="s">
        <v>29</v>
      </c>
      <c r="G12" s="321" t="s">
        <v>30</v>
      </c>
      <c r="H12" s="322" t="s">
        <v>31</v>
      </c>
      <c r="I12" s="319" t="s">
        <v>32</v>
      </c>
      <c r="J12" s="319" t="s">
        <v>33</v>
      </c>
      <c r="K12" s="319" t="s">
        <v>34</v>
      </c>
      <c r="L12" s="319" t="s">
        <v>35</v>
      </c>
      <c r="M12" s="319" t="s">
        <v>36</v>
      </c>
      <c r="N12" s="319" t="s">
        <v>37</v>
      </c>
      <c r="O12" s="321" t="s">
        <v>38</v>
      </c>
      <c r="P12" s="251" t="s">
        <v>39</v>
      </c>
      <c r="Q12" s="252" t="s">
        <v>40</v>
      </c>
      <c r="R12" s="253" t="s">
        <v>41</v>
      </c>
      <c r="S12" s="247" t="s">
        <v>42</v>
      </c>
      <c r="T12" s="245" t="s">
        <v>43</v>
      </c>
      <c r="U12" s="243" t="s">
        <v>44</v>
      </c>
      <c r="V12" s="249" t="s">
        <v>45</v>
      </c>
      <c r="W12" s="254" t="s">
        <v>46</v>
      </c>
      <c r="X12" s="249" t="s">
        <v>47</v>
      </c>
      <c r="Y12" s="243" t="s">
        <v>47</v>
      </c>
      <c r="Z12" s="245" t="s">
        <v>48</v>
      </c>
      <c r="AA12" s="247" t="s">
        <v>49</v>
      </c>
      <c r="AB12" s="245" t="s">
        <v>50</v>
      </c>
      <c r="AC12" s="243" t="s">
        <v>51</v>
      </c>
      <c r="AD12" s="249" t="s">
        <v>52</v>
      </c>
      <c r="AE12" s="241" t="s">
        <v>53</v>
      </c>
      <c r="AF12" s="237" t="s">
        <v>54</v>
      </c>
      <c r="AG12" s="237" t="s">
        <v>55</v>
      </c>
      <c r="AH12" s="237" t="s">
        <v>56</v>
      </c>
      <c r="AI12" s="237" t="s">
        <v>57</v>
      </c>
    </row>
    <row r="13" spans="1:60" ht="60" customHeight="1" thickBot="1">
      <c r="A13" s="320"/>
      <c r="B13" s="320"/>
      <c r="C13" s="320"/>
      <c r="D13" s="320"/>
      <c r="E13" s="320"/>
      <c r="F13" s="320"/>
      <c r="G13" s="320"/>
      <c r="H13" s="322"/>
      <c r="I13" s="320"/>
      <c r="J13" s="320"/>
      <c r="K13" s="320"/>
      <c r="L13" s="320"/>
      <c r="M13" s="320"/>
      <c r="N13" s="320"/>
      <c r="O13" s="320"/>
      <c r="P13" s="251"/>
      <c r="Q13" s="252"/>
      <c r="R13" s="253"/>
      <c r="S13" s="248"/>
      <c r="T13" s="246"/>
      <c r="U13" s="244"/>
      <c r="V13" s="250"/>
      <c r="W13" s="255"/>
      <c r="X13" s="250"/>
      <c r="Y13" s="244"/>
      <c r="Z13" s="246"/>
      <c r="AA13" s="248"/>
      <c r="AB13" s="246"/>
      <c r="AC13" s="244"/>
      <c r="AD13" s="250"/>
      <c r="AE13" s="242"/>
      <c r="AF13" s="237"/>
      <c r="AG13" s="237"/>
      <c r="AH13" s="237"/>
      <c r="AI13" s="237"/>
    </row>
    <row r="14" spans="1:60" ht="39.950000000000003" customHeight="1" thickBot="1">
      <c r="A14" s="300">
        <v>1</v>
      </c>
      <c r="B14" s="300" t="s">
        <v>58</v>
      </c>
      <c r="C14" s="300" t="s">
        <v>59</v>
      </c>
      <c r="D14" s="300" t="s">
        <v>60</v>
      </c>
      <c r="E14" s="300" t="s">
        <v>61</v>
      </c>
      <c r="F14" s="310" t="s">
        <v>62</v>
      </c>
      <c r="G14" s="300" t="s">
        <v>63</v>
      </c>
      <c r="H14" s="300" t="s">
        <v>64</v>
      </c>
      <c r="I14" s="300" t="s">
        <v>65</v>
      </c>
      <c r="J14" s="300" t="s">
        <v>66</v>
      </c>
      <c r="K14" s="302" t="s">
        <v>67</v>
      </c>
      <c r="L14" s="302" t="s">
        <v>68</v>
      </c>
      <c r="M14" s="302" t="s">
        <v>69</v>
      </c>
      <c r="N14" s="304">
        <v>44928</v>
      </c>
      <c r="O14" s="304">
        <v>45291</v>
      </c>
      <c r="P14" s="60" t="s">
        <v>70</v>
      </c>
      <c r="Q14" s="53">
        <f>+(Q15*R14)</f>
        <v>0</v>
      </c>
      <c r="R14" s="70">
        <f>SUM(S14:AE14)</f>
        <v>0</v>
      </c>
      <c r="S14" s="43"/>
      <c r="T14" s="43"/>
      <c r="U14" s="43"/>
      <c r="V14" s="43"/>
      <c r="W14" s="43"/>
      <c r="X14" s="43"/>
      <c r="Y14" s="43"/>
      <c r="Z14" s="43"/>
      <c r="AA14" s="44"/>
      <c r="AB14" s="44"/>
      <c r="AC14" s="44"/>
      <c r="AD14" s="44"/>
      <c r="AE14" s="44"/>
      <c r="AF14" s="233"/>
      <c r="AG14" s="235"/>
      <c r="AH14" s="231"/>
      <c r="AI14" s="231"/>
    </row>
    <row r="15" spans="1:60" ht="36.950000000000003" customHeight="1" thickBot="1">
      <c r="A15" s="312"/>
      <c r="B15" s="312"/>
      <c r="C15" s="312"/>
      <c r="D15" s="312"/>
      <c r="E15" s="312"/>
      <c r="F15" s="313"/>
      <c r="G15" s="312"/>
      <c r="H15" s="312"/>
      <c r="I15" s="312"/>
      <c r="J15" s="301"/>
      <c r="K15" s="323"/>
      <c r="L15" s="323"/>
      <c r="M15" s="323"/>
      <c r="N15" s="324"/>
      <c r="O15" s="324"/>
      <c r="P15" s="60" t="s">
        <v>71</v>
      </c>
      <c r="Q15" s="52">
        <f>100%/7</f>
        <v>0.14285714285714285</v>
      </c>
      <c r="R15" s="70">
        <f>SUM(S15:AE15)</f>
        <v>1</v>
      </c>
      <c r="S15" s="42"/>
      <c r="T15" s="42"/>
      <c r="U15" s="42"/>
      <c r="V15" s="42">
        <v>0.25</v>
      </c>
      <c r="W15" s="42"/>
      <c r="X15" s="42"/>
      <c r="Y15" s="42">
        <v>0.25</v>
      </c>
      <c r="Z15" s="42"/>
      <c r="AA15" s="42"/>
      <c r="AB15" s="42">
        <v>0.25</v>
      </c>
      <c r="AC15" s="42"/>
      <c r="AD15" s="42"/>
      <c r="AE15" s="42">
        <v>0.25</v>
      </c>
      <c r="AF15" s="234"/>
      <c r="AG15" s="236"/>
      <c r="AH15" s="232"/>
      <c r="AI15" s="232"/>
    </row>
    <row r="16" spans="1:60" ht="36.950000000000003" customHeight="1" thickBot="1">
      <c r="A16" s="300">
        <v>2</v>
      </c>
      <c r="B16" s="300" t="s">
        <v>58</v>
      </c>
      <c r="C16" s="300" t="s">
        <v>59</v>
      </c>
      <c r="D16" s="300" t="s">
        <v>72</v>
      </c>
      <c r="E16" s="300" t="s">
        <v>73</v>
      </c>
      <c r="F16" s="310" t="s">
        <v>62</v>
      </c>
      <c r="G16" s="300" t="s">
        <v>74</v>
      </c>
      <c r="H16" s="300" t="s">
        <v>75</v>
      </c>
      <c r="I16" s="300" t="s">
        <v>76</v>
      </c>
      <c r="J16" s="300" t="s">
        <v>77</v>
      </c>
      <c r="K16" s="302" t="s">
        <v>78</v>
      </c>
      <c r="L16" s="302" t="s">
        <v>68</v>
      </c>
      <c r="M16" s="302" t="s">
        <v>69</v>
      </c>
      <c r="N16" s="304">
        <v>44928</v>
      </c>
      <c r="O16" s="304">
        <v>45291</v>
      </c>
      <c r="P16" s="60" t="s">
        <v>70</v>
      </c>
      <c r="Q16" s="53">
        <f>+(Q17*R16)</f>
        <v>0</v>
      </c>
      <c r="R16" s="70">
        <f t="shared" ref="R16:R27" si="0">SUM(S16:AE16)</f>
        <v>0</v>
      </c>
      <c r="S16" s="43"/>
      <c r="T16" s="43"/>
      <c r="U16" s="43"/>
      <c r="V16" s="43"/>
      <c r="W16" s="43"/>
      <c r="X16" s="43"/>
      <c r="Y16" s="43"/>
      <c r="Z16" s="43"/>
      <c r="AA16" s="44"/>
      <c r="AB16" s="44"/>
      <c r="AC16" s="44"/>
      <c r="AD16" s="44"/>
      <c r="AE16" s="44"/>
      <c r="AF16" s="233"/>
      <c r="AG16" s="235"/>
      <c r="AH16" s="231"/>
      <c r="AI16" s="231"/>
    </row>
    <row r="17" spans="1:35" ht="36.950000000000003" customHeight="1" thickBot="1">
      <c r="A17" s="301"/>
      <c r="B17" s="301"/>
      <c r="C17" s="301"/>
      <c r="D17" s="301"/>
      <c r="E17" s="301"/>
      <c r="F17" s="311"/>
      <c r="G17" s="301"/>
      <c r="H17" s="301"/>
      <c r="I17" s="301"/>
      <c r="J17" s="301"/>
      <c r="K17" s="303"/>
      <c r="L17" s="303"/>
      <c r="M17" s="303"/>
      <c r="N17" s="305"/>
      <c r="O17" s="305"/>
      <c r="P17" s="60" t="s">
        <v>71</v>
      </c>
      <c r="Q17" s="52">
        <f>100%/7</f>
        <v>0.14285714285714285</v>
      </c>
      <c r="R17" s="70">
        <f t="shared" si="0"/>
        <v>1</v>
      </c>
      <c r="S17" s="42"/>
      <c r="T17" s="42"/>
      <c r="U17" s="42"/>
      <c r="V17" s="42">
        <v>0.25</v>
      </c>
      <c r="W17" s="42"/>
      <c r="X17" s="42"/>
      <c r="Y17" s="42">
        <v>0.25</v>
      </c>
      <c r="Z17" s="42"/>
      <c r="AA17" s="42"/>
      <c r="AB17" s="42">
        <v>0.25</v>
      </c>
      <c r="AC17" s="42"/>
      <c r="AD17" s="42"/>
      <c r="AE17" s="42">
        <v>0.25</v>
      </c>
      <c r="AF17" s="234"/>
      <c r="AG17" s="236"/>
      <c r="AH17" s="232"/>
      <c r="AI17" s="232"/>
    </row>
    <row r="18" spans="1:35" ht="36.950000000000003" customHeight="1" thickBot="1">
      <c r="A18" s="300">
        <v>3</v>
      </c>
      <c r="B18" s="300" t="s">
        <v>79</v>
      </c>
      <c r="C18" s="300" t="s">
        <v>80</v>
      </c>
      <c r="D18" s="300" t="s">
        <v>81</v>
      </c>
      <c r="E18" s="300" t="s">
        <v>82</v>
      </c>
      <c r="F18" s="310" t="s">
        <v>62</v>
      </c>
      <c r="G18" s="300" t="s">
        <v>12</v>
      </c>
      <c r="H18" s="300" t="s">
        <v>83</v>
      </c>
      <c r="I18" s="300" t="s">
        <v>84</v>
      </c>
      <c r="J18" s="300" t="s">
        <v>77</v>
      </c>
      <c r="K18" s="302" t="s">
        <v>67</v>
      </c>
      <c r="L18" s="302" t="s">
        <v>68</v>
      </c>
      <c r="M18" s="302" t="s">
        <v>69</v>
      </c>
      <c r="N18" s="304">
        <v>44928</v>
      </c>
      <c r="O18" s="304">
        <v>45291</v>
      </c>
      <c r="P18" s="60" t="s">
        <v>70</v>
      </c>
      <c r="Q18" s="53">
        <f>+(Q19*R18)</f>
        <v>0</v>
      </c>
      <c r="R18" s="70">
        <f t="shared" si="0"/>
        <v>0</v>
      </c>
      <c r="S18" s="43"/>
      <c r="T18" s="43"/>
      <c r="U18" s="43"/>
      <c r="V18" s="43"/>
      <c r="W18" s="43"/>
      <c r="X18" s="43"/>
      <c r="Y18" s="43"/>
      <c r="Z18" s="43"/>
      <c r="AA18" s="44"/>
      <c r="AB18" s="44"/>
      <c r="AC18" s="44"/>
      <c r="AD18" s="44"/>
      <c r="AE18" s="44"/>
      <c r="AF18" s="233"/>
      <c r="AG18" s="235"/>
      <c r="AH18" s="231"/>
      <c r="AI18" s="231"/>
    </row>
    <row r="19" spans="1:35" ht="36.950000000000003" customHeight="1" thickBot="1">
      <c r="A19" s="301"/>
      <c r="B19" s="301"/>
      <c r="C19" s="301"/>
      <c r="D19" s="301"/>
      <c r="E19" s="301"/>
      <c r="F19" s="311"/>
      <c r="G19" s="301"/>
      <c r="H19" s="301"/>
      <c r="I19" s="301"/>
      <c r="J19" s="301"/>
      <c r="K19" s="303"/>
      <c r="L19" s="303"/>
      <c r="M19" s="303"/>
      <c r="N19" s="305"/>
      <c r="O19" s="305"/>
      <c r="P19" s="60" t="s">
        <v>71</v>
      </c>
      <c r="Q19" s="52">
        <f>100%/7</f>
        <v>0.14285714285714285</v>
      </c>
      <c r="R19" s="70">
        <f t="shared" si="0"/>
        <v>1</v>
      </c>
      <c r="S19" s="42"/>
      <c r="T19" s="42"/>
      <c r="U19" s="42"/>
      <c r="V19" s="42">
        <v>0.25</v>
      </c>
      <c r="W19" s="42"/>
      <c r="X19" s="42"/>
      <c r="Y19" s="42">
        <v>0.25</v>
      </c>
      <c r="Z19" s="42"/>
      <c r="AA19" s="42"/>
      <c r="AB19" s="42">
        <v>0.25</v>
      </c>
      <c r="AC19" s="42"/>
      <c r="AD19" s="42"/>
      <c r="AE19" s="42">
        <v>0.25</v>
      </c>
      <c r="AF19" s="234"/>
      <c r="AG19" s="236"/>
      <c r="AH19" s="232"/>
      <c r="AI19" s="232"/>
    </row>
    <row r="20" spans="1:35" ht="36.950000000000003" customHeight="1" thickBot="1">
      <c r="A20" s="300">
        <v>4</v>
      </c>
      <c r="B20" s="300" t="s">
        <v>79</v>
      </c>
      <c r="C20" s="300" t="s">
        <v>85</v>
      </c>
      <c r="D20" s="300" t="s">
        <v>72</v>
      </c>
      <c r="E20" s="300" t="s">
        <v>86</v>
      </c>
      <c r="F20" s="310" t="s">
        <v>62</v>
      </c>
      <c r="G20" s="300" t="s">
        <v>87</v>
      </c>
      <c r="H20" s="300" t="s">
        <v>88</v>
      </c>
      <c r="I20" s="300" t="s">
        <v>89</v>
      </c>
      <c r="J20" s="300" t="s">
        <v>77</v>
      </c>
      <c r="K20" s="302" t="s">
        <v>67</v>
      </c>
      <c r="L20" s="302" t="s">
        <v>68</v>
      </c>
      <c r="M20" s="302" t="s">
        <v>69</v>
      </c>
      <c r="N20" s="304">
        <v>44928</v>
      </c>
      <c r="O20" s="304">
        <v>45291</v>
      </c>
      <c r="P20" s="60" t="s">
        <v>70</v>
      </c>
      <c r="Q20" s="53">
        <f>+(Q21*R20)</f>
        <v>0</v>
      </c>
      <c r="R20" s="70">
        <f t="shared" si="0"/>
        <v>0</v>
      </c>
      <c r="S20" s="43"/>
      <c r="T20" s="43"/>
      <c r="U20" s="43"/>
      <c r="V20" s="43"/>
      <c r="W20" s="43"/>
      <c r="X20" s="43"/>
      <c r="Y20" s="43"/>
      <c r="Z20" s="43"/>
      <c r="AA20" s="44"/>
      <c r="AB20" s="44"/>
      <c r="AC20" s="44"/>
      <c r="AD20" s="44"/>
      <c r="AE20" s="44"/>
      <c r="AF20" s="233"/>
      <c r="AG20" s="235"/>
      <c r="AH20" s="231"/>
      <c r="AI20" s="231"/>
    </row>
    <row r="21" spans="1:35" ht="36.950000000000003" customHeight="1" thickBot="1">
      <c r="A21" s="301"/>
      <c r="B21" s="301"/>
      <c r="C21" s="301"/>
      <c r="D21" s="301"/>
      <c r="E21" s="301"/>
      <c r="F21" s="311"/>
      <c r="G21" s="301"/>
      <c r="H21" s="301"/>
      <c r="I21" s="301"/>
      <c r="J21" s="301"/>
      <c r="K21" s="303"/>
      <c r="L21" s="303"/>
      <c r="M21" s="303"/>
      <c r="N21" s="305"/>
      <c r="O21" s="305"/>
      <c r="P21" s="60" t="s">
        <v>71</v>
      </c>
      <c r="Q21" s="52">
        <f>100%/7</f>
        <v>0.14285714285714285</v>
      </c>
      <c r="R21" s="70">
        <f t="shared" si="0"/>
        <v>1</v>
      </c>
      <c r="S21" s="42"/>
      <c r="T21" s="42"/>
      <c r="U21" s="42"/>
      <c r="V21" s="42">
        <v>0.25</v>
      </c>
      <c r="W21" s="42"/>
      <c r="X21" s="42"/>
      <c r="Y21" s="42">
        <v>0.25</v>
      </c>
      <c r="Z21" s="42"/>
      <c r="AA21" s="42"/>
      <c r="AB21" s="42">
        <v>0.25</v>
      </c>
      <c r="AC21" s="42"/>
      <c r="AD21" s="42"/>
      <c r="AE21" s="42">
        <v>0.25</v>
      </c>
      <c r="AF21" s="234"/>
      <c r="AG21" s="236"/>
      <c r="AH21" s="232"/>
      <c r="AI21" s="232"/>
    </row>
    <row r="22" spans="1:35" ht="36.950000000000003" customHeight="1" thickBot="1">
      <c r="A22" s="300">
        <v>5</v>
      </c>
      <c r="B22" s="300" t="s">
        <v>90</v>
      </c>
      <c r="C22" s="300" t="s">
        <v>91</v>
      </c>
      <c r="D22" s="300" t="s">
        <v>60</v>
      </c>
      <c r="E22" s="300" t="s">
        <v>92</v>
      </c>
      <c r="F22" s="310" t="s">
        <v>62</v>
      </c>
      <c r="G22" s="300" t="s">
        <v>93</v>
      </c>
      <c r="H22" s="300" t="s">
        <v>94</v>
      </c>
      <c r="I22" s="300" t="s">
        <v>95</v>
      </c>
      <c r="J22" s="300" t="s">
        <v>77</v>
      </c>
      <c r="K22" s="302" t="s">
        <v>67</v>
      </c>
      <c r="L22" s="302" t="s">
        <v>68</v>
      </c>
      <c r="M22" s="302" t="s">
        <v>69</v>
      </c>
      <c r="N22" s="304">
        <v>44928</v>
      </c>
      <c r="O22" s="304">
        <v>45291</v>
      </c>
      <c r="P22" s="60" t="s">
        <v>70</v>
      </c>
      <c r="Q22" s="53">
        <f>+(Q23*R22)</f>
        <v>0</v>
      </c>
      <c r="R22" s="70">
        <f t="shared" si="0"/>
        <v>0</v>
      </c>
      <c r="S22" s="45"/>
      <c r="T22" s="45"/>
      <c r="U22" s="45"/>
      <c r="V22" s="43"/>
      <c r="W22" s="43"/>
      <c r="X22" s="43"/>
      <c r="Y22" s="43"/>
      <c r="Z22" s="43"/>
      <c r="AA22" s="44"/>
      <c r="AB22" s="44"/>
      <c r="AC22" s="44"/>
      <c r="AD22" s="44"/>
      <c r="AE22" s="44"/>
      <c r="AF22" s="233"/>
      <c r="AG22" s="235"/>
      <c r="AH22" s="231"/>
      <c r="AI22" s="231"/>
    </row>
    <row r="23" spans="1:35" ht="36.950000000000003" customHeight="1" thickBot="1">
      <c r="A23" s="301"/>
      <c r="B23" s="301"/>
      <c r="C23" s="301"/>
      <c r="D23" s="301"/>
      <c r="E23" s="301"/>
      <c r="F23" s="311"/>
      <c r="G23" s="301"/>
      <c r="H23" s="301"/>
      <c r="I23" s="301"/>
      <c r="J23" s="301"/>
      <c r="K23" s="303"/>
      <c r="L23" s="303"/>
      <c r="M23" s="303"/>
      <c r="N23" s="305"/>
      <c r="O23" s="305"/>
      <c r="P23" s="60" t="s">
        <v>71</v>
      </c>
      <c r="Q23" s="52">
        <f>100%/7</f>
        <v>0.14285714285714285</v>
      </c>
      <c r="R23" s="70">
        <f t="shared" si="0"/>
        <v>1</v>
      </c>
      <c r="S23" s="42"/>
      <c r="T23" s="42"/>
      <c r="U23" s="42"/>
      <c r="V23" s="42">
        <v>0.25</v>
      </c>
      <c r="W23" s="42"/>
      <c r="X23" s="42"/>
      <c r="Y23" s="42">
        <v>0.25</v>
      </c>
      <c r="Z23" s="42"/>
      <c r="AA23" s="42"/>
      <c r="AB23" s="42">
        <v>0.25</v>
      </c>
      <c r="AC23" s="42"/>
      <c r="AD23" s="42"/>
      <c r="AE23" s="42">
        <v>0.25</v>
      </c>
      <c r="AF23" s="234"/>
      <c r="AG23" s="236"/>
      <c r="AH23" s="232"/>
      <c r="AI23" s="232"/>
    </row>
    <row r="24" spans="1:35" ht="36.950000000000003" customHeight="1" thickBot="1">
      <c r="A24" s="300">
        <v>6</v>
      </c>
      <c r="B24" s="300" t="s">
        <v>96</v>
      </c>
      <c r="C24" s="300" t="s">
        <v>97</v>
      </c>
      <c r="D24" s="300" t="s">
        <v>98</v>
      </c>
      <c r="E24" s="300" t="s">
        <v>99</v>
      </c>
      <c r="F24" s="310" t="s">
        <v>62</v>
      </c>
      <c r="G24" s="300" t="s">
        <v>100</v>
      </c>
      <c r="H24" s="300" t="s">
        <v>101</v>
      </c>
      <c r="I24" s="300" t="s">
        <v>102</v>
      </c>
      <c r="J24" s="300" t="s">
        <v>77</v>
      </c>
      <c r="K24" s="302" t="s">
        <v>67</v>
      </c>
      <c r="L24" s="302" t="s">
        <v>68</v>
      </c>
      <c r="M24" s="302" t="s">
        <v>69</v>
      </c>
      <c r="N24" s="304">
        <v>44928</v>
      </c>
      <c r="O24" s="304">
        <v>45291</v>
      </c>
      <c r="P24" s="60" t="s">
        <v>70</v>
      </c>
      <c r="Q24" s="53">
        <f>+(Q25*R24)</f>
        <v>0</v>
      </c>
      <c r="R24" s="70">
        <f t="shared" si="0"/>
        <v>0</v>
      </c>
      <c r="S24" s="59"/>
      <c r="T24" s="59"/>
      <c r="U24" s="59"/>
      <c r="V24" s="43"/>
      <c r="W24" s="43"/>
      <c r="X24" s="43"/>
      <c r="Y24" s="43"/>
      <c r="Z24" s="43"/>
      <c r="AA24" s="44"/>
      <c r="AB24" s="44"/>
      <c r="AC24" s="44"/>
      <c r="AD24" s="44"/>
      <c r="AE24" s="44"/>
      <c r="AF24" s="233"/>
      <c r="AG24" s="235"/>
      <c r="AH24" s="231"/>
      <c r="AI24" s="231"/>
    </row>
    <row r="25" spans="1:35" ht="39.950000000000003" customHeight="1" thickBot="1">
      <c r="A25" s="301"/>
      <c r="B25" s="301"/>
      <c r="C25" s="301"/>
      <c r="D25" s="301"/>
      <c r="E25" s="301"/>
      <c r="F25" s="311"/>
      <c r="G25" s="301"/>
      <c r="H25" s="301"/>
      <c r="I25" s="301"/>
      <c r="J25" s="301"/>
      <c r="K25" s="303"/>
      <c r="L25" s="303"/>
      <c r="M25" s="303"/>
      <c r="N25" s="305"/>
      <c r="O25" s="305"/>
      <c r="P25" s="60" t="s">
        <v>71</v>
      </c>
      <c r="Q25" s="52">
        <f>100%/7</f>
        <v>0.14285714285714285</v>
      </c>
      <c r="R25" s="70">
        <f t="shared" si="0"/>
        <v>1</v>
      </c>
      <c r="S25" s="42"/>
      <c r="T25" s="42"/>
      <c r="U25" s="42"/>
      <c r="V25" s="42">
        <v>0.25</v>
      </c>
      <c r="W25" s="42"/>
      <c r="X25" s="42"/>
      <c r="Y25" s="42">
        <v>0.25</v>
      </c>
      <c r="Z25" s="42"/>
      <c r="AA25" s="42"/>
      <c r="AB25" s="42">
        <v>0.25</v>
      </c>
      <c r="AC25" s="42"/>
      <c r="AD25" s="42"/>
      <c r="AE25" s="42">
        <v>0.25</v>
      </c>
      <c r="AF25" s="234"/>
      <c r="AG25" s="236"/>
      <c r="AH25" s="232"/>
      <c r="AI25" s="232"/>
    </row>
    <row r="26" spans="1:35" ht="36.950000000000003" customHeight="1" thickBot="1">
      <c r="A26" s="306">
        <v>7</v>
      </c>
      <c r="B26" s="306" t="s">
        <v>103</v>
      </c>
      <c r="C26" s="306" t="s">
        <v>85</v>
      </c>
      <c r="D26" s="306" t="s">
        <v>60</v>
      </c>
      <c r="E26" s="306" t="s">
        <v>104</v>
      </c>
      <c r="F26" s="307" t="s">
        <v>62</v>
      </c>
      <c r="G26" s="306" t="s">
        <v>105</v>
      </c>
      <c r="H26" s="306" t="s">
        <v>106</v>
      </c>
      <c r="I26" s="306" t="s">
        <v>107</v>
      </c>
      <c r="J26" s="300" t="s">
        <v>108</v>
      </c>
      <c r="K26" s="308" t="s">
        <v>67</v>
      </c>
      <c r="L26" s="308" t="s">
        <v>68</v>
      </c>
      <c r="M26" s="308" t="s">
        <v>109</v>
      </c>
      <c r="N26" s="309">
        <v>44928</v>
      </c>
      <c r="O26" s="309">
        <v>45291</v>
      </c>
      <c r="P26" s="60" t="s">
        <v>70</v>
      </c>
      <c r="Q26" s="53">
        <f>+(Q27*R26)</f>
        <v>0</v>
      </c>
      <c r="R26" s="70">
        <f t="shared" si="0"/>
        <v>0</v>
      </c>
      <c r="S26" s="45"/>
      <c r="T26" s="45"/>
      <c r="U26" s="45"/>
      <c r="V26" s="45"/>
      <c r="W26" s="45"/>
      <c r="X26" s="45"/>
      <c r="Y26" s="45"/>
      <c r="Z26" s="45"/>
      <c r="AA26" s="45"/>
      <c r="AB26" s="45"/>
      <c r="AC26" s="45"/>
      <c r="AD26" s="45"/>
      <c r="AE26" s="45"/>
      <c r="AF26" s="233"/>
      <c r="AG26" s="235"/>
      <c r="AH26" s="231"/>
      <c r="AI26" s="231"/>
    </row>
    <row r="27" spans="1:35" ht="36.950000000000003" customHeight="1">
      <c r="A27" s="306"/>
      <c r="B27" s="306"/>
      <c r="C27" s="306"/>
      <c r="D27" s="306"/>
      <c r="E27" s="306"/>
      <c r="F27" s="307"/>
      <c r="G27" s="306"/>
      <c r="H27" s="306"/>
      <c r="I27" s="306"/>
      <c r="J27" s="301"/>
      <c r="K27" s="308"/>
      <c r="L27" s="308"/>
      <c r="M27" s="308"/>
      <c r="N27" s="309"/>
      <c r="O27" s="309"/>
      <c r="P27" s="60" t="s">
        <v>71</v>
      </c>
      <c r="Q27" s="52">
        <f>100%/7</f>
        <v>0.14285714285714285</v>
      </c>
      <c r="R27" s="70">
        <f t="shared" si="0"/>
        <v>1</v>
      </c>
      <c r="S27" s="42"/>
      <c r="T27" s="42"/>
      <c r="U27" s="42"/>
      <c r="V27" s="42"/>
      <c r="W27" s="42"/>
      <c r="X27" s="42"/>
      <c r="Y27" s="42">
        <v>0.5</v>
      </c>
      <c r="Z27" s="42"/>
      <c r="AA27" s="42"/>
      <c r="AB27" s="42"/>
      <c r="AC27" s="42"/>
      <c r="AD27" s="42"/>
      <c r="AE27" s="42">
        <v>0.5</v>
      </c>
      <c r="AF27" s="234"/>
      <c r="AG27" s="236"/>
      <c r="AH27" s="232"/>
      <c r="AI27" s="232"/>
    </row>
    <row r="29" spans="1:35" s="13" customFormat="1" ht="30" hidden="1" customHeight="1">
      <c r="D29" s="332" t="s">
        <v>15</v>
      </c>
      <c r="E29" s="332"/>
      <c r="F29" s="21">
        <v>1</v>
      </c>
      <c r="H29" s="328" t="s">
        <v>110</v>
      </c>
      <c r="I29" s="22" t="s">
        <v>111</v>
      </c>
      <c r="J29" s="54" t="e">
        <f>SUM(O29:AD29)</f>
        <v>#REF!</v>
      </c>
      <c r="K29" s="33"/>
      <c r="L29" s="33"/>
      <c r="M29" s="33"/>
      <c r="N29" s="33"/>
      <c r="O29" s="33" t="e">
        <f>+(W14*$Q$15)+(W16*$Q$17)+(W18*$Q$19)+(W20*$Q$21)+(W22*$Q$23)+(W25*$Q$25)+(#REF!*$Q$27)+(#REF!*#REF!)+(#REF!*#REF!)+(#REF!*#REF!)+(#REF!*#REF!)+(#REF!*#REF!)+(#REF!*#REF!)</f>
        <v>#REF!</v>
      </c>
      <c r="P29" s="33" t="e">
        <f>+(AD14*$Q$15)+(AD16*$Q$17)+(AD18*$Q$19)+(AD20*$Q$21)+(AD22*$Q$23)+(AD25*$Q$25)+(#REF!*$Q$27)+(#REF!*#REF!)+(#REF!*#REF!)+(#REF!*#REF!)+(#REF!*#REF!)+(#REF!*#REF!)+(#REF!*#REF!)</f>
        <v>#REF!</v>
      </c>
      <c r="Q29" s="36" t="e">
        <f>+(#REF!*$Q$15)+(#REF!*$Q$17)+(#REF!*$Q$19)+(#REF!*$Q$21)+(#REF!*$Q$23)+(#REF!*$Q$25)+(#REF!*$Q$27)+(#REF!*#REF!)+(#REF!*#REF!)+(#REF!*#REF!)+(#REF!*#REF!)+(#REF!*#REF!)+(#REF!*#REF!)</f>
        <v>#REF!</v>
      </c>
      <c r="R29" s="33" t="e">
        <f>+(#REF!*$Q$15)+(#REF!*$Q$17)+(#REF!*$Q$19)+(#REF!*$Q$21)+(#REF!*$Q$23)+(#REF!*$Q$25)+(#REF!*$Q$27)+(#REF!*#REF!)+(#REF!*#REF!)+(#REF!*#REF!)+(#REF!*#REF!)+(#REF!*#REF!)+(#REF!*#REF!)</f>
        <v>#REF!</v>
      </c>
      <c r="S29" s="33" t="e">
        <f>+(#REF!*$Q$15)+(#REF!*$Q$17)+(#REF!*$Q$19)+(#REF!*$Q$21)+(#REF!*$Q$23)+(#REF!*$Q$25)+(#REF!*$Q$27)+(#REF!*#REF!)+(#REF!*#REF!)+(#REF!*#REF!)+(#REF!*#REF!)+(#REF!*#REF!)+(#REF!*#REF!)</f>
        <v>#REF!</v>
      </c>
      <c r="T29" s="33" t="e">
        <f>+(#REF!*$Q$15)+(#REF!*$Q$17)+(#REF!*$Q$19)+(#REF!*$Q$21)+(#REF!*$Q$23)+(#REF!*$Q$25)+(#REF!*$Q$27)+(#REF!*#REF!)+(#REF!*#REF!)+(#REF!*#REF!)+(#REF!*#REF!)+(#REF!*#REF!)+(#REF!*#REF!)</f>
        <v>#REF!</v>
      </c>
      <c r="U29" s="33" t="e">
        <f>+(#REF!*$Q$15)+(#REF!*$Q$17)+(#REF!*$Q$19)+(#REF!*$Q$21)+(#REF!*$Q$23)+(#REF!*$Q$25)+(T27*$Q$27)+(#REF!*#REF!)+(#REF!*#REF!)+(#REF!*#REF!)+(#REF!*#REF!)+(#REF!*#REF!)+(#REF!*#REF!)</f>
        <v>#REF!</v>
      </c>
      <c r="V29" s="33" t="e">
        <f>+(#REF!*$Q$15)+(#REF!*$Q$17)+(#REF!*$Q$19)+(#REF!*$Q$21)+(#REF!*$Q$23)+(#REF!*$Q$25)+(U27*$Q$27)+(#REF!*#REF!)+(#REF!*#REF!)+(#REF!*#REF!)+(#REF!*#REF!)+(#REF!*#REF!)+(#REF!*#REF!)</f>
        <v>#REF!</v>
      </c>
      <c r="W29" s="33" t="e">
        <f>+(#REF!*$Q$15)+(#REF!*$Q$17)+(#REF!*$Q$19)+(#REF!*$Q$21)+(#REF!*$Q$23)+(#REF!*$Q$25)+(V27*$Q$27)+(#REF!*#REF!)+(#REF!*#REF!)+(#REF!*#REF!)+(#REF!*#REF!)+(#REF!*#REF!)+(#REF!*#REF!)</f>
        <v>#REF!</v>
      </c>
      <c r="X29" s="33" t="e">
        <f>+(#REF!*$Q$15)+(#REF!*$Q$17)+(#REF!*$Q$19)+(#REF!*$Q$21)+(#REF!*$Q$23)+(#REF!*$Q$25)+(W27*$Q$27)+(#REF!*#REF!)+(#REF!*#REF!)+(#REF!*#REF!)+(#REF!*#REF!)+(#REF!*#REF!)+(#REF!*#REF!)</f>
        <v>#REF!</v>
      </c>
      <c r="Y29" s="33" t="e">
        <f>+(#REF!*$Q$15)+(#REF!*$Q$17)+(#REF!*$Q$19)+(#REF!*$Q$21)+(#REF!*$Q$23)+(#REF!*$Q$25)+(X27*$Q$27)+(#REF!*#REF!)+(#REF!*#REF!)+(#REF!*#REF!)+(#REF!*#REF!)+(#REF!*#REF!)+(#REF!*#REF!)</f>
        <v>#REF!</v>
      </c>
      <c r="Z29" s="33" t="e">
        <f>+(#REF!*$Q$15)+(#REF!*$Q$17)+(#REF!*$Q$19)+(#REF!*$Q$21)+(#REF!*$Q$23)+(#REF!*$Q$25)+(Y27*$Q$27)+(#REF!*#REF!)+(#REF!*#REF!)+(#REF!*#REF!)+(#REF!*#REF!)+(#REF!*#REF!)+(#REF!*#REF!)</f>
        <v>#REF!</v>
      </c>
      <c r="AA29" s="33" t="e">
        <f>+(#REF!*$Q$15)+(#REF!*$Q$17)+(#REF!*$Q$19)+(#REF!*$Q$21)+(#REF!*$Q$23)+(#REF!*$Q$25)+(Z27*$Q$27)+(#REF!*#REF!)+(#REF!*#REF!)+(#REF!*#REF!)+(#REF!*#REF!)+(#REF!*#REF!)+(#REF!*#REF!)</f>
        <v>#REF!</v>
      </c>
      <c r="AB29" s="33" t="e">
        <f>+(#REF!*$Q$15)+(#REF!*$Q$17)+(#REF!*$Q$19)+(#REF!*$Q$21)+(#REF!*$Q$23)+(#REF!*$Q$25)+(AA27*$Q$27)+(#REF!*#REF!)+(#REF!*#REF!)+(#REF!*#REF!)+(#REF!*#REF!)+(#REF!*#REF!)+(#REF!*#REF!)</f>
        <v>#REF!</v>
      </c>
      <c r="AC29" s="36" t="e">
        <f>+(#REF!*$Q$15)+(#REF!*$Q$17)+(#REF!*$Q$19)+(#REF!*$Q$21)+(#REF!*$Q$23)+(#REF!*$Q$25)+(AB27*$Q$27)+(#REF!*#REF!)+(#REF!*#REF!)+(#REF!*#REF!)+(#REF!*#REF!)+(#REF!*#REF!)+(#REF!*#REF!)</f>
        <v>#REF!</v>
      </c>
      <c r="AD29" s="33" t="e">
        <f>+(#REF!*$Q$15)+(#REF!*$Q$17)+(#REF!*$Q$19)+(#REF!*$Q$21)+(#REF!*$Q$23)+(#REF!*$Q$25)+(AC27*$Q$27)+(#REF!*#REF!)+(#REF!*#REF!)+(#REF!*#REF!)+(#REF!*#REF!)+(#REF!*#REF!)+(#REF!*#REF!)</f>
        <v>#REF!</v>
      </c>
      <c r="AE29" s="61"/>
    </row>
    <row r="30" spans="1:35" s="13" customFormat="1" ht="30" hidden="1" customHeight="1">
      <c r="D30" s="332"/>
      <c r="E30" s="332"/>
      <c r="F30" s="21"/>
      <c r="H30" s="329"/>
      <c r="I30" s="15" t="s">
        <v>112</v>
      </c>
      <c r="J30" s="17"/>
      <c r="K30" s="34"/>
      <c r="L30" s="34"/>
      <c r="M30" s="34"/>
      <c r="N30" s="34"/>
      <c r="O30" s="34"/>
      <c r="P30" s="34" t="e">
        <f>SUM(P29:P29)</f>
        <v>#REF!</v>
      </c>
      <c r="Q30" s="37"/>
      <c r="R30" s="34"/>
      <c r="S30" s="34"/>
      <c r="T30" s="27" t="e">
        <f>SUM(Q29:T29)</f>
        <v>#REF!</v>
      </c>
      <c r="U30" s="27"/>
      <c r="V30" s="27"/>
      <c r="W30" s="27"/>
      <c r="X30" s="27" t="e">
        <f>SUM(U29:X29)</f>
        <v>#REF!</v>
      </c>
      <c r="Y30" s="27"/>
      <c r="Z30" s="27"/>
      <c r="AA30" s="27"/>
      <c r="AB30" s="27" t="e">
        <f>SUM(Y29:AB29)</f>
        <v>#REF!</v>
      </c>
      <c r="AC30" s="39"/>
      <c r="AD30" s="27"/>
      <c r="AE30" s="62"/>
    </row>
    <row r="31" spans="1:35" s="13" customFormat="1" ht="30" hidden="1" customHeight="1">
      <c r="H31" s="329"/>
      <c r="I31" s="15" t="s">
        <v>113</v>
      </c>
      <c r="J31" s="14"/>
      <c r="K31" s="34"/>
      <c r="L31" s="34"/>
      <c r="M31" s="34"/>
      <c r="N31" s="34"/>
      <c r="O31" s="34"/>
      <c r="P31" s="34" t="e">
        <f>+#REF!+P30</f>
        <v>#REF!</v>
      </c>
      <c r="Q31" s="37"/>
      <c r="R31" s="34"/>
      <c r="S31" s="34"/>
      <c r="T31" s="26"/>
      <c r="U31" s="27"/>
      <c r="V31" s="27"/>
      <c r="W31" s="27"/>
      <c r="X31" s="27"/>
      <c r="Y31" s="27"/>
      <c r="Z31" s="27"/>
      <c r="AA31" s="27"/>
      <c r="AB31" s="27" t="e">
        <f>+T30+X30+AB30</f>
        <v>#REF!</v>
      </c>
      <c r="AC31" s="39"/>
      <c r="AD31" s="27"/>
      <c r="AE31" s="62"/>
    </row>
    <row r="32" spans="1:35" s="13" customFormat="1" ht="30" hidden="1" customHeight="1">
      <c r="H32" s="330"/>
      <c r="I32" s="18" t="s">
        <v>114</v>
      </c>
      <c r="J32" s="19"/>
      <c r="K32" s="35"/>
      <c r="L32" s="35"/>
      <c r="M32" s="35"/>
      <c r="N32" s="35"/>
      <c r="O32" s="35"/>
      <c r="P32" s="35"/>
      <c r="Q32" s="38"/>
      <c r="R32" s="35"/>
      <c r="S32" s="35"/>
      <c r="T32" s="28"/>
      <c r="U32" s="29"/>
      <c r="V32" s="29"/>
      <c r="W32" s="29"/>
      <c r="X32" s="29"/>
      <c r="Y32" s="29"/>
      <c r="Z32" s="29"/>
      <c r="AA32" s="29"/>
      <c r="AB32" s="29" t="e">
        <f>+P31+AB31</f>
        <v>#REF!</v>
      </c>
      <c r="AC32" s="40"/>
      <c r="AD32" s="29"/>
      <c r="AE32" s="62"/>
    </row>
    <row r="33" spans="8:31" s="13" customFormat="1" ht="30" hidden="1" customHeight="1">
      <c r="H33" s="331" t="s">
        <v>115</v>
      </c>
      <c r="I33" s="15" t="s">
        <v>116</v>
      </c>
      <c r="J33" s="23" t="e">
        <f>SUM(O33:AD33)</f>
        <v>#REF!</v>
      </c>
      <c r="K33" s="34"/>
      <c r="L33" s="34"/>
      <c r="M33" s="34"/>
      <c r="N33" s="34"/>
      <c r="O33" s="34" t="e">
        <f>+(W15*$Q$15)+(W17*$Q$17)+(W19*$Q$19)+(W21*$Q$21)+(#REF!*$Q$23)+(W26*$Q$25)+(#REF!*$Q$27)+(#REF!*#REF!)+(#REF!*#REF!)+(#REF!*#REF!)+(#REF!*#REF!)+(#REF!*#REF!)+(#REF!*#REF!)</f>
        <v>#REF!</v>
      </c>
      <c r="P33" s="34" t="e">
        <f>+(AD15*$Q$15)+(AD17*$Q$17)+(AD19*$Q$19)+(AD21*$Q$21)+(#REF!*$Q$23)+(AD26*$Q$25)+(#REF!*$Q$27)+(#REF!*#REF!)+(#REF!*#REF!)+(#REF!*#REF!)+(#REF!*#REF!)+(#REF!*#REF!)+(#REF!*#REF!)</f>
        <v>#REF!</v>
      </c>
      <c r="Q33" s="37" t="e">
        <f>+(#REF!*$Q$15)+(#REF!*$Q$17)+(#REF!*$Q$19)+(#REF!*$Q$21)+(#REF!*$Q$23)+(#REF!*$Q$25)+(#REF!*$Q$27)+(#REF!*#REF!)+(#REF!*#REF!)+(#REF!*#REF!)+(#REF!*#REF!)+(#REF!*#REF!)+(#REF!*#REF!)</f>
        <v>#REF!</v>
      </c>
      <c r="R33" s="34" t="e">
        <f>+(#REF!*$Q$15)+(#REF!*$Q$17)+(#REF!*$Q$19)+(#REF!*$Q$21)+(#REF!*$Q$23)+(#REF!*$Q$25)+(#REF!*$Q$27)+(#REF!*#REF!)+(#REF!*#REF!)+(#REF!*#REF!)+(#REF!*#REF!)+(#REF!*#REF!)+(#REF!*#REF!)</f>
        <v>#REF!</v>
      </c>
      <c r="S33" s="34" t="e">
        <f>+(#REF!*$Q$15)+(#REF!*$Q$17)+(#REF!*$Q$19)+(#REF!*$Q$21)+(#REF!*$Q$23)+(#REF!*$Q$25)+(#REF!*$Q$27)+(#REF!*#REF!)+(#REF!*#REF!)+(#REF!*#REF!)+(#REF!*#REF!)+(#REF!*#REF!)+(#REF!*#REF!)</f>
        <v>#REF!</v>
      </c>
      <c r="T33" s="34" t="e">
        <f>+(#REF!*$Q$15)+(#REF!*$Q$17)+(#REF!*$Q$19)+(#REF!*$Q$21)+(#REF!*$Q$23)+(#REF!*$Q$25)+(S26*$Q$27)+(#REF!*#REF!)+(#REF!*#REF!)+(#REF!*#REF!)+(#REF!*#REF!)+(#REF!*#REF!)+(#REF!*#REF!)</f>
        <v>#REF!</v>
      </c>
      <c r="U33" s="34" t="e">
        <f>+(#REF!*$Q$15)+(#REF!*$Q$17)+(#REF!*$Q$19)+(#REF!*$Q$21)+(#REF!*$Q$23)+(#REF!*$Q$25)+(#REF!*$Q$27)+(#REF!*#REF!)+(#REF!*#REF!)+(#REF!*#REF!)+(#REF!*#REF!)+(#REF!*#REF!)+(#REF!*#REF!)</f>
        <v>#REF!</v>
      </c>
      <c r="V33" s="34" t="e">
        <f>+(#REF!*$Q$15)+(#REF!*$Q$17)+(#REF!*$Q$19)+(#REF!*$Q$21)+(#REF!*$Q$23)+(#REF!*$Q$25)+(#REF!*$Q$27)+(#REF!*#REF!)+(#REF!*#REF!)+(#REF!*#REF!)+(#REF!*#REF!)+(#REF!*#REF!)+(#REF!*#REF!)</f>
        <v>#REF!</v>
      </c>
      <c r="W33" s="34" t="e">
        <f>+(#REF!*$Q$15)+(#REF!*$Q$17)+(#REF!*$Q$19)+(#REF!*$Q$21)+(#REF!*$Q$23)+(#REF!*$Q$25)+(#REF!*$Q$27)+(#REF!*#REF!)+(#REF!*#REF!)+(#REF!*#REF!)+(#REF!*#REF!)+(#REF!*#REF!)+(#REF!*#REF!)</f>
        <v>#REF!</v>
      </c>
      <c r="X33" s="34" t="e">
        <f>+(#REF!*$Q$15)+(#REF!*$Q$17)+(#REF!*$Q$19)+(#REF!*$Q$21)+(#REF!*$Q$23)+(#REF!*$Q$25)+(#REF!*$Q$27)+(#REF!*#REF!)+(#REF!*#REF!)+(#REF!*#REF!)+(#REF!*#REF!)+(#REF!*#REF!)+(#REF!*#REF!)</f>
        <v>#REF!</v>
      </c>
      <c r="Y33" s="34" t="e">
        <f>+(#REF!*$Q$15)+(#REF!*$Q$17)+(#REF!*$Q$19)+(#REF!*$Q$21)+(#REF!*$Q$23)+(#REF!*$Q$25)+(#REF!*$Q$27)+(#REF!*#REF!)+(#REF!*#REF!)+(#REF!*#REF!)+(#REF!*#REF!)+(#REF!*#REF!)+(#REF!*#REF!)</f>
        <v>#REF!</v>
      </c>
      <c r="Z33" s="34" t="e">
        <f>+(#REF!*$Q$15)+(#REF!*$Q$17)+(#REF!*$Q$19)+(#REF!*$Q$21)+(#REF!*$Q$23)+(#REF!*$Q$25)+(#REF!*$Q$27)+(#REF!*#REF!)+(#REF!*#REF!)+(#REF!*#REF!)+(#REF!*#REF!)+(#REF!*#REF!)+(#REF!*#REF!)</f>
        <v>#REF!</v>
      </c>
      <c r="AA33" s="34" t="e">
        <f>+(#REF!*$Q$15)+(#REF!*$Q$17)+(#REF!*$Q$19)+(#REF!*$Q$21)+(#REF!*$Q$23)+(#REF!*$Q$25)+(#REF!*$Q$27)+(#REF!*#REF!)+(#REF!*#REF!)+(#REF!*#REF!)+(#REF!*#REF!)+(#REF!*#REF!)+(#REF!*#REF!)</f>
        <v>#REF!</v>
      </c>
      <c r="AB33" s="34" t="e">
        <f>+(#REF!*$Q$15)+(#REF!*$Q$17)+(#REF!*$Q$19)+(#REF!*$Q$21)+(#REF!*$Q$23)+(#REF!*$Q$25)+(#REF!*$Q$27)+(#REF!*#REF!)+(#REF!*#REF!)+(#REF!*#REF!)+(#REF!*#REF!)+(#REF!*#REF!)+(#REF!*#REF!)</f>
        <v>#REF!</v>
      </c>
      <c r="AC33" s="37" t="e">
        <f>+(#REF!*$Q$15)+(#REF!*$Q$17)+(#REF!*$Q$19)+(#REF!*$Q$21)+(#REF!*$Q$23)+(#REF!*$Q$25)+(#REF!*$Q$27)+(#REF!*#REF!)+(#REF!*#REF!)+(#REF!*#REF!)+(#REF!*#REF!)+(#REF!*#REF!)+(#REF!*#REF!)</f>
        <v>#REF!</v>
      </c>
      <c r="AD33" s="34" t="e">
        <f>+(#REF!*$Q$15)+(#REF!*$Q$17)+(#REF!*$Q$19)+(#REF!*$Q$21)+(#REF!*$Q$23)+(#REF!*$Q$25)+(#REF!*$Q$27)+(#REF!*#REF!)+(#REF!*#REF!)+(#REF!*#REF!)+(#REF!*#REF!)+(#REF!*#REF!)+(#REF!*#REF!)</f>
        <v>#REF!</v>
      </c>
      <c r="AE33" s="61"/>
    </row>
    <row r="34" spans="8:31" s="13" customFormat="1" ht="30" hidden="1" customHeight="1">
      <c r="H34" s="329"/>
      <c r="I34" s="15" t="s">
        <v>117</v>
      </c>
      <c r="J34" s="16"/>
      <c r="K34" s="34"/>
      <c r="L34" s="34"/>
      <c r="M34" s="34"/>
      <c r="N34" s="34"/>
      <c r="O34" s="34"/>
      <c r="P34" s="34" t="e">
        <f>SUM(P33:P33)</f>
        <v>#REF!</v>
      </c>
      <c r="Q34" s="37"/>
      <c r="R34" s="34"/>
      <c r="S34" s="34"/>
      <c r="T34" s="34" t="e">
        <f>SUM(Q33:T33)</f>
        <v>#REF!</v>
      </c>
      <c r="U34" s="34"/>
      <c r="V34" s="34"/>
      <c r="W34" s="34"/>
      <c r="X34" s="34" t="e">
        <f>SUM(U33:X33)</f>
        <v>#REF!</v>
      </c>
      <c r="Y34" s="34"/>
      <c r="Z34" s="34"/>
      <c r="AA34" s="34"/>
      <c r="AB34" s="34" t="e">
        <f>SUM(Y33:AB33)</f>
        <v>#REF!</v>
      </c>
      <c r="AC34" s="37"/>
      <c r="AD34" s="34"/>
      <c r="AE34" s="61"/>
    </row>
    <row r="35" spans="8:31" s="13" customFormat="1" ht="30" hidden="1" customHeight="1">
      <c r="H35" s="329"/>
      <c r="I35" s="15" t="s">
        <v>118</v>
      </c>
      <c r="J35" s="14"/>
      <c r="K35" s="34"/>
      <c r="L35" s="34"/>
      <c r="M35" s="34"/>
      <c r="N35" s="34"/>
      <c r="O35" s="34"/>
      <c r="P35" s="34" t="e">
        <f>+#REF!+P34</f>
        <v>#REF!</v>
      </c>
      <c r="Q35" s="37"/>
      <c r="R35" s="34"/>
      <c r="S35" s="34"/>
      <c r="T35" s="26"/>
      <c r="U35" s="27"/>
      <c r="V35" s="27"/>
      <c r="W35" s="27"/>
      <c r="X35" s="27"/>
      <c r="Y35" s="27"/>
      <c r="Z35" s="27"/>
      <c r="AA35" s="27"/>
      <c r="AB35" s="27" t="e">
        <f>+T34+X34+AB34</f>
        <v>#REF!</v>
      </c>
      <c r="AC35" s="39"/>
      <c r="AD35" s="27"/>
      <c r="AE35" s="62"/>
    </row>
    <row r="36" spans="8:31" s="13" customFormat="1" ht="30" hidden="1" customHeight="1">
      <c r="H36" s="330"/>
      <c r="I36" s="20" t="s">
        <v>119</v>
      </c>
      <c r="J36" s="19"/>
      <c r="K36" s="35"/>
      <c r="L36" s="35"/>
      <c r="M36" s="35"/>
      <c r="N36" s="35"/>
      <c r="O36" s="35"/>
      <c r="P36" s="35"/>
      <c r="Q36" s="38"/>
      <c r="R36" s="35"/>
      <c r="S36" s="35"/>
      <c r="T36" s="28"/>
      <c r="U36" s="29"/>
      <c r="V36" s="29"/>
      <c r="W36" s="29"/>
      <c r="X36" s="29"/>
      <c r="Y36" s="29"/>
      <c r="Z36" s="29"/>
      <c r="AA36" s="29"/>
      <c r="AB36" s="29" t="e">
        <f>+P35+AB35</f>
        <v>#REF!</v>
      </c>
      <c r="AC36" s="40"/>
      <c r="AD36" s="41"/>
      <c r="AE36" s="62"/>
    </row>
    <row r="37" spans="8:31" ht="30" hidden="1" customHeight="1">
      <c r="H37" s="24"/>
      <c r="I37" s="326" t="s">
        <v>120</v>
      </c>
      <c r="J37" s="326"/>
      <c r="K37" s="46"/>
      <c r="L37" s="46"/>
      <c r="M37" s="46"/>
      <c r="N37" s="46"/>
      <c r="O37" s="46" t="e">
        <f>+O29/O33</f>
        <v>#REF!</v>
      </c>
      <c r="P37" s="47" t="e">
        <f>+(O29+#REF!+#REF!+#REF!+#REF!+#REF!+#REF!+P29)/(O33+#REF!+#REF!+#REF!+#REF!+#REF!+#REF!+P33)</f>
        <v>#REF!</v>
      </c>
      <c r="Q37" s="48" t="e">
        <f>+(O29+#REF!+#REF!+#REF!+#REF!+#REF!+#REF!+P29+Q29)/(O33+#REF!+#REF!+#REF!+#REF!+#REF!+#REF!+P33+Q33)</f>
        <v>#REF!</v>
      </c>
      <c r="R37" s="46" t="e">
        <f>+(O29+#REF!+#REF!+#REF!+#REF!+#REF!+#REF!+P29+Q29+R29)/(O33+#REF!+#REF!+#REF!+#REF!+#REF!+#REF!+P33+Q33+R33)</f>
        <v>#REF!</v>
      </c>
      <c r="S37" s="46" t="e">
        <f>+(O29+#REF!+#REF!+#REF!+#REF!+#REF!+#REF!+P29+Q29+R29+S29)/(O33+#REF!+#REF!+#REF!+#REF!+#REF!+#REF!+P33+Q33+R33+S33)</f>
        <v>#REF!</v>
      </c>
      <c r="T37" s="47" t="e">
        <f>+(O29+#REF!+#REF!+#REF!+#REF!+#REF!+#REF!+P29+Q29+R29+S29+T29)/(O33+#REF!+#REF!+#REF!+#REF!+#REF!+#REF!+P33+Q33+R33+S33+T33)</f>
        <v>#REF!</v>
      </c>
      <c r="U37" s="46" t="e">
        <f>+(O29+#REF!+#REF!+#REF!+#REF!+#REF!+#REF!+P29+Q29+R29+S29+T29+U29)/(O33+#REF!+#REF!+#REF!+#REF!+#REF!+#REF!+P33+Q33+R33+S33+T33+U33)</f>
        <v>#REF!</v>
      </c>
      <c r="V37" s="46" t="e">
        <f>+(O29+#REF!+#REF!+#REF!+#REF!+#REF!+#REF!+P29+Q29+R29+S29+T29+U29+V29)/(O33+#REF!+#REF!+#REF!+#REF!+#REF!+#REF!+P33+Q33+R33+S33+T33+U33+V33)</f>
        <v>#REF!</v>
      </c>
      <c r="W37" s="46" t="e">
        <f>+(O29+#REF!+#REF!+#REF!+#REF!+#REF!+#REF!+P29+Q29+R29+S29+T29+U29+V29+W29)/(O33+#REF!+#REF!+#REF!+#REF!+#REF!+#REF!+P33+Q33+R33+S33+T33+U33+V33+W33)</f>
        <v>#REF!</v>
      </c>
      <c r="X37" s="47" t="e">
        <f>+(O29+#REF!+#REF!+#REF!+#REF!+#REF!+#REF!+P29+Q29+R29+S29+T29+U29+V29+W29+X29)/(O33+#REF!+#REF!+#REF!+#REF!+#REF!+#REF!+P33+Q33+R33+S33+T33+U33+V33+W33+X33)</f>
        <v>#REF!</v>
      </c>
      <c r="Y37" s="46" t="e">
        <f>+(O29+#REF!+#REF!+#REF!+#REF!+#REF!+#REF!+P29+Q29+R29+S29+T29+U29+V29+W29+X29+Y29)/(O33+#REF!+#REF!+#REF!+#REF!+#REF!+#REF!+P33+Q33+R33+S33+T33+U33+V33+W33+X33+Y33)</f>
        <v>#REF!</v>
      </c>
      <c r="Z37" s="46" t="e">
        <f>+(O29+#REF!+#REF!+#REF!+#REF!+#REF!+#REF!+P29+Q29+R29+S29+T29+U29+V29+W29+X29+Y29+Z29)/(O33+#REF!+#REF!+#REF!+#REF!+#REF!+#REF!+P33+Q33+R33+S33+T33+U33+V33+W33+X33+Y33+Z33)</f>
        <v>#REF!</v>
      </c>
      <c r="AA37" s="46" t="e">
        <f>+(O29+#REF!+#REF!+#REF!+#REF!+#REF!+#REF!+P29+Q29+R29+S29+T29+U29+V29+W29+X29+Y29+Z29+AA29)/(O33+#REF!+#REF!+#REF!+#REF!+#REF!+#REF!+P33+Q33+R33+S33+T33+U33+V33+W33+X33+Y33+Z33+AA33)</f>
        <v>#REF!</v>
      </c>
      <c r="AB37" s="47" t="e">
        <f>+(O29+#REF!+#REF!+#REF!+#REF!+#REF!+#REF!+P29+Q29+R29+S29+T29+U29+V29+W29+X29+Y29+Z29+AA29+AB29)/(O33+#REF!+#REF!+#REF!+#REF!+#REF!+#REF!+P33+Q33+R33+S33+T33+U33+V33+W33+X33+Y33+Z33+AA33+AB33)</f>
        <v>#REF!</v>
      </c>
      <c r="AC37" s="48" t="e">
        <f>+(O29+#REF!+#REF!+#REF!+#REF!+#REF!+#REF!+P29+Q29+R29+S29+T29+U29+V29+W29+X29+Y29+Z29+AA29+AB29+AC29)/(O33+#REF!+#REF!+#REF!+#REF!+#REF!+#REF!+P33+Q33+R33+S33+T33+U33+V33+W33+X33+Y33+Z33+AA33+AB33+AC33)</f>
        <v>#REF!</v>
      </c>
      <c r="AD37" s="46" t="e">
        <f>+(O29+#REF!+#REF!+#REF!+#REF!+#REF!+#REF!+P29+Q29+R29+S29+T29+U29+V29+W29+X29+Y29+Z29+AA29+AB29+AC29+AD29)/(O33+#REF!+#REF!+#REF!+#REF!+#REF!+#REF!+P33+Q33+R33+S33+T33+U33+V33+W33+X33+Y33+Z33+AA33+AB33+AC33+AD33)</f>
        <v>#REF!</v>
      </c>
      <c r="AE37" s="63"/>
    </row>
    <row r="38" spans="8:31" ht="30" hidden="1" customHeight="1">
      <c r="H38" s="24"/>
      <c r="I38" s="327" t="s">
        <v>121</v>
      </c>
      <c r="J38" s="327"/>
      <c r="K38" s="47"/>
      <c r="L38" s="47"/>
      <c r="M38" s="47"/>
      <c r="N38" s="47"/>
      <c r="O38" s="47" t="e">
        <f>+O29/$F$29</f>
        <v>#REF!</v>
      </c>
      <c r="P38" s="47" t="e">
        <f>+(O29+#REF!+#REF!+#REF!+#REF!+#REF!+#REF!+P29)/$F$29</f>
        <v>#REF!</v>
      </c>
      <c r="Q38" s="49" t="e">
        <f>+(O29+#REF!+#REF!+#REF!+#REF!+#REF!+#REF!+P29+Q29)/$F$29</f>
        <v>#REF!</v>
      </c>
      <c r="R38" s="47" t="e">
        <f>+(O29+#REF!+#REF!+#REF!+#REF!+#REF!+#REF!+P29+Q29+R29)/$F$29</f>
        <v>#REF!</v>
      </c>
      <c r="S38" s="47" t="e">
        <f>+(O29+#REF!+#REF!+#REF!+#REF!+#REF!+#REF!+P29+Q29+R29+S29)/$F$29</f>
        <v>#REF!</v>
      </c>
      <c r="T38" s="47" t="e">
        <f>+(O29+#REF!+#REF!+#REF!+#REF!+#REF!+#REF!+P29+Q29+R29+S29+T29)/$F$29</f>
        <v>#REF!</v>
      </c>
      <c r="U38" s="47" t="e">
        <f>+(O29+#REF!+#REF!+#REF!+#REF!+#REF!+#REF!+P29+Q29+R29+S29+T29+U29)/$F$29</f>
        <v>#REF!</v>
      </c>
      <c r="V38" s="47" t="e">
        <f>+(O29+#REF!+#REF!+#REF!+#REF!+#REF!+#REF!+P29+Q29+R29+S29+T29+U29+V29)/$F$29</f>
        <v>#REF!</v>
      </c>
      <c r="W38" s="47" t="e">
        <f>+(O29+#REF!+#REF!+#REF!+#REF!+#REF!+#REF!+P29+Q29+R29+S29+T29+U29+V29+W29)/$F$29</f>
        <v>#REF!</v>
      </c>
      <c r="X38" s="47" t="e">
        <f>+(O29+#REF!+#REF!+#REF!+#REF!+#REF!+#REF!+P29+Q29+R29+S29+T29+U29+V29+W29+X29)/$F$29</f>
        <v>#REF!</v>
      </c>
      <c r="Y38" s="47" t="e">
        <f>+(O29+#REF!+#REF!+#REF!+#REF!+#REF!+#REF!+P29+Q29+R29+S29+T29+U29+V29+W29+X29+Y29)/$F$29</f>
        <v>#REF!</v>
      </c>
      <c r="Z38" s="47" t="e">
        <f>+(O29+#REF!+#REF!+#REF!+#REF!+#REF!+#REF!+P29+Q29+R29+S29+T29+U29+V29+W29+X29+Y29+Z29)/$F$29</f>
        <v>#REF!</v>
      </c>
      <c r="AA38" s="47" t="e">
        <f>+(O29+#REF!+#REF!+#REF!+#REF!+#REF!+#REF!+P29+Q29+R29+S29+T29+U29+V29+W29+X29+Y29+Z29+AA29)/$F$29</f>
        <v>#REF!</v>
      </c>
      <c r="AB38" s="47" t="e">
        <f>+(O29+#REF!+#REF!+#REF!+#REF!+#REF!+#REF!+P29+Q29+R29+S29+T29+U29+V29+W29+X29+Y29+Z29+AA29+AB29)/$F$29</f>
        <v>#REF!</v>
      </c>
      <c r="AC38" s="49" t="e">
        <f>+(O29+#REF!+#REF!+#REF!+#REF!+#REF!+#REF!+P29+Q29+R29+S29+T29+U29+V29+W29+X29+Y29+Z29+AA29+AB29+AC29)/$F$29</f>
        <v>#REF!</v>
      </c>
      <c r="AD38" s="47" t="e">
        <f>+(O29+#REF!+#REF!+#REF!+#REF!+#REF!+#REF!+P29+Q29+R29+S29+T29+U29+V29+W29+X29+Y29+Z29+AA29+AB29+AC29+AD29)/$F$29</f>
        <v>#REF!</v>
      </c>
      <c r="AE38" s="64"/>
    </row>
    <row r="39" spans="8:31" ht="30" hidden="1" customHeight="1">
      <c r="I39" s="326" t="s">
        <v>122</v>
      </c>
      <c r="J39" s="326"/>
      <c r="K39" s="50"/>
      <c r="L39" s="50"/>
      <c r="M39" s="50"/>
      <c r="N39" s="50"/>
      <c r="O39" s="50"/>
      <c r="P39" s="47" t="e">
        <f>+P30/P34</f>
        <v>#REF!</v>
      </c>
      <c r="Q39" s="51"/>
      <c r="R39" s="50"/>
      <c r="S39" s="50"/>
      <c r="T39" s="47" t="e">
        <f>+T30/T34</f>
        <v>#REF!</v>
      </c>
      <c r="U39" s="50"/>
      <c r="V39" s="50"/>
      <c r="W39" s="50"/>
      <c r="X39" s="47" t="e">
        <f>+X30/X34</f>
        <v>#REF!</v>
      </c>
      <c r="Y39" s="50"/>
      <c r="Z39" s="50"/>
      <c r="AA39" s="50"/>
      <c r="AB39" s="47" t="e">
        <f>+AB30/AB34</f>
        <v>#REF!</v>
      </c>
      <c r="AC39" s="51"/>
      <c r="AD39" s="50"/>
      <c r="AE39" s="65"/>
    </row>
    <row r="40" spans="8:31" ht="30" hidden="1" customHeight="1">
      <c r="I40" s="327" t="s">
        <v>123</v>
      </c>
      <c r="J40" s="327"/>
      <c r="K40" s="50"/>
      <c r="L40" s="50"/>
      <c r="M40" s="50"/>
      <c r="N40" s="50"/>
      <c r="O40" s="50"/>
      <c r="P40" s="47" t="e">
        <f>+(#REF!+P30)/$F$29</f>
        <v>#REF!</v>
      </c>
      <c r="Q40" s="51"/>
      <c r="R40" s="50"/>
      <c r="S40" s="50"/>
      <c r="T40" s="47" t="e">
        <f>+(#REF!+P30+T30)/$F$29</f>
        <v>#REF!</v>
      </c>
      <c r="U40" s="50"/>
      <c r="V40" s="50"/>
      <c r="W40" s="50"/>
      <c r="X40" s="47" t="e">
        <f>+(#REF!+P30+T30+X30)/$F$29</f>
        <v>#REF!</v>
      </c>
      <c r="Y40" s="50"/>
      <c r="Z40" s="50"/>
      <c r="AA40" s="50"/>
      <c r="AB40" s="47" t="e">
        <f>+(#REF!+P30+T30+X30+AB30)/$F$29</f>
        <v>#REF!</v>
      </c>
      <c r="AC40" s="51"/>
      <c r="AD40" s="50"/>
      <c r="AE40" s="65"/>
    </row>
    <row r="41" spans="8:31" ht="30" hidden="1" customHeight="1">
      <c r="I41" s="326" t="s">
        <v>124</v>
      </c>
      <c r="J41" s="326"/>
      <c r="K41" s="50"/>
      <c r="L41" s="50"/>
      <c r="M41" s="50"/>
      <c r="N41" s="50"/>
      <c r="O41" s="50"/>
      <c r="P41" s="47" t="e">
        <f>+(#REF!+P30)/(#REF!+P34)</f>
        <v>#REF!</v>
      </c>
      <c r="Q41" s="51"/>
      <c r="R41" s="50"/>
      <c r="S41" s="50"/>
      <c r="T41" s="50"/>
      <c r="U41" s="50"/>
      <c r="V41" s="50"/>
      <c r="W41" s="50"/>
      <c r="X41" s="50"/>
      <c r="Y41" s="50"/>
      <c r="Z41" s="50"/>
      <c r="AA41" s="50"/>
      <c r="AB41" s="47" t="e">
        <f>+(#REF!+P30+T30+X30+AB30)/(#REF!+P34+T34+X34+AB34)</f>
        <v>#REF!</v>
      </c>
      <c r="AC41" s="51"/>
      <c r="AD41" s="50"/>
      <c r="AE41" s="65"/>
    </row>
    <row r="42" spans="8:31" ht="30" hidden="1" customHeight="1">
      <c r="I42" s="326" t="s">
        <v>125</v>
      </c>
      <c r="J42" s="326"/>
      <c r="K42" s="50"/>
      <c r="L42" s="50"/>
      <c r="M42" s="50"/>
      <c r="N42" s="50"/>
      <c r="O42" s="50"/>
      <c r="P42" s="47" t="e">
        <f>+(#REF!+P30)/$F$29</f>
        <v>#REF!</v>
      </c>
      <c r="Q42" s="51"/>
      <c r="R42" s="50"/>
      <c r="S42" s="50"/>
      <c r="T42" s="50"/>
      <c r="U42" s="50"/>
      <c r="V42" s="50"/>
      <c r="W42" s="50"/>
      <c r="X42" s="50"/>
      <c r="Y42" s="50"/>
      <c r="Z42" s="50"/>
      <c r="AA42" s="50"/>
      <c r="AB42" s="47" t="e">
        <f>+(+#REF!+P30+T30+X30+AB30)/$F$29</f>
        <v>#REF!</v>
      </c>
      <c r="AC42" s="51"/>
      <c r="AD42" s="50"/>
      <c r="AE42" s="65"/>
    </row>
    <row r="43" spans="8:31" ht="15" hidden="1" customHeight="1"/>
    <row r="44" spans="8:31" ht="35.1" hidden="1" customHeight="1">
      <c r="H44" s="325" t="s">
        <v>126</v>
      </c>
      <c r="I44" s="325"/>
      <c r="J44" s="30" t="e">
        <f>+#REF!</f>
        <v>#REF!</v>
      </c>
      <c r="K44" s="32"/>
      <c r="L44" s="32"/>
      <c r="M44" s="32"/>
      <c r="N44" s="32"/>
      <c r="O44" s="32"/>
    </row>
    <row r="45" spans="8:31" ht="35.1" hidden="1" customHeight="1">
      <c r="H45" s="325" t="s">
        <v>127</v>
      </c>
      <c r="I45" s="325"/>
      <c r="J45" s="25">
        <f>+F29</f>
        <v>1</v>
      </c>
      <c r="K45" s="32"/>
      <c r="L45" s="32"/>
      <c r="M45" s="32"/>
      <c r="N45" s="32"/>
      <c r="O45" s="32"/>
    </row>
    <row r="46" spans="8:31" ht="35.1" hidden="1" customHeight="1">
      <c r="H46" s="325" t="s">
        <v>128</v>
      </c>
      <c r="I46" s="325"/>
      <c r="J46" s="31" t="e">
        <f>+J44/J45</f>
        <v>#REF!</v>
      </c>
      <c r="K46" s="32"/>
      <c r="L46" s="32"/>
      <c r="M46" s="32"/>
      <c r="N46" s="32"/>
      <c r="O46" s="32"/>
    </row>
    <row r="47" spans="8:31" ht="15" customHeight="1">
      <c r="K47" s="32"/>
      <c r="L47" s="32"/>
      <c r="M47" s="32"/>
      <c r="N47" s="32"/>
      <c r="O47" s="32"/>
    </row>
    <row r="48" spans="8:31" ht="15" customHeight="1">
      <c r="K48" s="32"/>
      <c r="L48" s="32"/>
      <c r="M48" s="32"/>
      <c r="N48" s="32"/>
      <c r="O48" s="32"/>
    </row>
    <row r="49" spans="11:15" ht="15" customHeight="1">
      <c r="K49" s="32"/>
      <c r="L49" s="32"/>
      <c r="M49" s="32"/>
      <c r="N49" s="32"/>
      <c r="O49" s="32"/>
    </row>
  </sheetData>
  <mergeCells count="205">
    <mergeCell ref="D30:E30"/>
    <mergeCell ref="D29:E29"/>
    <mergeCell ref="H44:I44"/>
    <mergeCell ref="H45:I45"/>
    <mergeCell ref="I42:J42"/>
    <mergeCell ref="I41:J41"/>
    <mergeCell ref="I38:J38"/>
    <mergeCell ref="I39:J39"/>
    <mergeCell ref="I40:J40"/>
    <mergeCell ref="H46:I46"/>
    <mergeCell ref="H29:H32"/>
    <mergeCell ref="H33:H36"/>
    <mergeCell ref="I37:J37"/>
    <mergeCell ref="AF22:AF23"/>
    <mergeCell ref="AF20:AF21"/>
    <mergeCell ref="AF18:AF19"/>
    <mergeCell ref="AG14:AG15"/>
    <mergeCell ref="J14:J15"/>
    <mergeCell ref="K14:K15"/>
    <mergeCell ref="L14:L15"/>
    <mergeCell ref="M14:M15"/>
    <mergeCell ref="N14:N15"/>
    <mergeCell ref="O14:O15"/>
    <mergeCell ref="J16:J17"/>
    <mergeCell ref="AF16:AF17"/>
    <mergeCell ref="A11:F11"/>
    <mergeCell ref="G11:O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E16:E17"/>
    <mergeCell ref="F16:F17"/>
    <mergeCell ref="G16:G17"/>
    <mergeCell ref="H16:H17"/>
    <mergeCell ref="I16:I17"/>
    <mergeCell ref="A14:A15"/>
    <mergeCell ref="B14:B15"/>
    <mergeCell ref="C14:C15"/>
    <mergeCell ref="D14:D15"/>
    <mergeCell ref="E14:E15"/>
    <mergeCell ref="F14:F15"/>
    <mergeCell ref="G14:G15"/>
    <mergeCell ref="H14:H15"/>
    <mergeCell ref="I14:I15"/>
    <mergeCell ref="K16:K17"/>
    <mergeCell ref="L16:L17"/>
    <mergeCell ref="M16:M17"/>
    <mergeCell ref="N16:N17"/>
    <mergeCell ref="O16:O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A16:A17"/>
    <mergeCell ref="B16:B17"/>
    <mergeCell ref="C16:C17"/>
    <mergeCell ref="D16:D17"/>
    <mergeCell ref="N22:N23"/>
    <mergeCell ref="O22:O23"/>
    <mergeCell ref="A20:A21"/>
    <mergeCell ref="B20:B21"/>
    <mergeCell ref="C20:C21"/>
    <mergeCell ref="D20:D21"/>
    <mergeCell ref="E20:E21"/>
    <mergeCell ref="F20:F21"/>
    <mergeCell ref="G20:G21"/>
    <mergeCell ref="H20:H21"/>
    <mergeCell ref="I20:I21"/>
    <mergeCell ref="E22:E23"/>
    <mergeCell ref="F22:F23"/>
    <mergeCell ref="G22:G23"/>
    <mergeCell ref="H22:H23"/>
    <mergeCell ref="I22:I23"/>
    <mergeCell ref="J22:J23"/>
    <mergeCell ref="K22:K23"/>
    <mergeCell ref="L22:L23"/>
    <mergeCell ref="M22:M23"/>
    <mergeCell ref="J26:J27"/>
    <mergeCell ref="K26:K27"/>
    <mergeCell ref="L26:L27"/>
    <mergeCell ref="M26:M27"/>
    <mergeCell ref="N26:N27"/>
    <mergeCell ref="O26:O27"/>
    <mergeCell ref="A24:A25"/>
    <mergeCell ref="B24:B25"/>
    <mergeCell ref="C24:C25"/>
    <mergeCell ref="D24:D25"/>
    <mergeCell ref="E24:E25"/>
    <mergeCell ref="F24:F25"/>
    <mergeCell ref="G24:G25"/>
    <mergeCell ref="H24:H25"/>
    <mergeCell ref="I24:I25"/>
    <mergeCell ref="A26:A27"/>
    <mergeCell ref="B26:B27"/>
    <mergeCell ref="C26:C27"/>
    <mergeCell ref="D26:D27"/>
    <mergeCell ref="E26:E27"/>
    <mergeCell ref="F26:F27"/>
    <mergeCell ref="G26:G27"/>
    <mergeCell ref="H26:H27"/>
    <mergeCell ref="I26:I27"/>
    <mergeCell ref="G4:G5"/>
    <mergeCell ref="K6:L10"/>
    <mergeCell ref="A4:A5"/>
    <mergeCell ref="N6:O10"/>
    <mergeCell ref="A1:C3"/>
    <mergeCell ref="A6:B10"/>
    <mergeCell ref="C6:D10"/>
    <mergeCell ref="E6:F10"/>
    <mergeCell ref="J24:J25"/>
    <mergeCell ref="K24:K25"/>
    <mergeCell ref="L24:L25"/>
    <mergeCell ref="M24:M25"/>
    <mergeCell ref="N24:N25"/>
    <mergeCell ref="O24:O25"/>
    <mergeCell ref="J20:J21"/>
    <mergeCell ref="K20:K21"/>
    <mergeCell ref="L20:L21"/>
    <mergeCell ref="M20:M21"/>
    <mergeCell ref="N20:N21"/>
    <mergeCell ref="O20:O21"/>
    <mergeCell ref="A22:A23"/>
    <mergeCell ref="B22:B23"/>
    <mergeCell ref="C22:C23"/>
    <mergeCell ref="D22:D23"/>
    <mergeCell ref="X12:X13"/>
    <mergeCell ref="S6:V10"/>
    <mergeCell ref="W6:Z10"/>
    <mergeCell ref="AA6:AD10"/>
    <mergeCell ref="G6:G10"/>
    <mergeCell ref="H6:I10"/>
    <mergeCell ref="J6:J10"/>
    <mergeCell ref="M6:M10"/>
    <mergeCell ref="P6:R10"/>
    <mergeCell ref="AI22:AI23"/>
    <mergeCell ref="AI24:AI25"/>
    <mergeCell ref="AI26:AI27"/>
    <mergeCell ref="AH12:AH13"/>
    <mergeCell ref="AI12:AI13"/>
    <mergeCell ref="P11:AE11"/>
    <mergeCell ref="AF11:AI11"/>
    <mergeCell ref="AE12:AE13"/>
    <mergeCell ref="AF12:AF13"/>
    <mergeCell ref="AG12:AG13"/>
    <mergeCell ref="Y12:Y13"/>
    <mergeCell ref="Z12:Z13"/>
    <mergeCell ref="AA12:AA13"/>
    <mergeCell ref="AB12:AB13"/>
    <mergeCell ref="AC12:AC13"/>
    <mergeCell ref="AD12:AD13"/>
    <mergeCell ref="P12:P13"/>
    <mergeCell ref="Q12:Q13"/>
    <mergeCell ref="R12:R13"/>
    <mergeCell ref="S12:S13"/>
    <mergeCell ref="T12:T13"/>
    <mergeCell ref="U12:U13"/>
    <mergeCell ref="V12:V13"/>
    <mergeCell ref="W12:W13"/>
    <mergeCell ref="D1:AI3"/>
    <mergeCell ref="AE6:AF10"/>
    <mergeCell ref="AG6:AG10"/>
    <mergeCell ref="AH6:AH10"/>
    <mergeCell ref="AH14:AH15"/>
    <mergeCell ref="AI14:AI15"/>
    <mergeCell ref="AF14:AF15"/>
    <mergeCell ref="AF24:AF25"/>
    <mergeCell ref="AF26:AF27"/>
    <mergeCell ref="AG16:AG17"/>
    <mergeCell ref="AG18:AG19"/>
    <mergeCell ref="AG20:AG21"/>
    <mergeCell ref="AG22:AG23"/>
    <mergeCell ref="AG24:AG25"/>
    <mergeCell ref="AG26:AG27"/>
    <mergeCell ref="AH16:AH17"/>
    <mergeCell ref="AH18:AH19"/>
    <mergeCell ref="AH20:AH21"/>
    <mergeCell ref="AH22:AH23"/>
    <mergeCell ref="AH24:AH25"/>
    <mergeCell ref="AH26:AH27"/>
    <mergeCell ref="AI16:AI17"/>
    <mergeCell ref="AI18:AI19"/>
    <mergeCell ref="AI20:AI21"/>
  </mergeCells>
  <phoneticPr fontId="9" type="noConversion"/>
  <conditionalFormatting sqref="J46 P37:P42 T37:T40 X37:X40 AB37:AB42 K38:AE38">
    <cfRule type="cellIs" dxfId="161" priority="619" operator="greaterThanOrEqual">
      <formula>$D$9</formula>
    </cfRule>
    <cfRule type="cellIs" dxfId="160" priority="620" operator="lessThanOrEqual">
      <formula>$C$6</formula>
    </cfRule>
    <cfRule type="cellIs" dxfId="159" priority="621" operator="between">
      <formula>$C$6</formula>
      <formula>$D$9</formula>
    </cfRule>
  </conditionalFormatting>
  <conditionalFormatting sqref="J6">
    <cfRule type="cellIs" dxfId="158" priority="105" operator="greaterThanOrEqual">
      <formula>$C$5</formula>
    </cfRule>
    <cfRule type="cellIs" dxfId="157" priority="106" operator="lessThanOrEqual">
      <formula>$C$4</formula>
    </cfRule>
    <cfRule type="cellIs" dxfId="156" priority="107" operator="between">
      <formula>$C$5</formula>
      <formula>$C$4</formula>
    </cfRule>
  </conditionalFormatting>
  <conditionalFormatting sqref="I4">
    <cfRule type="cellIs" dxfId="155" priority="97" operator="lessThanOrEqual">
      <formula>$C$4</formula>
    </cfRule>
  </conditionalFormatting>
  <conditionalFormatting sqref="P6">
    <cfRule type="cellIs" dxfId="154" priority="93" operator="greaterThanOrEqual">
      <formula>$I$5</formula>
    </cfRule>
    <cfRule type="cellIs" dxfId="153" priority="94" operator="lessThanOrEqual">
      <formula>$I$4</formula>
    </cfRule>
    <cfRule type="cellIs" dxfId="152" priority="95" operator="between">
      <formula>$I$5</formula>
      <formula>$I$4</formula>
    </cfRule>
  </conditionalFormatting>
  <conditionalFormatting sqref="R14:R27">
    <cfRule type="cellIs" dxfId="151" priority="10" operator="greaterThanOrEqual">
      <formula>$C$5</formula>
    </cfRule>
    <cfRule type="cellIs" dxfId="150" priority="11" operator="lessThanOrEqual">
      <formula>$C$4</formula>
    </cfRule>
    <cfRule type="cellIs" dxfId="149" priority="12" operator="between">
      <formula>$C$5</formula>
      <formula>$C$4</formula>
    </cfRule>
  </conditionalFormatting>
  <conditionalFormatting sqref="W6">
    <cfRule type="cellIs" dxfId="148" priority="7" operator="greaterThanOrEqual">
      <formula>$I$5</formula>
    </cfRule>
    <cfRule type="cellIs" dxfId="147" priority="8" operator="lessThanOrEqual">
      <formula>$I$4</formula>
    </cfRule>
    <cfRule type="cellIs" dxfId="146" priority="9" operator="between">
      <formula>$I$5</formula>
      <formula>$I$4</formula>
    </cfRule>
  </conditionalFormatting>
  <conditionalFormatting sqref="AE6">
    <cfRule type="cellIs" dxfId="145" priority="4" operator="greaterThanOrEqual">
      <formula>$I$5</formula>
    </cfRule>
    <cfRule type="cellIs" dxfId="144" priority="5" operator="lessThanOrEqual">
      <formula>$I$4</formula>
    </cfRule>
    <cfRule type="cellIs" dxfId="143" priority="6" operator="between">
      <formula>$I$5</formula>
      <formula>$I$4</formula>
    </cfRule>
  </conditionalFormatting>
  <conditionalFormatting sqref="AH6">
    <cfRule type="cellIs" dxfId="142" priority="1" operator="greaterThanOrEqual">
      <formula>$I$5</formula>
    </cfRule>
    <cfRule type="cellIs" dxfId="141" priority="2" operator="lessThanOrEqual">
      <formula>$I$4</formula>
    </cfRule>
    <cfRule type="cellIs" dxfId="140" priority="3" operator="between">
      <formula>$I$5</formula>
      <formula>$I$4</formula>
    </cfRule>
  </conditionalFormatting>
  <dataValidations xWindow="1526" yWindow="674" count="4">
    <dataValidation type="decimal" allowBlank="1" showInputMessage="1" showErrorMessage="1" prompt="valor porcentual de la activida - Indique el peso porcentual de la actividad dentro del proyecto" sqref="Q14 Q24 Q20 Q18 Q22 Q16 Q26" xr:uid="{00000000-0002-0000-0100-000003000000}">
      <formula1>0</formula1>
      <formula2>1</formula2>
    </dataValidation>
    <dataValidation type="decimal" allowBlank="1" showInputMessage="1" showErrorMessage="1" prompt="campo calculado  - indica el % de avance  que aporta la activadad a todo el proyecto" sqref="Q25 Q23 Q21 Q15 Q19 Q17 Q27" xr:uid="{00000000-0002-0000-0100-000006000000}">
      <formula1>0</formula1>
      <formula2>1</formula2>
    </dataValidation>
    <dataValidation type="decimal" allowBlank="1" showInputMessage="1" showErrorMessage="1" prompt="% de avance en la actividad - indique el % programado de avance durante esta semana_x000a_" sqref="S14:U23 S25:U27 V14:AE27" xr:uid="{00000000-0002-0000-0100-000007000000}">
      <formula1>0</formula1>
      <formula2>1</formula2>
    </dataValidation>
    <dataValidation allowBlank="1" showErrorMessage="1" sqref="R14:R27" xr:uid="{EC83102E-B98D-4DA6-8816-AD063C239582}"/>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F22-B3B3-4045-8856-ACFFB1302C97}">
  <dimension ref="A1:BH35"/>
  <sheetViews>
    <sheetView showGridLines="0" view="pageBreakPreview" zoomScale="59" zoomScaleNormal="10" zoomScaleSheetLayoutView="59" zoomScalePageLayoutView="48" workbookViewId="0">
      <selection activeCell="A14" sqref="A14:A15"/>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5" width="18.140625" style="1" customWidth="1"/>
    <col min="16" max="18" width="13.85546875" style="1" customWidth="1"/>
    <col min="19" max="31" width="9.5703125" style="1" customWidth="1"/>
    <col min="32" max="32" width="35.85546875" style="1" customWidth="1"/>
    <col min="33" max="35" width="42.5703125" style="1" customWidth="1"/>
    <col min="36" max="16384" width="12.5703125" style="1"/>
  </cols>
  <sheetData>
    <row r="1" spans="1:60" s="55" customFormat="1" ht="15" customHeight="1">
      <c r="A1" s="290"/>
      <c r="B1" s="291"/>
      <c r="C1" s="292"/>
      <c r="D1" s="221" t="s">
        <v>129</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69"/>
      <c r="AK2" s="69"/>
      <c r="AL2" s="69"/>
      <c r="AM2" s="69"/>
      <c r="AN2" s="69"/>
      <c r="AO2" s="69"/>
      <c r="AP2" s="69"/>
      <c r="AQ2" s="69"/>
      <c r="AR2" s="69"/>
      <c r="AS2" s="69"/>
      <c r="AT2" s="69"/>
      <c r="AU2" s="69"/>
      <c r="AV2" s="69"/>
      <c r="AW2" s="69"/>
      <c r="AX2" s="69"/>
      <c r="AY2" s="69"/>
      <c r="AZ2" s="69"/>
      <c r="BA2" s="69"/>
      <c r="BB2" s="69"/>
      <c r="BC2" s="69"/>
      <c r="BD2" s="69"/>
      <c r="BE2" s="69"/>
      <c r="BF2" s="69"/>
      <c r="BG2" s="69"/>
      <c r="BH2" s="69"/>
    </row>
    <row r="3" spans="1:60"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69"/>
      <c r="AK3" s="69"/>
      <c r="AL3" s="69"/>
      <c r="AM3" s="69"/>
      <c r="AN3" s="69"/>
      <c r="AO3" s="69"/>
      <c r="AP3" s="69"/>
      <c r="AQ3" s="69"/>
      <c r="AR3" s="69"/>
      <c r="AS3" s="69"/>
      <c r="AT3" s="69"/>
      <c r="AU3" s="69"/>
      <c r="AV3" s="69"/>
      <c r="AW3" s="69"/>
      <c r="AX3" s="69"/>
      <c r="AY3" s="69"/>
      <c r="AZ3" s="69"/>
      <c r="BA3" s="69"/>
      <c r="BB3" s="69"/>
      <c r="BC3" s="69"/>
      <c r="BD3" s="69"/>
      <c r="BE3" s="69"/>
      <c r="BF3" s="69"/>
      <c r="BG3" s="69"/>
      <c r="BH3" s="69"/>
    </row>
    <row r="4" spans="1:60" s="55" customFormat="1" ht="60" hidden="1" customHeigh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row>
    <row r="5" spans="1:60" s="55" customFormat="1" ht="60" hidden="1" customHeight="1" thickBo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row>
    <row r="6" spans="1:60" ht="20.100000000000001" customHeight="1">
      <c r="A6" s="289" t="s">
        <v>11</v>
      </c>
      <c r="B6" s="289"/>
      <c r="C6" s="341" t="s">
        <v>130</v>
      </c>
      <c r="D6" s="299"/>
      <c r="E6" s="274" t="s">
        <v>13</v>
      </c>
      <c r="F6" s="274"/>
      <c r="G6" s="271">
        <f>+Q15+Q17+Q19+Q21+Q23+Q25+Q27+Q29+Q31+Q33+Q35</f>
        <v>1.0000000000000002</v>
      </c>
      <c r="H6" s="274" t="s">
        <v>14</v>
      </c>
      <c r="I6" s="274"/>
      <c r="J6" s="275">
        <f>+Q14+Q16+Q18+Q20+Q22+Q24+Q26+Q28+Q30+Q32+Q34</f>
        <v>0</v>
      </c>
      <c r="K6" s="283" t="s">
        <v>15</v>
      </c>
      <c r="L6" s="284"/>
      <c r="M6" s="278">
        <v>0.95</v>
      </c>
      <c r="N6" s="289" t="s">
        <v>16</v>
      </c>
      <c r="O6" s="289"/>
      <c r="P6" s="281">
        <f>(SUM(V14,V16,V18,V20,V22,T24:V24,V26,V28,T30:V30,T32:V32,T34:V34)/SUM(V15,V17,V19,V21,V23,V25))</f>
        <v>0</v>
      </c>
      <c r="Q6" s="281"/>
      <c r="R6" s="281"/>
      <c r="S6" s="228" t="s">
        <v>17</v>
      </c>
      <c r="T6" s="256"/>
      <c r="U6" s="256"/>
      <c r="V6" s="257"/>
      <c r="W6" s="262">
        <f>SUM(Y14,Y16,Y18,Y20,Y22,W24:Y24,Y26,Y28,W30:Y30,W32:Y32,W34:Y34)/SUM(Y15,Y17,Y19,Y21,Y23,W25:Y25,Y27,Y29,W31:Y31,W33:Y33,W35:Y35)</f>
        <v>0</v>
      </c>
      <c r="X6" s="263"/>
      <c r="Y6" s="263"/>
      <c r="Z6" s="264"/>
      <c r="AA6" s="228" t="s">
        <v>18</v>
      </c>
      <c r="AB6" s="256"/>
      <c r="AC6" s="256"/>
      <c r="AD6" s="257"/>
      <c r="AE6" s="262">
        <f>SUM(AB14,AB16,AB18,AB20,AB22,Z24:AB24,Z30:AB30,Z32:AB32,Z34:AB34)/SUM(AB15,AB17,AB19,AB21,AB23,Z25:AB25,Z31:AB31,Z33:AB33,Z35:AB35)</f>
        <v>0</v>
      </c>
      <c r="AF6" s="263"/>
      <c r="AG6" s="228" t="s">
        <v>19</v>
      </c>
      <c r="AH6" s="262">
        <f>SUM(AE14,AE16,AE18,AE20,AE22,AC24:AE24,AC30:AE30,AC32:AE32,AC34:AE34,AE26,AE28)/SUM(AE15,AE17,AE19,AE21,AE23,AC25:AE25,AC31:AE31,AC33:AE33,AC35:AE35,AE27,AE29)</f>
        <v>0</v>
      </c>
    </row>
    <row r="7" spans="1:60" ht="15" customHeight="1">
      <c r="A7" s="289"/>
      <c r="B7" s="289"/>
      <c r="C7" s="299"/>
      <c r="D7" s="299"/>
      <c r="E7" s="274"/>
      <c r="F7" s="274"/>
      <c r="G7" s="272"/>
      <c r="H7" s="274"/>
      <c r="I7" s="274"/>
      <c r="J7" s="276"/>
      <c r="K7" s="285"/>
      <c r="L7" s="286"/>
      <c r="M7" s="279"/>
      <c r="N7" s="289"/>
      <c r="O7" s="289"/>
      <c r="P7" s="281"/>
      <c r="Q7" s="281"/>
      <c r="R7" s="281"/>
      <c r="S7" s="229"/>
      <c r="T7" s="258"/>
      <c r="U7" s="258"/>
      <c r="V7" s="259"/>
      <c r="W7" s="265"/>
      <c r="X7" s="266"/>
      <c r="Y7" s="266"/>
      <c r="Z7" s="267"/>
      <c r="AA7" s="229"/>
      <c r="AB7" s="258"/>
      <c r="AC7" s="258"/>
      <c r="AD7" s="259"/>
      <c r="AE7" s="265"/>
      <c r="AF7" s="266"/>
      <c r="AG7" s="229"/>
      <c r="AH7" s="265"/>
    </row>
    <row r="8" spans="1:60" ht="24.95" hidden="1" customHeight="1" thickBot="1">
      <c r="A8" s="289"/>
      <c r="B8" s="289"/>
      <c r="C8" s="299"/>
      <c r="D8" s="299"/>
      <c r="E8" s="274"/>
      <c r="F8" s="274"/>
      <c r="G8" s="272"/>
      <c r="H8" s="274"/>
      <c r="I8" s="274"/>
      <c r="J8" s="276"/>
      <c r="K8" s="285"/>
      <c r="L8" s="286"/>
      <c r="M8" s="279"/>
      <c r="N8" s="289"/>
      <c r="O8" s="289"/>
      <c r="P8" s="281"/>
      <c r="Q8" s="281"/>
      <c r="R8" s="281"/>
      <c r="S8" s="229"/>
      <c r="T8" s="258"/>
      <c r="U8" s="258"/>
      <c r="V8" s="259"/>
      <c r="W8" s="265"/>
      <c r="X8" s="266"/>
      <c r="Y8" s="266"/>
      <c r="Z8" s="267"/>
      <c r="AA8" s="229"/>
      <c r="AB8" s="258"/>
      <c r="AC8" s="258"/>
      <c r="AD8" s="259"/>
      <c r="AE8" s="265"/>
      <c r="AF8" s="266"/>
      <c r="AG8" s="229"/>
      <c r="AH8" s="265"/>
    </row>
    <row r="9" spans="1:60" ht="24.95" hidden="1" customHeight="1" thickBot="1">
      <c r="A9" s="289"/>
      <c r="B9" s="289"/>
      <c r="C9" s="299"/>
      <c r="D9" s="299"/>
      <c r="E9" s="274"/>
      <c r="F9" s="274"/>
      <c r="G9" s="272"/>
      <c r="H9" s="274"/>
      <c r="I9" s="274"/>
      <c r="J9" s="276"/>
      <c r="K9" s="285"/>
      <c r="L9" s="286"/>
      <c r="M9" s="279"/>
      <c r="N9" s="289"/>
      <c r="O9" s="289"/>
      <c r="P9" s="281"/>
      <c r="Q9" s="281"/>
      <c r="R9" s="281"/>
      <c r="S9" s="229"/>
      <c r="T9" s="258"/>
      <c r="U9" s="258"/>
      <c r="V9" s="259"/>
      <c r="W9" s="265"/>
      <c r="X9" s="266"/>
      <c r="Y9" s="266"/>
      <c r="Z9" s="267"/>
      <c r="AA9" s="229"/>
      <c r="AB9" s="258"/>
      <c r="AC9" s="258"/>
      <c r="AD9" s="259"/>
      <c r="AE9" s="265"/>
      <c r="AF9" s="266"/>
      <c r="AG9" s="229"/>
      <c r="AH9" s="265"/>
    </row>
    <row r="10" spans="1:60" ht="15" customHeight="1" thickBot="1">
      <c r="A10" s="289"/>
      <c r="B10" s="289"/>
      <c r="C10" s="299"/>
      <c r="D10" s="299"/>
      <c r="E10" s="274"/>
      <c r="F10" s="274"/>
      <c r="G10" s="273"/>
      <c r="H10" s="274"/>
      <c r="I10" s="274"/>
      <c r="J10" s="277"/>
      <c r="K10" s="287"/>
      <c r="L10" s="288"/>
      <c r="M10" s="280"/>
      <c r="N10" s="289"/>
      <c r="O10" s="289"/>
      <c r="P10" s="281"/>
      <c r="Q10" s="281"/>
      <c r="R10" s="281"/>
      <c r="S10" s="230"/>
      <c r="T10" s="260"/>
      <c r="U10" s="260"/>
      <c r="V10" s="261"/>
      <c r="W10" s="268"/>
      <c r="X10" s="269"/>
      <c r="Y10" s="269"/>
      <c r="Z10" s="270"/>
      <c r="AA10" s="230"/>
      <c r="AB10" s="260"/>
      <c r="AC10" s="260"/>
      <c r="AD10" s="261"/>
      <c r="AE10" s="268"/>
      <c r="AF10" s="269"/>
      <c r="AG10" s="230"/>
      <c r="AH10" s="268"/>
    </row>
    <row r="11" spans="1:60" s="12" customFormat="1" ht="39.950000000000003" customHeight="1" thickBot="1">
      <c r="A11" s="314" t="s">
        <v>20</v>
      </c>
      <c r="B11" s="314"/>
      <c r="C11" s="314"/>
      <c r="D11" s="314"/>
      <c r="E11" s="314"/>
      <c r="F11" s="315"/>
      <c r="G11" s="316" t="s">
        <v>21</v>
      </c>
      <c r="H11" s="317"/>
      <c r="I11" s="317"/>
      <c r="J11" s="317"/>
      <c r="K11" s="317"/>
      <c r="L11" s="317"/>
      <c r="M11" s="317"/>
      <c r="N11" s="317"/>
      <c r="O11" s="318"/>
      <c r="P11" s="238" t="s">
        <v>22</v>
      </c>
      <c r="Q11" s="239"/>
      <c r="R11" s="239"/>
      <c r="S11" s="239"/>
      <c r="T11" s="239"/>
      <c r="U11" s="239"/>
      <c r="V11" s="239"/>
      <c r="W11" s="239"/>
      <c r="X11" s="239"/>
      <c r="Y11" s="239"/>
      <c r="Z11" s="239"/>
      <c r="AA11" s="239"/>
      <c r="AB11" s="239"/>
      <c r="AC11" s="239"/>
      <c r="AD11" s="239"/>
      <c r="AE11" s="240"/>
      <c r="AF11" s="238" t="s">
        <v>23</v>
      </c>
      <c r="AG11" s="239"/>
      <c r="AH11" s="239"/>
      <c r="AI11" s="239"/>
    </row>
    <row r="12" spans="1:60" ht="39" customHeight="1">
      <c r="A12" s="319" t="s">
        <v>24</v>
      </c>
      <c r="B12" s="321" t="s">
        <v>25</v>
      </c>
      <c r="C12" s="321" t="s">
        <v>26</v>
      </c>
      <c r="D12" s="321" t="s">
        <v>27</v>
      </c>
      <c r="E12" s="321" t="s">
        <v>28</v>
      </c>
      <c r="F12" s="321" t="s">
        <v>29</v>
      </c>
      <c r="G12" s="321" t="s">
        <v>30</v>
      </c>
      <c r="H12" s="322" t="s">
        <v>31</v>
      </c>
      <c r="I12" s="319" t="s">
        <v>32</v>
      </c>
      <c r="J12" s="319" t="s">
        <v>33</v>
      </c>
      <c r="K12" s="319" t="s">
        <v>34</v>
      </c>
      <c r="L12" s="319" t="s">
        <v>35</v>
      </c>
      <c r="M12" s="319" t="s">
        <v>36</v>
      </c>
      <c r="N12" s="319" t="s">
        <v>37</v>
      </c>
      <c r="O12" s="321" t="s">
        <v>38</v>
      </c>
      <c r="P12" s="251" t="s">
        <v>39</v>
      </c>
      <c r="Q12" s="252" t="s">
        <v>40</v>
      </c>
      <c r="R12" s="253" t="s">
        <v>41</v>
      </c>
      <c r="S12" s="247" t="s">
        <v>42</v>
      </c>
      <c r="T12" s="245" t="s">
        <v>43</v>
      </c>
      <c r="U12" s="243" t="s">
        <v>44</v>
      </c>
      <c r="V12" s="249" t="s">
        <v>45</v>
      </c>
      <c r="W12" s="254" t="s">
        <v>46</v>
      </c>
      <c r="X12" s="249" t="s">
        <v>47</v>
      </c>
      <c r="Y12" s="243" t="s">
        <v>47</v>
      </c>
      <c r="Z12" s="245" t="s">
        <v>48</v>
      </c>
      <c r="AA12" s="247" t="s">
        <v>49</v>
      </c>
      <c r="AB12" s="245" t="s">
        <v>50</v>
      </c>
      <c r="AC12" s="243" t="s">
        <v>51</v>
      </c>
      <c r="AD12" s="249" t="s">
        <v>52</v>
      </c>
      <c r="AE12" s="241" t="s">
        <v>53</v>
      </c>
      <c r="AF12" s="237" t="s">
        <v>54</v>
      </c>
      <c r="AG12" s="237" t="s">
        <v>55</v>
      </c>
      <c r="AH12" s="237" t="s">
        <v>56</v>
      </c>
      <c r="AI12" s="237" t="s">
        <v>57</v>
      </c>
    </row>
    <row r="13" spans="1:60" ht="60" customHeight="1" thickBot="1">
      <c r="A13" s="320"/>
      <c r="B13" s="320"/>
      <c r="C13" s="320"/>
      <c r="D13" s="320"/>
      <c r="E13" s="320"/>
      <c r="F13" s="320"/>
      <c r="G13" s="320"/>
      <c r="H13" s="322"/>
      <c r="I13" s="320"/>
      <c r="J13" s="320"/>
      <c r="K13" s="320"/>
      <c r="L13" s="320"/>
      <c r="M13" s="320"/>
      <c r="N13" s="320"/>
      <c r="O13" s="320"/>
      <c r="P13" s="251"/>
      <c r="Q13" s="252"/>
      <c r="R13" s="253"/>
      <c r="S13" s="248"/>
      <c r="T13" s="246"/>
      <c r="U13" s="244"/>
      <c r="V13" s="250"/>
      <c r="W13" s="255"/>
      <c r="X13" s="250"/>
      <c r="Y13" s="244"/>
      <c r="Z13" s="246"/>
      <c r="AA13" s="248"/>
      <c r="AB13" s="246"/>
      <c r="AC13" s="244"/>
      <c r="AD13" s="250"/>
      <c r="AE13" s="242"/>
      <c r="AF13" s="237"/>
      <c r="AG13" s="237"/>
      <c r="AH13" s="237"/>
      <c r="AI13" s="237"/>
    </row>
    <row r="14" spans="1:60" ht="88.5" customHeight="1" thickBot="1">
      <c r="A14" s="300">
        <v>1</v>
      </c>
      <c r="B14" s="300" t="s">
        <v>131</v>
      </c>
      <c r="C14" s="300" t="s">
        <v>85</v>
      </c>
      <c r="D14" s="300" t="s">
        <v>60</v>
      </c>
      <c r="E14" s="300" t="s">
        <v>132</v>
      </c>
      <c r="F14" s="336" t="s">
        <v>133</v>
      </c>
      <c r="G14" s="300" t="s">
        <v>12</v>
      </c>
      <c r="H14" s="300" t="s">
        <v>134</v>
      </c>
      <c r="I14" s="300" t="s">
        <v>135</v>
      </c>
      <c r="J14" s="300" t="s">
        <v>136</v>
      </c>
      <c r="K14" s="339">
        <v>259216141</v>
      </c>
      <c r="L14" s="300" t="s">
        <v>137</v>
      </c>
      <c r="M14" s="302" t="s">
        <v>69</v>
      </c>
      <c r="N14" s="334">
        <v>44958</v>
      </c>
      <c r="O14" s="334">
        <v>45291</v>
      </c>
      <c r="P14" s="60" t="s">
        <v>70</v>
      </c>
      <c r="Q14" s="53">
        <f>+(Q15*R14)</f>
        <v>0</v>
      </c>
      <c r="R14" s="70">
        <f>SUM(S14:AE14)</f>
        <v>0</v>
      </c>
      <c r="S14" s="43"/>
      <c r="T14" s="43"/>
      <c r="U14" s="43"/>
      <c r="V14" s="43"/>
      <c r="W14" s="43"/>
      <c r="X14" s="43"/>
      <c r="Y14" s="43"/>
      <c r="Z14" s="43"/>
      <c r="AA14" s="44"/>
      <c r="AB14" s="44"/>
      <c r="AC14" s="44"/>
      <c r="AD14" s="44"/>
      <c r="AE14" s="44"/>
      <c r="AF14" s="233"/>
      <c r="AG14" s="233"/>
      <c r="AH14" s="233"/>
      <c r="AI14" s="233"/>
    </row>
    <row r="15" spans="1:60" ht="88.5" customHeight="1" thickBot="1">
      <c r="A15" s="312"/>
      <c r="B15" s="312"/>
      <c r="C15" s="312"/>
      <c r="D15" s="312"/>
      <c r="E15" s="312"/>
      <c r="F15" s="337"/>
      <c r="G15" s="312"/>
      <c r="H15" s="312"/>
      <c r="I15" s="312"/>
      <c r="J15" s="301"/>
      <c r="K15" s="340"/>
      <c r="L15" s="312"/>
      <c r="M15" s="323"/>
      <c r="N15" s="335"/>
      <c r="O15" s="335"/>
      <c r="P15" s="60" t="s">
        <v>71</v>
      </c>
      <c r="Q15" s="52">
        <f>100%/11</f>
        <v>9.0909090909090912E-2</v>
      </c>
      <c r="R15" s="70">
        <f>SUM(S15:AE15)</f>
        <v>1</v>
      </c>
      <c r="S15" s="42"/>
      <c r="T15" s="42"/>
      <c r="U15" s="42"/>
      <c r="V15" s="42">
        <v>0.25</v>
      </c>
      <c r="W15" s="42"/>
      <c r="X15" s="42"/>
      <c r="Y15" s="42">
        <v>0.25</v>
      </c>
      <c r="Z15" s="42"/>
      <c r="AA15" s="42"/>
      <c r="AB15" s="42">
        <v>0.25</v>
      </c>
      <c r="AC15" s="42"/>
      <c r="AD15" s="42"/>
      <c r="AE15" s="42">
        <v>0.25</v>
      </c>
      <c r="AF15" s="234"/>
      <c r="AG15" s="234"/>
      <c r="AH15" s="234"/>
      <c r="AI15" s="234"/>
    </row>
    <row r="16" spans="1:60" ht="88.5" customHeight="1" thickBot="1">
      <c r="A16" s="300">
        <v>2</v>
      </c>
      <c r="B16" s="300" t="s">
        <v>131</v>
      </c>
      <c r="C16" s="300" t="s">
        <v>85</v>
      </c>
      <c r="D16" s="300" t="s">
        <v>60</v>
      </c>
      <c r="E16" s="300" t="s">
        <v>132</v>
      </c>
      <c r="F16" s="336" t="s">
        <v>133</v>
      </c>
      <c r="G16" s="300" t="s">
        <v>12</v>
      </c>
      <c r="H16" s="300" t="s">
        <v>138</v>
      </c>
      <c r="I16" s="300" t="s">
        <v>139</v>
      </c>
      <c r="J16" s="300" t="s">
        <v>140</v>
      </c>
      <c r="K16" s="300" t="s">
        <v>141</v>
      </c>
      <c r="L16" s="300" t="s">
        <v>137</v>
      </c>
      <c r="M16" s="302" t="s">
        <v>69</v>
      </c>
      <c r="N16" s="334">
        <v>44958</v>
      </c>
      <c r="O16" s="334">
        <v>45291</v>
      </c>
      <c r="P16" s="60" t="s">
        <v>70</v>
      </c>
      <c r="Q16" s="53">
        <f>+(Q17*R16)</f>
        <v>0</v>
      </c>
      <c r="R16" s="70">
        <f>SUM(S16:AE16)</f>
        <v>0</v>
      </c>
      <c r="S16" s="43"/>
      <c r="T16" s="43"/>
      <c r="U16" s="43"/>
      <c r="V16" s="43"/>
      <c r="W16" s="43"/>
      <c r="X16" s="43"/>
      <c r="Y16" s="43"/>
      <c r="Z16" s="43"/>
      <c r="AA16" s="44"/>
      <c r="AB16" s="44"/>
      <c r="AC16" s="44"/>
      <c r="AD16" s="44"/>
      <c r="AE16" s="44"/>
      <c r="AF16" s="233"/>
      <c r="AG16" s="233"/>
      <c r="AH16" s="233"/>
      <c r="AI16" s="233"/>
    </row>
    <row r="17" spans="1:35" ht="88.5" customHeight="1" thickBot="1">
      <c r="A17" s="312"/>
      <c r="B17" s="312"/>
      <c r="C17" s="312"/>
      <c r="D17" s="312"/>
      <c r="E17" s="312"/>
      <c r="F17" s="337"/>
      <c r="G17" s="312"/>
      <c r="H17" s="312"/>
      <c r="I17" s="312"/>
      <c r="J17" s="301"/>
      <c r="K17" s="301"/>
      <c r="L17" s="312"/>
      <c r="M17" s="323"/>
      <c r="N17" s="335"/>
      <c r="O17" s="335"/>
      <c r="P17" s="60" t="s">
        <v>71</v>
      </c>
      <c r="Q17" s="52">
        <f>100%/11</f>
        <v>9.0909090909090912E-2</v>
      </c>
      <c r="R17" s="70">
        <f>SUM(S17:AE17)</f>
        <v>1</v>
      </c>
      <c r="S17" s="42"/>
      <c r="T17" s="42"/>
      <c r="U17" s="42"/>
      <c r="V17" s="42">
        <v>0.25</v>
      </c>
      <c r="W17" s="42"/>
      <c r="X17" s="42"/>
      <c r="Y17" s="42">
        <v>0.25</v>
      </c>
      <c r="Z17" s="42"/>
      <c r="AA17" s="42"/>
      <c r="AB17" s="42">
        <v>0.25</v>
      </c>
      <c r="AC17" s="42"/>
      <c r="AD17" s="42"/>
      <c r="AE17" s="42">
        <v>0.25</v>
      </c>
      <c r="AF17" s="234"/>
      <c r="AG17" s="234"/>
      <c r="AH17" s="234"/>
      <c r="AI17" s="234"/>
    </row>
    <row r="18" spans="1:35" ht="88.5" customHeight="1" thickBot="1">
      <c r="A18" s="300">
        <v>3</v>
      </c>
      <c r="B18" s="300" t="s">
        <v>131</v>
      </c>
      <c r="C18" s="300" t="s">
        <v>142</v>
      </c>
      <c r="D18" s="300" t="s">
        <v>143</v>
      </c>
      <c r="E18" s="300" t="s">
        <v>143</v>
      </c>
      <c r="F18" s="78" t="s">
        <v>133</v>
      </c>
      <c r="G18" s="300" t="s">
        <v>12</v>
      </c>
      <c r="H18" s="300" t="s">
        <v>144</v>
      </c>
      <c r="I18" s="300" t="s">
        <v>145</v>
      </c>
      <c r="J18" s="300" t="s">
        <v>146</v>
      </c>
      <c r="K18" s="300" t="s">
        <v>141</v>
      </c>
      <c r="L18" s="300" t="s">
        <v>137</v>
      </c>
      <c r="M18" s="302" t="s">
        <v>69</v>
      </c>
      <c r="N18" s="334">
        <v>44958</v>
      </c>
      <c r="O18" s="334">
        <v>45291</v>
      </c>
      <c r="P18" s="60" t="s">
        <v>70</v>
      </c>
      <c r="Q18" s="53">
        <f>+(Q19*R18)</f>
        <v>0</v>
      </c>
      <c r="R18" s="70">
        <f>SUM(S18:AE18)</f>
        <v>0</v>
      </c>
      <c r="S18" s="43"/>
      <c r="T18" s="43"/>
      <c r="U18" s="43"/>
      <c r="V18" s="43"/>
      <c r="W18" s="43"/>
      <c r="X18" s="43"/>
      <c r="Y18" s="43"/>
      <c r="Z18" s="43"/>
      <c r="AA18" s="44"/>
      <c r="AB18" s="44"/>
      <c r="AC18" s="44"/>
      <c r="AD18" s="44"/>
      <c r="AE18" s="44"/>
      <c r="AF18" s="233"/>
      <c r="AG18" s="233"/>
      <c r="AH18" s="233"/>
      <c r="AI18" s="233"/>
    </row>
    <row r="19" spans="1:35" ht="88.5" customHeight="1" thickBot="1">
      <c r="A19" s="312"/>
      <c r="B19" s="301"/>
      <c r="C19" s="301"/>
      <c r="D19" s="301"/>
      <c r="E19" s="301"/>
      <c r="F19" s="78"/>
      <c r="G19" s="301"/>
      <c r="H19" s="301"/>
      <c r="I19" s="301"/>
      <c r="J19" s="301"/>
      <c r="K19" s="301"/>
      <c r="L19" s="301"/>
      <c r="M19" s="303"/>
      <c r="N19" s="338"/>
      <c r="O19" s="338"/>
      <c r="P19" s="60" t="s">
        <v>71</v>
      </c>
      <c r="Q19" s="52">
        <f>100%/11</f>
        <v>9.0909090909090912E-2</v>
      </c>
      <c r="R19" s="70">
        <f>SUM(S19:AE19)</f>
        <v>1</v>
      </c>
      <c r="S19" s="42"/>
      <c r="T19" s="42"/>
      <c r="U19" s="42"/>
      <c r="V19" s="42">
        <v>0.25</v>
      </c>
      <c r="W19" s="42"/>
      <c r="X19" s="42"/>
      <c r="Y19" s="42">
        <v>0.25</v>
      </c>
      <c r="Z19" s="42"/>
      <c r="AA19" s="42"/>
      <c r="AB19" s="42">
        <v>0.25</v>
      </c>
      <c r="AC19" s="42"/>
      <c r="AD19" s="42"/>
      <c r="AE19" s="42">
        <v>0.25</v>
      </c>
      <c r="AF19" s="234"/>
      <c r="AG19" s="234"/>
      <c r="AH19" s="234"/>
      <c r="AI19" s="234"/>
    </row>
    <row r="20" spans="1:35" ht="88.5" customHeight="1" thickBot="1">
      <c r="A20" s="300">
        <v>4</v>
      </c>
      <c r="B20" s="300" t="s">
        <v>147</v>
      </c>
      <c r="C20" s="300" t="s">
        <v>59</v>
      </c>
      <c r="D20" s="300" t="s">
        <v>148</v>
      </c>
      <c r="E20" s="300" t="s">
        <v>148</v>
      </c>
      <c r="F20" s="336" t="s">
        <v>133</v>
      </c>
      <c r="G20" s="300" t="s">
        <v>12</v>
      </c>
      <c r="H20" s="300" t="s">
        <v>149</v>
      </c>
      <c r="I20" s="300" t="s">
        <v>150</v>
      </c>
      <c r="J20" s="300" t="s">
        <v>151</v>
      </c>
      <c r="K20" s="71" t="s">
        <v>141</v>
      </c>
      <c r="L20" s="300" t="s">
        <v>137</v>
      </c>
      <c r="M20" s="302" t="s">
        <v>69</v>
      </c>
      <c r="N20" s="334">
        <v>44896</v>
      </c>
      <c r="O20" s="334">
        <v>44957</v>
      </c>
      <c r="P20" s="60" t="s">
        <v>70</v>
      </c>
      <c r="Q20" s="53">
        <f>+(Q21*R20)</f>
        <v>0</v>
      </c>
      <c r="R20" s="70">
        <f>SUM(S20:AE20)</f>
        <v>0</v>
      </c>
      <c r="S20" s="43"/>
      <c r="T20" s="43"/>
      <c r="U20" s="43"/>
      <c r="V20" s="43"/>
      <c r="W20" s="43"/>
      <c r="X20" s="43"/>
      <c r="Y20" s="43"/>
      <c r="Z20" s="43"/>
      <c r="AA20" s="44"/>
      <c r="AB20" s="44"/>
      <c r="AC20" s="44"/>
      <c r="AD20" s="44"/>
      <c r="AE20" s="44"/>
      <c r="AF20" s="233"/>
      <c r="AG20" s="233"/>
      <c r="AH20" s="233"/>
      <c r="AI20" s="233"/>
    </row>
    <row r="21" spans="1:35" ht="88.5" customHeight="1" thickBot="1">
      <c r="A21" s="312"/>
      <c r="B21" s="312"/>
      <c r="C21" s="312"/>
      <c r="D21" s="312"/>
      <c r="E21" s="312"/>
      <c r="F21" s="337"/>
      <c r="G21" s="312"/>
      <c r="H21" s="312"/>
      <c r="I21" s="312"/>
      <c r="J21" s="312"/>
      <c r="K21" s="77"/>
      <c r="L21" s="312"/>
      <c r="M21" s="323"/>
      <c r="N21" s="335"/>
      <c r="O21" s="335"/>
      <c r="P21" s="60" t="s">
        <v>71</v>
      </c>
      <c r="Q21" s="52">
        <f>100%/11</f>
        <v>9.0909090909090912E-2</v>
      </c>
      <c r="R21" s="70">
        <f>SUM(S21:AE21)</f>
        <v>1</v>
      </c>
      <c r="S21" s="42"/>
      <c r="T21" s="42"/>
      <c r="U21" s="42"/>
      <c r="V21" s="42">
        <v>0.25</v>
      </c>
      <c r="W21" s="42"/>
      <c r="X21" s="42"/>
      <c r="Y21" s="42">
        <v>0.25</v>
      </c>
      <c r="Z21" s="42"/>
      <c r="AA21" s="42"/>
      <c r="AB21" s="42">
        <v>0.25</v>
      </c>
      <c r="AC21" s="42"/>
      <c r="AD21" s="42"/>
      <c r="AE21" s="42">
        <v>0.25</v>
      </c>
      <c r="AF21" s="234"/>
      <c r="AG21" s="234"/>
      <c r="AH21" s="234"/>
      <c r="AI21" s="234"/>
    </row>
    <row r="22" spans="1:35" ht="88.5" customHeight="1" thickBot="1">
      <c r="A22" s="300">
        <v>5</v>
      </c>
      <c r="B22" s="300" t="s">
        <v>131</v>
      </c>
      <c r="C22" s="300" t="s">
        <v>80</v>
      </c>
      <c r="D22" s="300" t="s">
        <v>82</v>
      </c>
      <c r="E22" s="300" t="s">
        <v>82</v>
      </c>
      <c r="F22" s="336" t="s">
        <v>133</v>
      </c>
      <c r="G22" s="300" t="s">
        <v>12</v>
      </c>
      <c r="H22" s="300" t="s">
        <v>152</v>
      </c>
      <c r="I22" s="300" t="s">
        <v>152</v>
      </c>
      <c r="J22" s="300" t="s">
        <v>153</v>
      </c>
      <c r="K22" s="300" t="s">
        <v>141</v>
      </c>
      <c r="L22" s="300" t="s">
        <v>137</v>
      </c>
      <c r="M22" s="302" t="s">
        <v>69</v>
      </c>
      <c r="N22" s="334">
        <v>44896</v>
      </c>
      <c r="O22" s="334">
        <v>44957</v>
      </c>
      <c r="P22" s="60" t="s">
        <v>70</v>
      </c>
      <c r="Q22" s="53">
        <f>+(Q23*R22)</f>
        <v>0</v>
      </c>
      <c r="R22" s="70">
        <f>SUM(S22:AE22)</f>
        <v>0</v>
      </c>
      <c r="S22" s="45"/>
      <c r="T22" s="45"/>
      <c r="U22" s="45"/>
      <c r="V22" s="43"/>
      <c r="W22" s="43"/>
      <c r="X22" s="43"/>
      <c r="Y22" s="43"/>
      <c r="Z22" s="43"/>
      <c r="AA22" s="44"/>
      <c r="AB22" s="44"/>
      <c r="AC22" s="44"/>
      <c r="AD22" s="44"/>
      <c r="AE22" s="44"/>
      <c r="AF22" s="233"/>
      <c r="AG22" s="233"/>
      <c r="AH22" s="233"/>
      <c r="AI22" s="233"/>
    </row>
    <row r="23" spans="1:35" ht="88.5" customHeight="1" thickBot="1">
      <c r="A23" s="312"/>
      <c r="B23" s="312"/>
      <c r="C23" s="312"/>
      <c r="D23" s="312"/>
      <c r="E23" s="312"/>
      <c r="F23" s="337"/>
      <c r="G23" s="312"/>
      <c r="H23" s="312"/>
      <c r="I23" s="312"/>
      <c r="J23" s="301"/>
      <c r="K23" s="301"/>
      <c r="L23" s="312"/>
      <c r="M23" s="323"/>
      <c r="N23" s="335"/>
      <c r="O23" s="335"/>
      <c r="P23" s="60" t="s">
        <v>71</v>
      </c>
      <c r="Q23" s="52">
        <f>100%/11</f>
        <v>9.0909090909090912E-2</v>
      </c>
      <c r="R23" s="70">
        <f>SUM(S23:AE23)</f>
        <v>1</v>
      </c>
      <c r="S23" s="42"/>
      <c r="T23" s="42"/>
      <c r="U23" s="42"/>
      <c r="V23" s="42">
        <v>0.25</v>
      </c>
      <c r="W23" s="42"/>
      <c r="X23" s="42"/>
      <c r="Y23" s="42">
        <v>0.25</v>
      </c>
      <c r="Z23" s="42"/>
      <c r="AA23" s="42"/>
      <c r="AB23" s="42">
        <v>0.25</v>
      </c>
      <c r="AC23" s="42"/>
      <c r="AD23" s="42"/>
      <c r="AE23" s="42">
        <v>0.25</v>
      </c>
      <c r="AF23" s="234"/>
      <c r="AG23" s="234"/>
      <c r="AH23" s="234"/>
      <c r="AI23" s="234"/>
    </row>
    <row r="24" spans="1:35" ht="88.5" customHeight="1" thickBot="1">
      <c r="A24" s="300">
        <v>6</v>
      </c>
      <c r="B24" s="300" t="s">
        <v>147</v>
      </c>
      <c r="C24" s="300" t="s">
        <v>154</v>
      </c>
      <c r="D24" s="300" t="s">
        <v>60</v>
      </c>
      <c r="E24" s="300" t="s">
        <v>132</v>
      </c>
      <c r="F24" s="78" t="s">
        <v>133</v>
      </c>
      <c r="G24" s="300" t="s">
        <v>155</v>
      </c>
      <c r="H24" s="300" t="s">
        <v>156</v>
      </c>
      <c r="I24" s="300" t="s">
        <v>157</v>
      </c>
      <c r="J24" s="300" t="s">
        <v>158</v>
      </c>
      <c r="K24" s="300" t="s">
        <v>159</v>
      </c>
      <c r="L24" s="300" t="s">
        <v>137</v>
      </c>
      <c r="M24" s="302" t="s">
        <v>160</v>
      </c>
      <c r="N24" s="334">
        <v>44958</v>
      </c>
      <c r="O24" s="334">
        <v>45291</v>
      </c>
      <c r="P24" s="60" t="s">
        <v>70</v>
      </c>
      <c r="Q24" s="53">
        <f>+(Q25*R24)</f>
        <v>0</v>
      </c>
      <c r="R24" s="70">
        <f>SUM(S24:AE24)</f>
        <v>0</v>
      </c>
      <c r="S24" s="59"/>
      <c r="T24" s="59"/>
      <c r="U24" s="59"/>
      <c r="V24" s="43"/>
      <c r="W24" s="43"/>
      <c r="X24" s="43"/>
      <c r="Y24" s="43"/>
      <c r="Z24" s="43"/>
      <c r="AA24" s="44"/>
      <c r="AB24" s="44"/>
      <c r="AC24" s="44"/>
      <c r="AD24" s="44"/>
      <c r="AE24" s="44"/>
      <c r="AF24" s="233"/>
      <c r="AG24" s="233"/>
      <c r="AH24" s="233"/>
      <c r="AI24" s="233"/>
    </row>
    <row r="25" spans="1:35" ht="88.5" customHeight="1" thickBot="1">
      <c r="A25" s="312"/>
      <c r="B25" s="301"/>
      <c r="C25" s="301"/>
      <c r="D25" s="301"/>
      <c r="E25" s="301"/>
      <c r="F25" s="80"/>
      <c r="G25" s="301"/>
      <c r="H25" s="301"/>
      <c r="I25" s="301"/>
      <c r="J25" s="301"/>
      <c r="K25" s="301"/>
      <c r="L25" s="301"/>
      <c r="M25" s="303"/>
      <c r="N25" s="338"/>
      <c r="O25" s="338"/>
      <c r="P25" s="60" t="s">
        <v>71</v>
      </c>
      <c r="Q25" s="52">
        <f>100%/11</f>
        <v>9.0909090909090912E-2</v>
      </c>
      <c r="R25" s="70">
        <f>SUM(S25:AE25)</f>
        <v>0.99996000000000007</v>
      </c>
      <c r="S25" s="42"/>
      <c r="T25" s="42">
        <v>8.3330000000000001E-2</v>
      </c>
      <c r="U25" s="42">
        <v>8.3330000000000001E-2</v>
      </c>
      <c r="V25" s="42">
        <v>8.3330000000000001E-2</v>
      </c>
      <c r="W25" s="42">
        <v>8.3330000000000001E-2</v>
      </c>
      <c r="X25" s="42">
        <v>8.3330000000000001E-2</v>
      </c>
      <c r="Y25" s="42">
        <v>8.3330000000000001E-2</v>
      </c>
      <c r="Z25" s="42">
        <v>8.3330000000000001E-2</v>
      </c>
      <c r="AA25" s="42">
        <v>8.3330000000000001E-2</v>
      </c>
      <c r="AB25" s="42">
        <v>8.3330000000000001E-2</v>
      </c>
      <c r="AC25" s="42">
        <v>8.3330000000000001E-2</v>
      </c>
      <c r="AD25" s="42">
        <v>8.3330000000000001E-2</v>
      </c>
      <c r="AE25" s="42">
        <v>8.3330000000000001E-2</v>
      </c>
      <c r="AF25" s="234"/>
      <c r="AG25" s="234"/>
      <c r="AH25" s="234"/>
      <c r="AI25" s="234"/>
    </row>
    <row r="26" spans="1:35" ht="88.5" customHeight="1" thickBot="1">
      <c r="A26" s="300">
        <v>7</v>
      </c>
      <c r="B26" s="306" t="s">
        <v>161</v>
      </c>
      <c r="C26" s="306" t="s">
        <v>91</v>
      </c>
      <c r="D26" s="306" t="s">
        <v>60</v>
      </c>
      <c r="E26" s="306" t="s">
        <v>92</v>
      </c>
      <c r="F26" s="79" t="s">
        <v>133</v>
      </c>
      <c r="G26" s="306" t="s">
        <v>155</v>
      </c>
      <c r="H26" s="306" t="s">
        <v>162</v>
      </c>
      <c r="I26" s="306" t="s">
        <v>163</v>
      </c>
      <c r="J26" s="306" t="s">
        <v>164</v>
      </c>
      <c r="K26" s="306" t="s">
        <v>141</v>
      </c>
      <c r="L26" s="306" t="s">
        <v>137</v>
      </c>
      <c r="M26" s="308" t="s">
        <v>109</v>
      </c>
      <c r="N26" s="333">
        <v>44927</v>
      </c>
      <c r="O26" s="333">
        <v>45291</v>
      </c>
      <c r="P26" s="60" t="s">
        <v>70</v>
      </c>
      <c r="Q26" s="53">
        <f>+(Q27*R26)</f>
        <v>0</v>
      </c>
      <c r="R26" s="70">
        <f>SUM(S26:AE26)</f>
        <v>0</v>
      </c>
      <c r="S26" s="45"/>
      <c r="T26" s="45"/>
      <c r="U26" s="45"/>
      <c r="V26" s="45"/>
      <c r="W26" s="45"/>
      <c r="X26" s="45"/>
      <c r="Y26" s="45"/>
      <c r="Z26" s="45"/>
      <c r="AA26" s="45"/>
      <c r="AB26" s="45"/>
      <c r="AC26" s="45"/>
      <c r="AD26" s="45"/>
      <c r="AE26" s="45"/>
      <c r="AF26" s="233"/>
      <c r="AG26" s="233"/>
      <c r="AH26" s="233"/>
      <c r="AI26" s="233"/>
    </row>
    <row r="27" spans="1:35" ht="88.5" customHeight="1" thickBot="1">
      <c r="A27" s="312"/>
      <c r="B27" s="306"/>
      <c r="C27" s="306"/>
      <c r="D27" s="306"/>
      <c r="E27" s="306"/>
      <c r="F27" s="79"/>
      <c r="G27" s="306"/>
      <c r="H27" s="306"/>
      <c r="I27" s="306"/>
      <c r="J27" s="306"/>
      <c r="K27" s="306"/>
      <c r="L27" s="306"/>
      <c r="M27" s="308"/>
      <c r="N27" s="333"/>
      <c r="O27" s="333"/>
      <c r="P27" s="60" t="s">
        <v>71</v>
      </c>
      <c r="Q27" s="52">
        <f>100%/11</f>
        <v>9.0909090909090912E-2</v>
      </c>
      <c r="R27" s="70">
        <f>SUM(S27:AE27)</f>
        <v>1</v>
      </c>
      <c r="S27" s="42"/>
      <c r="T27" s="42"/>
      <c r="U27" s="42"/>
      <c r="V27" s="42"/>
      <c r="W27" s="42"/>
      <c r="X27" s="42"/>
      <c r="Y27" s="42">
        <v>0.5</v>
      </c>
      <c r="Z27" s="42"/>
      <c r="AA27" s="42"/>
      <c r="AB27" s="42"/>
      <c r="AC27" s="42"/>
      <c r="AD27" s="42"/>
      <c r="AE27" s="42">
        <v>0.5</v>
      </c>
      <c r="AF27" s="234"/>
      <c r="AG27" s="234"/>
      <c r="AH27" s="234"/>
      <c r="AI27" s="234"/>
    </row>
    <row r="28" spans="1:35" s="13" customFormat="1" ht="88.5" customHeight="1" thickBot="1">
      <c r="A28" s="300">
        <v>8</v>
      </c>
      <c r="B28" s="300" t="s">
        <v>131</v>
      </c>
      <c r="C28" s="300" t="s">
        <v>165</v>
      </c>
      <c r="D28" s="300" t="s">
        <v>60</v>
      </c>
      <c r="E28" s="300" t="s">
        <v>132</v>
      </c>
      <c r="F28" s="336" t="s">
        <v>133</v>
      </c>
      <c r="G28" s="300" t="s">
        <v>155</v>
      </c>
      <c r="H28" s="300" t="s">
        <v>166</v>
      </c>
      <c r="I28" s="300" t="s">
        <v>167</v>
      </c>
      <c r="J28" s="300" t="s">
        <v>168</v>
      </c>
      <c r="K28" s="71" t="s">
        <v>141</v>
      </c>
      <c r="L28" s="300" t="s">
        <v>137</v>
      </c>
      <c r="M28" s="302" t="s">
        <v>109</v>
      </c>
      <c r="N28" s="334">
        <v>44927</v>
      </c>
      <c r="O28" s="334">
        <v>45291</v>
      </c>
      <c r="P28" s="60" t="s">
        <v>70</v>
      </c>
      <c r="Q28" s="53">
        <f>+(Q29*R28)</f>
        <v>0</v>
      </c>
      <c r="R28" s="70">
        <f>SUM(S28:AE28)</f>
        <v>0</v>
      </c>
      <c r="S28" s="45"/>
      <c r="T28" s="45"/>
      <c r="U28" s="45"/>
      <c r="V28" s="45"/>
      <c r="W28" s="45"/>
      <c r="X28" s="45"/>
      <c r="Y28" s="45"/>
      <c r="Z28" s="45"/>
      <c r="AA28" s="45"/>
      <c r="AB28" s="45"/>
      <c r="AC28" s="45"/>
      <c r="AD28" s="45"/>
      <c r="AE28" s="45"/>
      <c r="AF28" s="233"/>
      <c r="AG28" s="233"/>
      <c r="AH28" s="233"/>
      <c r="AI28" s="233"/>
    </row>
    <row r="29" spans="1:35" s="13" customFormat="1" ht="88.5" customHeight="1" thickBot="1">
      <c r="A29" s="312"/>
      <c r="B29" s="312"/>
      <c r="C29" s="312"/>
      <c r="D29" s="312"/>
      <c r="E29" s="312"/>
      <c r="F29" s="337"/>
      <c r="G29" s="312"/>
      <c r="H29" s="312"/>
      <c r="I29" s="312"/>
      <c r="J29" s="312"/>
      <c r="K29" s="77"/>
      <c r="L29" s="312"/>
      <c r="M29" s="323"/>
      <c r="N29" s="335"/>
      <c r="O29" s="335"/>
      <c r="P29" s="60" t="s">
        <v>71</v>
      </c>
      <c r="Q29" s="52">
        <f>100%/11</f>
        <v>9.0909090909090912E-2</v>
      </c>
      <c r="R29" s="70">
        <f>SUM(S29:AE29)</f>
        <v>1</v>
      </c>
      <c r="S29" s="42"/>
      <c r="T29" s="42"/>
      <c r="U29" s="42"/>
      <c r="V29" s="42"/>
      <c r="W29" s="42"/>
      <c r="X29" s="42"/>
      <c r="Y29" s="42">
        <v>0.5</v>
      </c>
      <c r="Z29" s="42"/>
      <c r="AA29" s="42"/>
      <c r="AB29" s="42"/>
      <c r="AC29" s="42"/>
      <c r="AD29" s="42"/>
      <c r="AE29" s="42">
        <v>0.5</v>
      </c>
      <c r="AF29" s="234"/>
      <c r="AG29" s="234"/>
      <c r="AH29" s="234"/>
      <c r="AI29" s="234"/>
    </row>
    <row r="30" spans="1:35" ht="88.5" customHeight="1" thickBot="1">
      <c r="A30" s="300">
        <v>9</v>
      </c>
      <c r="B30" s="300" t="s">
        <v>131</v>
      </c>
      <c r="C30" s="300" t="s">
        <v>165</v>
      </c>
      <c r="D30" s="300" t="s">
        <v>60</v>
      </c>
      <c r="E30" s="300" t="s">
        <v>132</v>
      </c>
      <c r="F30" s="83" t="s">
        <v>133</v>
      </c>
      <c r="G30" s="300" t="s">
        <v>155</v>
      </c>
      <c r="H30" s="300" t="s">
        <v>169</v>
      </c>
      <c r="I30" s="300" t="s">
        <v>170</v>
      </c>
      <c r="J30" s="300" t="s">
        <v>171</v>
      </c>
      <c r="K30" s="306" t="s">
        <v>141</v>
      </c>
      <c r="L30" s="306" t="s">
        <v>137</v>
      </c>
      <c r="M30" s="308" t="s">
        <v>160</v>
      </c>
      <c r="N30" s="333">
        <v>44927</v>
      </c>
      <c r="O30" s="333">
        <v>44957</v>
      </c>
      <c r="P30" s="60" t="s">
        <v>70</v>
      </c>
      <c r="Q30" s="53">
        <f>+(Q31*R30)</f>
        <v>0</v>
      </c>
      <c r="R30" s="70">
        <f>SUM(S30:AE30)</f>
        <v>0</v>
      </c>
      <c r="S30" s="45"/>
      <c r="T30" s="45"/>
      <c r="U30" s="45"/>
      <c r="V30" s="45"/>
      <c r="W30" s="45"/>
      <c r="X30" s="45"/>
      <c r="Y30" s="45"/>
      <c r="Z30" s="45"/>
      <c r="AA30" s="45"/>
      <c r="AB30" s="45"/>
      <c r="AC30" s="45"/>
      <c r="AD30" s="45"/>
      <c r="AE30" s="45"/>
      <c r="AF30" s="233"/>
      <c r="AG30" s="233"/>
      <c r="AH30" s="233"/>
      <c r="AI30" s="233"/>
    </row>
    <row r="31" spans="1:35" ht="88.5" customHeight="1" thickBot="1">
      <c r="A31" s="312"/>
      <c r="B31" s="312"/>
      <c r="C31" s="312"/>
      <c r="D31" s="312"/>
      <c r="E31" s="312"/>
      <c r="F31" s="84"/>
      <c r="G31" s="312"/>
      <c r="H31" s="312"/>
      <c r="I31" s="312"/>
      <c r="J31" s="312"/>
      <c r="K31" s="306"/>
      <c r="L31" s="306"/>
      <c r="M31" s="308"/>
      <c r="N31" s="333"/>
      <c r="O31" s="333"/>
      <c r="P31" s="60" t="s">
        <v>71</v>
      </c>
      <c r="Q31" s="52">
        <f>100%/11</f>
        <v>9.0909090909090912E-2</v>
      </c>
      <c r="R31" s="70">
        <f>SUM(S31:AE31)</f>
        <v>0.99996000000000007</v>
      </c>
      <c r="S31" s="42"/>
      <c r="T31" s="42">
        <v>8.3330000000000001E-2</v>
      </c>
      <c r="U31" s="42">
        <v>8.3330000000000001E-2</v>
      </c>
      <c r="V31" s="42">
        <v>8.3330000000000001E-2</v>
      </c>
      <c r="W31" s="42">
        <v>8.3330000000000001E-2</v>
      </c>
      <c r="X31" s="42">
        <v>8.3330000000000001E-2</v>
      </c>
      <c r="Y31" s="42">
        <v>8.3330000000000001E-2</v>
      </c>
      <c r="Z31" s="42">
        <v>8.3330000000000001E-2</v>
      </c>
      <c r="AA31" s="42">
        <v>8.3330000000000001E-2</v>
      </c>
      <c r="AB31" s="42">
        <v>8.3330000000000001E-2</v>
      </c>
      <c r="AC31" s="42">
        <v>8.3330000000000001E-2</v>
      </c>
      <c r="AD31" s="42">
        <v>8.3330000000000001E-2</v>
      </c>
      <c r="AE31" s="42">
        <v>8.3330000000000001E-2</v>
      </c>
      <c r="AF31" s="234"/>
      <c r="AG31" s="234"/>
      <c r="AH31" s="234"/>
      <c r="AI31" s="234"/>
    </row>
    <row r="32" spans="1:35" ht="81" customHeight="1" thickBot="1">
      <c r="A32" s="300">
        <v>10</v>
      </c>
      <c r="B32" s="306" t="s">
        <v>172</v>
      </c>
      <c r="C32" s="306" t="s">
        <v>59</v>
      </c>
      <c r="D32" s="306" t="s">
        <v>173</v>
      </c>
      <c r="E32" s="306" t="s">
        <v>174</v>
      </c>
      <c r="F32" s="85" t="s">
        <v>133</v>
      </c>
      <c r="G32" s="306" t="s">
        <v>155</v>
      </c>
      <c r="H32" s="306" t="s">
        <v>175</v>
      </c>
      <c r="I32" s="306" t="s">
        <v>176</v>
      </c>
      <c r="J32" s="306" t="s">
        <v>177</v>
      </c>
      <c r="K32" s="306" t="s">
        <v>141</v>
      </c>
      <c r="L32" s="306" t="s">
        <v>137</v>
      </c>
      <c r="M32" s="308" t="s">
        <v>160</v>
      </c>
      <c r="N32" s="333">
        <v>44927</v>
      </c>
      <c r="O32" s="333">
        <v>44957</v>
      </c>
      <c r="P32" s="60" t="s">
        <v>70</v>
      </c>
      <c r="Q32" s="53">
        <f>+(Q33*R32)</f>
        <v>0</v>
      </c>
      <c r="R32" s="70">
        <f>SUM(S32:AE32)</f>
        <v>0</v>
      </c>
      <c r="S32" s="45"/>
      <c r="T32" s="45"/>
      <c r="U32" s="45"/>
      <c r="V32" s="45"/>
      <c r="W32" s="45"/>
      <c r="X32" s="45"/>
      <c r="Y32" s="45"/>
      <c r="Z32" s="45"/>
      <c r="AA32" s="45"/>
      <c r="AB32" s="45"/>
      <c r="AC32" s="45"/>
      <c r="AD32" s="45"/>
      <c r="AE32" s="45"/>
      <c r="AF32" s="233"/>
      <c r="AG32" s="233"/>
      <c r="AH32" s="233"/>
      <c r="AI32" s="233"/>
    </row>
    <row r="33" spans="1:35" ht="81" customHeight="1" thickBot="1">
      <c r="A33" s="312"/>
      <c r="B33" s="306"/>
      <c r="C33" s="306"/>
      <c r="D33" s="306"/>
      <c r="E33" s="306"/>
      <c r="F33" s="85"/>
      <c r="G33" s="306"/>
      <c r="H33" s="306"/>
      <c r="I33" s="306"/>
      <c r="J33" s="306"/>
      <c r="K33" s="306"/>
      <c r="L33" s="306"/>
      <c r="M33" s="308"/>
      <c r="N33" s="333"/>
      <c r="O33" s="333"/>
      <c r="P33" s="60" t="s">
        <v>71</v>
      </c>
      <c r="Q33" s="52">
        <f>100%/11</f>
        <v>9.0909090909090912E-2</v>
      </c>
      <c r="R33" s="70">
        <f>SUM(S33:AE33)</f>
        <v>0.99996000000000007</v>
      </c>
      <c r="S33" s="42"/>
      <c r="T33" s="42">
        <v>8.3330000000000001E-2</v>
      </c>
      <c r="U33" s="42">
        <v>8.3330000000000001E-2</v>
      </c>
      <c r="V33" s="42">
        <v>8.3330000000000001E-2</v>
      </c>
      <c r="W33" s="42">
        <v>8.3330000000000001E-2</v>
      </c>
      <c r="X33" s="42">
        <v>8.3330000000000001E-2</v>
      </c>
      <c r="Y33" s="42">
        <v>8.3330000000000001E-2</v>
      </c>
      <c r="Z33" s="42">
        <v>8.3330000000000001E-2</v>
      </c>
      <c r="AA33" s="42">
        <v>8.3330000000000001E-2</v>
      </c>
      <c r="AB33" s="42">
        <v>8.3330000000000001E-2</v>
      </c>
      <c r="AC33" s="42">
        <v>8.3330000000000001E-2</v>
      </c>
      <c r="AD33" s="42">
        <v>8.3330000000000001E-2</v>
      </c>
      <c r="AE33" s="42">
        <v>8.3330000000000001E-2</v>
      </c>
      <c r="AF33" s="234"/>
      <c r="AG33" s="234"/>
      <c r="AH33" s="234"/>
      <c r="AI33" s="234"/>
    </row>
    <row r="34" spans="1:35" ht="81" customHeight="1" thickBot="1">
      <c r="A34" s="300">
        <v>11</v>
      </c>
      <c r="B34" s="306" t="s">
        <v>172</v>
      </c>
      <c r="C34" s="306" t="s">
        <v>142</v>
      </c>
      <c r="D34" s="306" t="s">
        <v>60</v>
      </c>
      <c r="E34" s="306" t="s">
        <v>174</v>
      </c>
      <c r="F34" s="85" t="s">
        <v>133</v>
      </c>
      <c r="G34" s="306" t="s">
        <v>178</v>
      </c>
      <c r="H34" s="306" t="s">
        <v>179</v>
      </c>
      <c r="I34" s="306" t="s">
        <v>179</v>
      </c>
      <c r="J34" s="306" t="s">
        <v>180</v>
      </c>
      <c r="K34" s="306" t="s">
        <v>141</v>
      </c>
      <c r="L34" s="306" t="s">
        <v>137</v>
      </c>
      <c r="M34" s="308" t="s">
        <v>160</v>
      </c>
      <c r="N34" s="333">
        <v>44927</v>
      </c>
      <c r="O34" s="333">
        <v>44957</v>
      </c>
      <c r="P34" s="60" t="s">
        <v>70</v>
      </c>
      <c r="Q34" s="53">
        <f>+(Q35*R34)</f>
        <v>0</v>
      </c>
      <c r="R34" s="70">
        <f>SUM(S34:AE34)</f>
        <v>0</v>
      </c>
      <c r="S34" s="45"/>
      <c r="T34" s="45"/>
      <c r="U34" s="45"/>
      <c r="V34" s="45"/>
      <c r="W34" s="45"/>
      <c r="X34" s="45"/>
      <c r="Y34" s="45"/>
      <c r="Z34" s="45"/>
      <c r="AA34" s="45"/>
      <c r="AB34" s="45"/>
      <c r="AC34" s="45"/>
      <c r="AD34" s="45"/>
      <c r="AE34" s="45"/>
      <c r="AF34" s="233"/>
      <c r="AG34" s="233"/>
      <c r="AH34" s="233"/>
      <c r="AI34" s="233"/>
    </row>
    <row r="35" spans="1:35" ht="81" customHeight="1">
      <c r="A35" s="312"/>
      <c r="B35" s="306"/>
      <c r="C35" s="306"/>
      <c r="D35" s="306"/>
      <c r="E35" s="306"/>
      <c r="F35" s="85"/>
      <c r="G35" s="306"/>
      <c r="H35" s="306"/>
      <c r="I35" s="306"/>
      <c r="J35" s="306"/>
      <c r="K35" s="306"/>
      <c r="L35" s="306"/>
      <c r="M35" s="308"/>
      <c r="N35" s="333"/>
      <c r="O35" s="333"/>
      <c r="P35" s="60" t="s">
        <v>71</v>
      </c>
      <c r="Q35" s="52">
        <f>100%/11</f>
        <v>9.0909090909090912E-2</v>
      </c>
      <c r="R35" s="70">
        <f>SUM(S35:AE35)</f>
        <v>0.99996000000000007</v>
      </c>
      <c r="S35" s="42"/>
      <c r="T35" s="42">
        <v>8.3330000000000001E-2</v>
      </c>
      <c r="U35" s="42">
        <v>8.3330000000000001E-2</v>
      </c>
      <c r="V35" s="42">
        <v>8.3330000000000001E-2</v>
      </c>
      <c r="W35" s="42">
        <v>8.3330000000000001E-2</v>
      </c>
      <c r="X35" s="42">
        <v>8.3330000000000001E-2</v>
      </c>
      <c r="Y35" s="42">
        <v>8.3330000000000001E-2</v>
      </c>
      <c r="Z35" s="42">
        <v>8.3330000000000001E-2</v>
      </c>
      <c r="AA35" s="42">
        <v>8.3330000000000001E-2</v>
      </c>
      <c r="AB35" s="42">
        <v>8.3330000000000001E-2</v>
      </c>
      <c r="AC35" s="42">
        <v>8.3330000000000001E-2</v>
      </c>
      <c r="AD35" s="42">
        <v>8.3330000000000001E-2</v>
      </c>
      <c r="AE35" s="42">
        <v>8.3330000000000001E-2</v>
      </c>
      <c r="AF35" s="234"/>
      <c r="AG35" s="234"/>
      <c r="AH35" s="234"/>
      <c r="AI35" s="234"/>
    </row>
  </sheetData>
  <mergeCells count="260">
    <mergeCell ref="A1:C3"/>
    <mergeCell ref="D1:AI3"/>
    <mergeCell ref="A4:A5"/>
    <mergeCell ref="G4:G5"/>
    <mergeCell ref="A6:B10"/>
    <mergeCell ref="C6:D10"/>
    <mergeCell ref="E6:F10"/>
    <mergeCell ref="G6:G10"/>
    <mergeCell ref="H6:I10"/>
    <mergeCell ref="J6:J10"/>
    <mergeCell ref="AH6:AH10"/>
    <mergeCell ref="A11:F11"/>
    <mergeCell ref="G11:O11"/>
    <mergeCell ref="P11:AE11"/>
    <mergeCell ref="AF11:AI11"/>
    <mergeCell ref="K6:L10"/>
    <mergeCell ref="M6:M10"/>
    <mergeCell ref="N6:O10"/>
    <mergeCell ref="P6:R10"/>
    <mergeCell ref="S6:V10"/>
    <mergeCell ref="W6:Z10"/>
    <mergeCell ref="A12:A13"/>
    <mergeCell ref="B12:B13"/>
    <mergeCell ref="C12:C13"/>
    <mergeCell ref="D12:D13"/>
    <mergeCell ref="E12:E13"/>
    <mergeCell ref="F12:F13"/>
    <mergeCell ref="AA6:AD10"/>
    <mergeCell ref="AE6:AF10"/>
    <mergeCell ref="AG6:AG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H12:AH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16:A17"/>
    <mergeCell ref="B16:B17"/>
    <mergeCell ref="C16:C17"/>
    <mergeCell ref="D16:D17"/>
    <mergeCell ref="E16:E17"/>
    <mergeCell ref="F16:F17"/>
    <mergeCell ref="G16:G17"/>
    <mergeCell ref="H16:H17"/>
    <mergeCell ref="L14:L15"/>
    <mergeCell ref="F14:F15"/>
    <mergeCell ref="G14:G15"/>
    <mergeCell ref="H14:H15"/>
    <mergeCell ref="I14:I15"/>
    <mergeCell ref="J14:J15"/>
    <mergeCell ref="K14:K15"/>
    <mergeCell ref="AH16:AH17"/>
    <mergeCell ref="AI16:AI17"/>
    <mergeCell ref="I16:I17"/>
    <mergeCell ref="J16:J17"/>
    <mergeCell ref="K16:K17"/>
    <mergeCell ref="L16:L17"/>
    <mergeCell ref="M16:M17"/>
    <mergeCell ref="N16:N17"/>
    <mergeCell ref="AH14:AH15"/>
    <mergeCell ref="AI14:AI15"/>
    <mergeCell ref="M14:M15"/>
    <mergeCell ref="N14:N15"/>
    <mergeCell ref="O14:O15"/>
    <mergeCell ref="AF14:AF15"/>
    <mergeCell ref="AG14:AG15"/>
    <mergeCell ref="G18:G19"/>
    <mergeCell ref="H18:H19"/>
    <mergeCell ref="I18:I19"/>
    <mergeCell ref="J18:J19"/>
    <mergeCell ref="K18:K19"/>
    <mergeCell ref="H20:H21"/>
    <mergeCell ref="O16:O17"/>
    <mergeCell ref="AF16:AF17"/>
    <mergeCell ref="AG16:AG17"/>
    <mergeCell ref="L20:L21"/>
    <mergeCell ref="M20:M21"/>
    <mergeCell ref="L18:L19"/>
    <mergeCell ref="M18:M19"/>
    <mergeCell ref="N18:N19"/>
    <mergeCell ref="O18:O19"/>
    <mergeCell ref="N20:N21"/>
    <mergeCell ref="O20:O21"/>
    <mergeCell ref="AF18:AF19"/>
    <mergeCell ref="AF20:AF21"/>
    <mergeCell ref="F20:F21"/>
    <mergeCell ref="G20:G21"/>
    <mergeCell ref="L26:L27"/>
    <mergeCell ref="M26:M27"/>
    <mergeCell ref="N26:N27"/>
    <mergeCell ref="O26:O27"/>
    <mergeCell ref="G26:G27"/>
    <mergeCell ref="H26:H27"/>
    <mergeCell ref="I26:I27"/>
    <mergeCell ref="J26:J27"/>
    <mergeCell ref="K26:K27"/>
    <mergeCell ref="O24:O25"/>
    <mergeCell ref="I24:I25"/>
    <mergeCell ref="J24:J25"/>
    <mergeCell ref="K24:K25"/>
    <mergeCell ref="L24:L25"/>
    <mergeCell ref="M24:M25"/>
    <mergeCell ref="N24:N25"/>
    <mergeCell ref="G22:G23"/>
    <mergeCell ref="H22:H23"/>
    <mergeCell ref="I22:I23"/>
    <mergeCell ref="J22:J23"/>
    <mergeCell ref="I20:I21"/>
    <mergeCell ref="J20:J21"/>
    <mergeCell ref="K22:K23"/>
    <mergeCell ref="L22:L23"/>
    <mergeCell ref="M22:M23"/>
    <mergeCell ref="N22:N23"/>
    <mergeCell ref="O22:O23"/>
    <mergeCell ref="A22:A23"/>
    <mergeCell ref="B22:B23"/>
    <mergeCell ref="C22:C23"/>
    <mergeCell ref="D22:D23"/>
    <mergeCell ref="E22:E23"/>
    <mergeCell ref="F22:F23"/>
    <mergeCell ref="I34:I35"/>
    <mergeCell ref="J34:J35"/>
    <mergeCell ref="G32:G33"/>
    <mergeCell ref="H32:H33"/>
    <mergeCell ref="I32:I33"/>
    <mergeCell ref="J32:J33"/>
    <mergeCell ref="F28:F29"/>
    <mergeCell ref="L28:L29"/>
    <mergeCell ref="M28:M29"/>
    <mergeCell ref="J30:J31"/>
    <mergeCell ref="A18:A19"/>
    <mergeCell ref="B18:B19"/>
    <mergeCell ref="C18:C19"/>
    <mergeCell ref="D18:D19"/>
    <mergeCell ref="E18:E19"/>
    <mergeCell ref="A24:A25"/>
    <mergeCell ref="B24:B25"/>
    <mergeCell ref="C24:C25"/>
    <mergeCell ref="D24:D25"/>
    <mergeCell ref="A20:A21"/>
    <mergeCell ref="B20:B21"/>
    <mergeCell ref="C20:C21"/>
    <mergeCell ref="D20:D21"/>
    <mergeCell ref="E20:E21"/>
    <mergeCell ref="E28:E29"/>
    <mergeCell ref="G28:G29"/>
    <mergeCell ref="H28:H29"/>
    <mergeCell ref="I28:I29"/>
    <mergeCell ref="J28:J29"/>
    <mergeCell ref="E24:E25"/>
    <mergeCell ref="G24:G25"/>
    <mergeCell ref="H24:H25"/>
    <mergeCell ref="A26:A27"/>
    <mergeCell ref="B26:B27"/>
    <mergeCell ref="C26:C27"/>
    <mergeCell ref="D26:D27"/>
    <mergeCell ref="E26:E27"/>
    <mergeCell ref="A28:A29"/>
    <mergeCell ref="B28:B29"/>
    <mergeCell ref="C28:C29"/>
    <mergeCell ref="D28:D29"/>
    <mergeCell ref="A34:A35"/>
    <mergeCell ref="B34:B35"/>
    <mergeCell ref="C34:C35"/>
    <mergeCell ref="D34:D35"/>
    <mergeCell ref="E34:E35"/>
    <mergeCell ref="K30:K31"/>
    <mergeCell ref="L30:L31"/>
    <mergeCell ref="M30:M31"/>
    <mergeCell ref="N30:N31"/>
    <mergeCell ref="A32:A33"/>
    <mergeCell ref="B32:B33"/>
    <mergeCell ref="C32:C33"/>
    <mergeCell ref="D32:D33"/>
    <mergeCell ref="E32:E33"/>
    <mergeCell ref="A30:A31"/>
    <mergeCell ref="B30:B31"/>
    <mergeCell ref="C30:C31"/>
    <mergeCell ref="D30:D31"/>
    <mergeCell ref="E30:E31"/>
    <mergeCell ref="G30:G31"/>
    <mergeCell ref="H30:H31"/>
    <mergeCell ref="I30:I31"/>
    <mergeCell ref="G34:G35"/>
    <mergeCell ref="H34:H35"/>
    <mergeCell ref="K34:K35"/>
    <mergeCell ref="L34:L35"/>
    <mergeCell ref="M34:M35"/>
    <mergeCell ref="N34:N35"/>
    <mergeCell ref="O34:O35"/>
    <mergeCell ref="AF26:AF27"/>
    <mergeCell ref="K32:K33"/>
    <mergeCell ref="L32:L33"/>
    <mergeCell ref="M32:M33"/>
    <mergeCell ref="N32:N33"/>
    <mergeCell ref="O32:O33"/>
    <mergeCell ref="O30:O31"/>
    <mergeCell ref="N28:N29"/>
    <mergeCell ref="O28:O29"/>
    <mergeCell ref="AF28:AF29"/>
    <mergeCell ref="AF30:AF31"/>
    <mergeCell ref="AF32:AF33"/>
    <mergeCell ref="AF34:AF35"/>
    <mergeCell ref="AG18:AG19"/>
    <mergeCell ref="AG20:AG21"/>
    <mergeCell ref="AG22:AG23"/>
    <mergeCell ref="AG24:AG25"/>
    <mergeCell ref="AG26:AG27"/>
    <mergeCell ref="AG28:AG29"/>
    <mergeCell ref="AF22:AF23"/>
    <mergeCell ref="AF24:AF25"/>
    <mergeCell ref="AG30:AG31"/>
    <mergeCell ref="AG32:AG33"/>
    <mergeCell ref="AG34:AG35"/>
    <mergeCell ref="AH18:AH19"/>
    <mergeCell ref="AH20:AH21"/>
    <mergeCell ref="AH22:AH23"/>
    <mergeCell ref="AH24:AH25"/>
    <mergeCell ref="AH26:AH27"/>
    <mergeCell ref="AH28:AH29"/>
    <mergeCell ref="AH30:AH31"/>
    <mergeCell ref="AI34:AI35"/>
    <mergeCell ref="AH32:AH33"/>
    <mergeCell ref="AH34:AH35"/>
    <mergeCell ref="AI18:AI19"/>
    <mergeCell ref="AI20:AI21"/>
    <mergeCell ref="AI22:AI23"/>
    <mergeCell ref="AI24:AI25"/>
    <mergeCell ref="AI26:AI27"/>
    <mergeCell ref="AI28:AI29"/>
    <mergeCell ref="AI30:AI31"/>
    <mergeCell ref="AI32:AI33"/>
  </mergeCells>
  <conditionalFormatting sqref="J6 R14:R35">
    <cfRule type="cellIs" dxfId="139" priority="17" operator="greaterThanOrEqual">
      <formula>$C$5</formula>
    </cfRule>
    <cfRule type="cellIs" dxfId="138" priority="18" operator="lessThanOrEqual">
      <formula>$C$4</formula>
    </cfRule>
    <cfRule type="cellIs" dxfId="137" priority="19" operator="between">
      <formula>$C$5</formula>
      <formula>$C$4</formula>
    </cfRule>
  </conditionalFormatting>
  <conditionalFormatting sqref="I4">
    <cfRule type="cellIs" dxfId="136" priority="16" operator="lessThanOrEqual">
      <formula>$C$4</formula>
    </cfRule>
  </conditionalFormatting>
  <conditionalFormatting sqref="P6">
    <cfRule type="cellIs" dxfId="135" priority="13" operator="greaterThanOrEqual">
      <formula>$I$5</formula>
    </cfRule>
    <cfRule type="cellIs" dxfId="134" priority="14" operator="lessThanOrEqual">
      <formula>$I$4</formula>
    </cfRule>
    <cfRule type="cellIs" dxfId="133" priority="15" operator="between">
      <formula>$I$5</formula>
      <formula>$I$4</formula>
    </cfRule>
  </conditionalFormatting>
  <conditionalFormatting sqref="W6">
    <cfRule type="cellIs" dxfId="132" priority="7" operator="greaterThanOrEqual">
      <formula>$I$5</formula>
    </cfRule>
    <cfRule type="cellIs" dxfId="131" priority="8" operator="lessThanOrEqual">
      <formula>$I$4</formula>
    </cfRule>
    <cfRule type="cellIs" dxfId="130" priority="9" operator="between">
      <formula>$I$5</formula>
      <formula>$I$4</formula>
    </cfRule>
  </conditionalFormatting>
  <conditionalFormatting sqref="AE6">
    <cfRule type="cellIs" dxfId="129" priority="4" operator="greaterThanOrEqual">
      <formula>$I$5</formula>
    </cfRule>
    <cfRule type="cellIs" dxfId="128" priority="5" operator="lessThanOrEqual">
      <formula>$I$4</formula>
    </cfRule>
    <cfRule type="cellIs" dxfId="127" priority="6" operator="between">
      <formula>$I$5</formula>
      <formula>$I$4</formula>
    </cfRule>
  </conditionalFormatting>
  <conditionalFormatting sqref="AH6">
    <cfRule type="cellIs" dxfId="126" priority="1" operator="greaterThanOrEqual">
      <formula>$I$5</formula>
    </cfRule>
    <cfRule type="cellIs" dxfId="125" priority="2" operator="lessThanOrEqual">
      <formula>$I$4</formula>
    </cfRule>
    <cfRule type="cellIs" dxfId="124" priority="3"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Q14 Q20 Q32 Q18 Q30 Q22 Q24 Q26 Q28 Q16 Q34" xr:uid="{1AED2952-3E90-45E5-BC56-145B909ED0DC}">
      <formula1>0</formula1>
      <formula2>1</formula2>
    </dataValidation>
    <dataValidation type="decimal" allowBlank="1" showInputMessage="1" showErrorMessage="1" prompt="campo calculado  - indica el % de avance  que aporta la activadad a todo el proyecto" sqref="Q21 Q19 Q17 Q15 Q33 Q31 Q23 Q25 Q27 Q29 Q35" xr:uid="{D841A9DE-C9DD-416F-B9A3-5229870126BB}">
      <formula1>0</formula1>
      <formula2>1</formula2>
    </dataValidation>
    <dataValidation type="decimal" allowBlank="1" showInputMessage="1" showErrorMessage="1" prompt="% de avance en la actividad - indique el % programado de avance durante esta semana_x000a_" sqref="S14:AE19 S20:U23 V20:AE24 S25:AE35" xr:uid="{B2FE00B5-C282-4B1B-B483-749FF412591A}">
      <formula1>0</formula1>
      <formula2>1</formula2>
    </dataValidation>
    <dataValidation allowBlank="1" showErrorMessage="1" sqref="R14:R35" xr:uid="{332C594D-407A-47A3-A4CB-2F28C5DB408E}"/>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347B-EBF9-4B9E-B402-EBAAC9B87EF8}">
  <dimension ref="A1:BH47"/>
  <sheetViews>
    <sheetView showGridLines="0" view="pageBreakPreview" zoomScale="59" zoomScaleNormal="10" zoomScaleSheetLayoutView="59" zoomScalePageLayoutView="48" workbookViewId="0">
      <selection activeCell="C12" sqref="C12:C13"/>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5" width="18.140625" style="1" customWidth="1"/>
    <col min="16" max="18" width="13.85546875" style="1" customWidth="1"/>
    <col min="19" max="31" width="9.5703125" style="1" customWidth="1"/>
    <col min="32" max="32" width="35.85546875" style="1" customWidth="1"/>
    <col min="33" max="35" width="42.5703125" style="1" customWidth="1"/>
    <col min="36" max="16384" width="12.5703125" style="1"/>
  </cols>
  <sheetData>
    <row r="1" spans="1:60" s="55" customFormat="1" ht="15" customHeight="1">
      <c r="A1" s="290"/>
      <c r="B1" s="291"/>
      <c r="C1" s="292"/>
      <c r="D1" s="221" t="s">
        <v>181</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69"/>
      <c r="AK2" s="69"/>
      <c r="AL2" s="69"/>
      <c r="AM2" s="69"/>
      <c r="AN2" s="69"/>
      <c r="AO2" s="69"/>
      <c r="AP2" s="69"/>
      <c r="AQ2" s="69"/>
      <c r="AR2" s="69"/>
      <c r="AS2" s="69"/>
      <c r="AT2" s="69"/>
      <c r="AU2" s="69"/>
      <c r="AV2" s="69"/>
      <c r="AW2" s="69"/>
      <c r="AX2" s="69"/>
      <c r="AY2" s="69"/>
      <c r="AZ2" s="69"/>
      <c r="BA2" s="69"/>
      <c r="BB2" s="69"/>
      <c r="BC2" s="69"/>
      <c r="BD2" s="69"/>
      <c r="BE2" s="69"/>
      <c r="BF2" s="69"/>
      <c r="BG2" s="69"/>
      <c r="BH2" s="69"/>
    </row>
    <row r="3" spans="1:60"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69"/>
      <c r="AK3" s="69"/>
      <c r="AL3" s="69"/>
      <c r="AM3" s="69"/>
      <c r="AN3" s="69"/>
      <c r="AO3" s="69"/>
      <c r="AP3" s="69"/>
      <c r="AQ3" s="69"/>
      <c r="AR3" s="69"/>
      <c r="AS3" s="69"/>
      <c r="AT3" s="69"/>
      <c r="AU3" s="69"/>
      <c r="AV3" s="69"/>
      <c r="AW3" s="69"/>
      <c r="AX3" s="69"/>
      <c r="AY3" s="69"/>
      <c r="AZ3" s="69"/>
      <c r="BA3" s="69"/>
      <c r="BB3" s="69"/>
      <c r="BC3" s="69"/>
      <c r="BD3" s="69"/>
      <c r="BE3" s="69"/>
      <c r="BF3" s="69"/>
      <c r="BG3" s="69"/>
      <c r="BH3" s="69"/>
    </row>
    <row r="4" spans="1:60" s="55" customFormat="1" ht="60" hidden="1" customHeigh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row>
    <row r="5" spans="1:60" s="55" customFormat="1" ht="60" hidden="1" customHeight="1" thickBo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row>
    <row r="6" spans="1:60" ht="20.100000000000001" customHeight="1">
      <c r="A6" s="289" t="s">
        <v>11</v>
      </c>
      <c r="B6" s="289"/>
      <c r="C6" s="299" t="s">
        <v>87</v>
      </c>
      <c r="D6" s="299"/>
      <c r="E6" s="274" t="s">
        <v>13</v>
      </c>
      <c r="F6" s="274"/>
      <c r="G6" s="271">
        <f>+Q15+Q17+Q19+Q21+Q23+Q25</f>
        <v>0.99999999999999989</v>
      </c>
      <c r="H6" s="274" t="s">
        <v>14</v>
      </c>
      <c r="I6" s="274"/>
      <c r="J6" s="275">
        <f>+Q14+Q16+Q18+Q20+Q22+Q24</f>
        <v>0</v>
      </c>
      <c r="K6" s="283" t="s">
        <v>15</v>
      </c>
      <c r="L6" s="284"/>
      <c r="M6" s="278">
        <v>0.95</v>
      </c>
      <c r="N6" s="289" t="s">
        <v>16</v>
      </c>
      <c r="O6" s="289"/>
      <c r="P6" s="281">
        <f>(SUM(V14,V16,V18,V20,V22,V24)/SUM(V15,V17,V19,V21,V23,V25))</f>
        <v>0</v>
      </c>
      <c r="Q6" s="281"/>
      <c r="R6" s="281"/>
      <c r="S6" s="228" t="s">
        <v>17</v>
      </c>
      <c r="T6" s="256"/>
      <c r="U6" s="256"/>
      <c r="V6" s="257"/>
      <c r="W6" s="262">
        <f>SUM(Y14,Y16,Y18,Y20,Y22,Y24)/SUM(Y15,Y17,Y19,Y21,Y23,Y25)</f>
        <v>0</v>
      </c>
      <c r="X6" s="263"/>
      <c r="Y6" s="263"/>
      <c r="Z6" s="264"/>
      <c r="AA6" s="228" t="s">
        <v>18</v>
      </c>
      <c r="AB6" s="256"/>
      <c r="AC6" s="256"/>
      <c r="AD6" s="257"/>
      <c r="AE6" s="262">
        <f>SUM(AB14,AB16,AB18,AB20,AB22,AB24)/SUM(AB15,AB17,AB19,AB21,AB23,AB25)</f>
        <v>0</v>
      </c>
      <c r="AF6" s="263"/>
      <c r="AG6" s="228" t="s">
        <v>19</v>
      </c>
      <c r="AH6" s="262">
        <f>SUM(AE14,AE16,AE18,AE20,AE22,AE24)/SUM(AE15,AE17,AE19,AE21,AE23,AE25)</f>
        <v>0</v>
      </c>
    </row>
    <row r="7" spans="1:60" ht="15" customHeight="1">
      <c r="A7" s="289"/>
      <c r="B7" s="289"/>
      <c r="C7" s="299"/>
      <c r="D7" s="299"/>
      <c r="E7" s="274"/>
      <c r="F7" s="274"/>
      <c r="G7" s="272"/>
      <c r="H7" s="274"/>
      <c r="I7" s="274"/>
      <c r="J7" s="276"/>
      <c r="K7" s="285"/>
      <c r="L7" s="286"/>
      <c r="M7" s="279"/>
      <c r="N7" s="289"/>
      <c r="O7" s="289"/>
      <c r="P7" s="281"/>
      <c r="Q7" s="281"/>
      <c r="R7" s="281"/>
      <c r="S7" s="229"/>
      <c r="T7" s="258"/>
      <c r="U7" s="258"/>
      <c r="V7" s="259"/>
      <c r="W7" s="265"/>
      <c r="X7" s="266"/>
      <c r="Y7" s="266"/>
      <c r="Z7" s="267"/>
      <c r="AA7" s="229"/>
      <c r="AB7" s="258"/>
      <c r="AC7" s="258"/>
      <c r="AD7" s="259"/>
      <c r="AE7" s="265"/>
      <c r="AF7" s="266"/>
      <c r="AG7" s="229"/>
      <c r="AH7" s="265"/>
    </row>
    <row r="8" spans="1:60" ht="24.95" hidden="1" customHeight="1" thickBot="1">
      <c r="A8" s="289"/>
      <c r="B8" s="289"/>
      <c r="C8" s="299"/>
      <c r="D8" s="299"/>
      <c r="E8" s="274"/>
      <c r="F8" s="274"/>
      <c r="G8" s="272"/>
      <c r="H8" s="274"/>
      <c r="I8" s="274"/>
      <c r="J8" s="276"/>
      <c r="K8" s="285"/>
      <c r="L8" s="286"/>
      <c r="M8" s="279"/>
      <c r="N8" s="289"/>
      <c r="O8" s="289"/>
      <c r="P8" s="281"/>
      <c r="Q8" s="281"/>
      <c r="R8" s="281"/>
      <c r="S8" s="229"/>
      <c r="T8" s="258"/>
      <c r="U8" s="258"/>
      <c r="V8" s="259"/>
      <c r="W8" s="265"/>
      <c r="X8" s="266"/>
      <c r="Y8" s="266"/>
      <c r="Z8" s="267"/>
      <c r="AA8" s="229"/>
      <c r="AB8" s="258"/>
      <c r="AC8" s="258"/>
      <c r="AD8" s="259"/>
      <c r="AE8" s="265"/>
      <c r="AF8" s="266"/>
      <c r="AG8" s="229"/>
      <c r="AH8" s="265"/>
    </row>
    <row r="9" spans="1:60" ht="24.95" hidden="1" customHeight="1" thickBot="1">
      <c r="A9" s="289"/>
      <c r="B9" s="289"/>
      <c r="C9" s="299"/>
      <c r="D9" s="299"/>
      <c r="E9" s="274"/>
      <c r="F9" s="274"/>
      <c r="G9" s="272"/>
      <c r="H9" s="274"/>
      <c r="I9" s="274"/>
      <c r="J9" s="276"/>
      <c r="K9" s="285"/>
      <c r="L9" s="286"/>
      <c r="M9" s="279"/>
      <c r="N9" s="289"/>
      <c r="O9" s="289"/>
      <c r="P9" s="281"/>
      <c r="Q9" s="281"/>
      <c r="R9" s="281"/>
      <c r="S9" s="229"/>
      <c r="T9" s="258"/>
      <c r="U9" s="258"/>
      <c r="V9" s="259"/>
      <c r="W9" s="265"/>
      <c r="X9" s="266"/>
      <c r="Y9" s="266"/>
      <c r="Z9" s="267"/>
      <c r="AA9" s="229"/>
      <c r="AB9" s="258"/>
      <c r="AC9" s="258"/>
      <c r="AD9" s="259"/>
      <c r="AE9" s="265"/>
      <c r="AF9" s="266"/>
      <c r="AG9" s="229"/>
      <c r="AH9" s="265"/>
    </row>
    <row r="10" spans="1:60" ht="15" customHeight="1" thickBot="1">
      <c r="A10" s="289"/>
      <c r="B10" s="289"/>
      <c r="C10" s="299"/>
      <c r="D10" s="299"/>
      <c r="E10" s="274"/>
      <c r="F10" s="274"/>
      <c r="G10" s="273"/>
      <c r="H10" s="274"/>
      <c r="I10" s="274"/>
      <c r="J10" s="277"/>
      <c r="K10" s="287"/>
      <c r="L10" s="288"/>
      <c r="M10" s="280"/>
      <c r="N10" s="289"/>
      <c r="O10" s="289"/>
      <c r="P10" s="281"/>
      <c r="Q10" s="281"/>
      <c r="R10" s="281"/>
      <c r="S10" s="230"/>
      <c r="T10" s="260"/>
      <c r="U10" s="260"/>
      <c r="V10" s="261"/>
      <c r="W10" s="268"/>
      <c r="X10" s="269"/>
      <c r="Y10" s="269"/>
      <c r="Z10" s="270"/>
      <c r="AA10" s="230"/>
      <c r="AB10" s="260"/>
      <c r="AC10" s="260"/>
      <c r="AD10" s="261"/>
      <c r="AE10" s="268"/>
      <c r="AF10" s="269"/>
      <c r="AG10" s="230"/>
      <c r="AH10" s="268"/>
    </row>
    <row r="11" spans="1:60" s="12" customFormat="1" ht="39.950000000000003" customHeight="1" thickBot="1">
      <c r="A11" s="314" t="s">
        <v>20</v>
      </c>
      <c r="B11" s="314"/>
      <c r="C11" s="314"/>
      <c r="D11" s="314"/>
      <c r="E11" s="314"/>
      <c r="F11" s="315"/>
      <c r="G11" s="316" t="s">
        <v>21</v>
      </c>
      <c r="H11" s="317"/>
      <c r="I11" s="317"/>
      <c r="J11" s="317"/>
      <c r="K11" s="317"/>
      <c r="L11" s="317"/>
      <c r="M11" s="317"/>
      <c r="N11" s="317"/>
      <c r="O11" s="318"/>
      <c r="P11" s="238" t="s">
        <v>22</v>
      </c>
      <c r="Q11" s="239"/>
      <c r="R11" s="239"/>
      <c r="S11" s="239"/>
      <c r="T11" s="239"/>
      <c r="U11" s="239"/>
      <c r="V11" s="239"/>
      <c r="W11" s="239"/>
      <c r="X11" s="239"/>
      <c r="Y11" s="239"/>
      <c r="Z11" s="239"/>
      <c r="AA11" s="239"/>
      <c r="AB11" s="239"/>
      <c r="AC11" s="239"/>
      <c r="AD11" s="239"/>
      <c r="AE11" s="240"/>
      <c r="AF11" s="238" t="s">
        <v>23</v>
      </c>
      <c r="AG11" s="239"/>
      <c r="AH11" s="239"/>
      <c r="AI11" s="239"/>
    </row>
    <row r="12" spans="1:60" ht="39" customHeight="1">
      <c r="A12" s="319" t="s">
        <v>24</v>
      </c>
      <c r="B12" s="321" t="s">
        <v>25</v>
      </c>
      <c r="C12" s="321" t="s">
        <v>26</v>
      </c>
      <c r="D12" s="321" t="s">
        <v>27</v>
      </c>
      <c r="E12" s="321" t="s">
        <v>28</v>
      </c>
      <c r="F12" s="321" t="s">
        <v>29</v>
      </c>
      <c r="G12" s="321" t="s">
        <v>30</v>
      </c>
      <c r="H12" s="321" t="s">
        <v>182</v>
      </c>
      <c r="I12" s="321" t="s">
        <v>183</v>
      </c>
      <c r="J12" s="321" t="s">
        <v>33</v>
      </c>
      <c r="K12" s="321" t="s">
        <v>34</v>
      </c>
      <c r="L12" s="321" t="s">
        <v>35</v>
      </c>
      <c r="M12" s="321" t="s">
        <v>36</v>
      </c>
      <c r="N12" s="321" t="s">
        <v>37</v>
      </c>
      <c r="O12" s="321" t="s">
        <v>38</v>
      </c>
      <c r="P12" s="251" t="s">
        <v>39</v>
      </c>
      <c r="Q12" s="252" t="s">
        <v>40</v>
      </c>
      <c r="R12" s="253" t="s">
        <v>41</v>
      </c>
      <c r="S12" s="247" t="s">
        <v>42</v>
      </c>
      <c r="T12" s="245" t="s">
        <v>43</v>
      </c>
      <c r="U12" s="243" t="s">
        <v>44</v>
      </c>
      <c r="V12" s="249" t="s">
        <v>45</v>
      </c>
      <c r="W12" s="254" t="s">
        <v>46</v>
      </c>
      <c r="X12" s="249" t="s">
        <v>47</v>
      </c>
      <c r="Y12" s="243" t="s">
        <v>47</v>
      </c>
      <c r="Z12" s="245" t="s">
        <v>48</v>
      </c>
      <c r="AA12" s="247" t="s">
        <v>49</v>
      </c>
      <c r="AB12" s="245" t="s">
        <v>50</v>
      </c>
      <c r="AC12" s="243" t="s">
        <v>51</v>
      </c>
      <c r="AD12" s="249" t="s">
        <v>52</v>
      </c>
      <c r="AE12" s="241" t="s">
        <v>53</v>
      </c>
      <c r="AF12" s="237" t="s">
        <v>54</v>
      </c>
      <c r="AG12" s="237" t="s">
        <v>55</v>
      </c>
      <c r="AH12" s="237" t="s">
        <v>56</v>
      </c>
      <c r="AI12" s="237" t="s">
        <v>57</v>
      </c>
    </row>
    <row r="13" spans="1:60" ht="60" customHeight="1" thickBot="1">
      <c r="A13" s="320"/>
      <c r="B13" s="320"/>
      <c r="C13" s="320"/>
      <c r="D13" s="320"/>
      <c r="E13" s="320"/>
      <c r="F13" s="320"/>
      <c r="G13" s="320"/>
      <c r="H13" s="320"/>
      <c r="I13" s="320"/>
      <c r="J13" s="320"/>
      <c r="K13" s="320"/>
      <c r="L13" s="320"/>
      <c r="M13" s="320"/>
      <c r="N13" s="320"/>
      <c r="O13" s="320"/>
      <c r="P13" s="251"/>
      <c r="Q13" s="252"/>
      <c r="R13" s="253"/>
      <c r="S13" s="248"/>
      <c r="T13" s="246"/>
      <c r="U13" s="244"/>
      <c r="V13" s="250"/>
      <c r="W13" s="255"/>
      <c r="X13" s="250"/>
      <c r="Y13" s="244"/>
      <c r="Z13" s="246"/>
      <c r="AA13" s="248"/>
      <c r="AB13" s="246"/>
      <c r="AC13" s="244"/>
      <c r="AD13" s="250"/>
      <c r="AE13" s="242"/>
      <c r="AF13" s="237"/>
      <c r="AG13" s="237"/>
      <c r="AH13" s="237"/>
      <c r="AI13" s="237"/>
    </row>
    <row r="14" spans="1:60" ht="39.950000000000003" customHeight="1" thickBot="1">
      <c r="A14" s="300">
        <v>1</v>
      </c>
      <c r="B14" s="300" t="s">
        <v>184</v>
      </c>
      <c r="C14" s="300" t="s">
        <v>96</v>
      </c>
      <c r="D14" s="300" t="s">
        <v>97</v>
      </c>
      <c r="E14" s="300" t="s">
        <v>86</v>
      </c>
      <c r="F14" s="310" t="s">
        <v>62</v>
      </c>
      <c r="G14" s="300" t="s">
        <v>185</v>
      </c>
      <c r="H14" s="300" t="s">
        <v>186</v>
      </c>
      <c r="I14" s="300" t="s">
        <v>187</v>
      </c>
      <c r="J14" s="300" t="s">
        <v>188</v>
      </c>
      <c r="K14" s="302" t="s">
        <v>189</v>
      </c>
      <c r="L14" s="302" t="s">
        <v>190</v>
      </c>
      <c r="M14" s="302" t="s">
        <v>69</v>
      </c>
      <c r="N14" s="304">
        <v>44896</v>
      </c>
      <c r="O14" s="304">
        <v>45290</v>
      </c>
      <c r="P14" s="60" t="s">
        <v>70</v>
      </c>
      <c r="Q14" s="53">
        <f>+(Q15*R14)</f>
        <v>0</v>
      </c>
      <c r="R14" s="70">
        <f>SUM(S14:AE14)</f>
        <v>0</v>
      </c>
      <c r="S14" s="43"/>
      <c r="T14" s="43"/>
      <c r="U14" s="43"/>
      <c r="V14" s="43"/>
      <c r="W14" s="43"/>
      <c r="X14" s="43"/>
      <c r="Y14" s="43"/>
      <c r="Z14" s="43"/>
      <c r="AA14" s="44"/>
      <c r="AB14" s="44"/>
      <c r="AC14" s="44"/>
      <c r="AD14" s="44"/>
      <c r="AE14" s="44"/>
      <c r="AF14" s="233"/>
      <c r="AG14" s="235"/>
      <c r="AH14" s="231"/>
      <c r="AI14" s="231"/>
    </row>
    <row r="15" spans="1:60" ht="36.950000000000003" customHeight="1" thickBot="1">
      <c r="A15" s="301"/>
      <c r="B15" s="301"/>
      <c r="C15" s="301"/>
      <c r="D15" s="301"/>
      <c r="E15" s="301"/>
      <c r="F15" s="313"/>
      <c r="G15" s="301"/>
      <c r="H15" s="301"/>
      <c r="I15" s="301"/>
      <c r="J15" s="301"/>
      <c r="K15" s="303"/>
      <c r="L15" s="303"/>
      <c r="M15" s="303"/>
      <c r="N15" s="305"/>
      <c r="O15" s="305"/>
      <c r="P15" s="60" t="s">
        <v>71</v>
      </c>
      <c r="Q15" s="52">
        <f>100%/6</f>
        <v>0.16666666666666666</v>
      </c>
      <c r="R15" s="70">
        <f>SUM(S15:AE15)</f>
        <v>1</v>
      </c>
      <c r="S15" s="42"/>
      <c r="T15" s="42"/>
      <c r="U15" s="42"/>
      <c r="V15" s="42">
        <v>0.25</v>
      </c>
      <c r="W15" s="42"/>
      <c r="X15" s="42"/>
      <c r="Y15" s="42">
        <v>0.25</v>
      </c>
      <c r="Z15" s="42"/>
      <c r="AA15" s="42"/>
      <c r="AB15" s="42">
        <v>0.25</v>
      </c>
      <c r="AC15" s="42"/>
      <c r="AD15" s="42"/>
      <c r="AE15" s="42">
        <v>0.25</v>
      </c>
      <c r="AF15" s="234"/>
      <c r="AG15" s="236"/>
      <c r="AH15" s="232"/>
      <c r="AI15" s="232"/>
    </row>
    <row r="16" spans="1:60" ht="36.950000000000003" customHeight="1" thickBot="1">
      <c r="A16" s="300">
        <v>2</v>
      </c>
      <c r="B16" s="300" t="s">
        <v>184</v>
      </c>
      <c r="C16" s="300" t="s">
        <v>96</v>
      </c>
      <c r="D16" s="300" t="s">
        <v>97</v>
      </c>
      <c r="E16" s="300" t="s">
        <v>86</v>
      </c>
      <c r="F16" s="310" t="s">
        <v>62</v>
      </c>
      <c r="G16" s="300" t="s">
        <v>191</v>
      </c>
      <c r="H16" s="300" t="s">
        <v>192</v>
      </c>
      <c r="I16" s="300" t="s">
        <v>193</v>
      </c>
      <c r="J16" s="300" t="s">
        <v>188</v>
      </c>
      <c r="K16" s="302" t="s">
        <v>189</v>
      </c>
      <c r="L16" s="302" t="s">
        <v>190</v>
      </c>
      <c r="M16" s="302" t="s">
        <v>69</v>
      </c>
      <c r="N16" s="304">
        <v>44896</v>
      </c>
      <c r="O16" s="304">
        <v>45290</v>
      </c>
      <c r="P16" s="60" t="s">
        <v>70</v>
      </c>
      <c r="Q16" s="53">
        <f>+(Q17*R16)</f>
        <v>0</v>
      </c>
      <c r="R16" s="70">
        <f>SUM(S16:AE16)</f>
        <v>0</v>
      </c>
      <c r="S16" s="43"/>
      <c r="T16" s="43"/>
      <c r="U16" s="43"/>
      <c r="V16" s="43"/>
      <c r="W16" s="43"/>
      <c r="X16" s="43"/>
      <c r="Y16" s="43"/>
      <c r="Z16" s="43"/>
      <c r="AA16" s="44"/>
      <c r="AB16" s="44"/>
      <c r="AC16" s="44"/>
      <c r="AD16" s="44"/>
      <c r="AE16" s="44"/>
      <c r="AF16" s="233"/>
      <c r="AG16" s="235"/>
      <c r="AH16" s="231"/>
      <c r="AI16" s="231"/>
    </row>
    <row r="17" spans="1:35" ht="36.950000000000003" customHeight="1" thickBot="1">
      <c r="A17" s="301"/>
      <c r="B17" s="301"/>
      <c r="C17" s="301"/>
      <c r="D17" s="301"/>
      <c r="E17" s="301"/>
      <c r="F17" s="311"/>
      <c r="G17" s="301"/>
      <c r="H17" s="301"/>
      <c r="I17" s="301"/>
      <c r="J17" s="301"/>
      <c r="K17" s="303"/>
      <c r="L17" s="303"/>
      <c r="M17" s="303"/>
      <c r="N17" s="305"/>
      <c r="O17" s="305"/>
      <c r="P17" s="60" t="s">
        <v>71</v>
      </c>
      <c r="Q17" s="52">
        <f>100%/6</f>
        <v>0.16666666666666666</v>
      </c>
      <c r="R17" s="70">
        <f>SUM(S17:AE17)</f>
        <v>1</v>
      </c>
      <c r="S17" s="42"/>
      <c r="T17" s="42"/>
      <c r="U17" s="42"/>
      <c r="V17" s="42">
        <v>0.25</v>
      </c>
      <c r="W17" s="42"/>
      <c r="X17" s="42"/>
      <c r="Y17" s="42">
        <v>0.25</v>
      </c>
      <c r="Z17" s="42"/>
      <c r="AA17" s="42"/>
      <c r="AB17" s="42">
        <v>0.25</v>
      </c>
      <c r="AC17" s="42"/>
      <c r="AD17" s="42"/>
      <c r="AE17" s="42">
        <v>0.25</v>
      </c>
      <c r="AF17" s="234"/>
      <c r="AG17" s="236"/>
      <c r="AH17" s="232"/>
      <c r="AI17" s="232"/>
    </row>
    <row r="18" spans="1:35" ht="36.950000000000003" customHeight="1" thickBot="1">
      <c r="A18" s="300">
        <v>3</v>
      </c>
      <c r="B18" s="300" t="s">
        <v>184</v>
      </c>
      <c r="C18" s="300" t="s">
        <v>96</v>
      </c>
      <c r="D18" s="300" t="s">
        <v>97</v>
      </c>
      <c r="E18" s="300" t="s">
        <v>86</v>
      </c>
      <c r="F18" s="310" t="s">
        <v>62</v>
      </c>
      <c r="G18" s="300" t="s">
        <v>191</v>
      </c>
      <c r="H18" s="300" t="s">
        <v>194</v>
      </c>
      <c r="I18" s="300" t="s">
        <v>195</v>
      </c>
      <c r="J18" s="300" t="s">
        <v>188</v>
      </c>
      <c r="K18" s="302" t="s">
        <v>189</v>
      </c>
      <c r="L18" s="302" t="s">
        <v>190</v>
      </c>
      <c r="M18" s="302" t="s">
        <v>69</v>
      </c>
      <c r="N18" s="304">
        <v>44896</v>
      </c>
      <c r="O18" s="304">
        <v>45290</v>
      </c>
      <c r="P18" s="60" t="s">
        <v>70</v>
      </c>
      <c r="Q18" s="53">
        <f>+(Q19*R18)</f>
        <v>0</v>
      </c>
      <c r="R18" s="70">
        <f>SUM(S18:AE18)</f>
        <v>0</v>
      </c>
      <c r="S18" s="43"/>
      <c r="T18" s="43"/>
      <c r="U18" s="43"/>
      <c r="V18" s="43"/>
      <c r="W18" s="43"/>
      <c r="X18" s="43"/>
      <c r="Y18" s="43"/>
      <c r="Z18" s="43"/>
      <c r="AA18" s="44"/>
      <c r="AB18" s="44"/>
      <c r="AC18" s="44"/>
      <c r="AD18" s="44"/>
      <c r="AE18" s="44"/>
      <c r="AF18" s="233"/>
      <c r="AG18" s="235"/>
      <c r="AH18" s="231"/>
      <c r="AI18" s="231"/>
    </row>
    <row r="19" spans="1:35" ht="36.950000000000003" customHeight="1" thickBot="1">
      <c r="A19" s="301"/>
      <c r="B19" s="301"/>
      <c r="C19" s="301"/>
      <c r="D19" s="301"/>
      <c r="E19" s="301"/>
      <c r="F19" s="311"/>
      <c r="G19" s="301"/>
      <c r="H19" s="301"/>
      <c r="I19" s="301"/>
      <c r="J19" s="301"/>
      <c r="K19" s="303"/>
      <c r="L19" s="303"/>
      <c r="M19" s="303"/>
      <c r="N19" s="305"/>
      <c r="O19" s="305"/>
      <c r="P19" s="60" t="s">
        <v>71</v>
      </c>
      <c r="Q19" s="52">
        <f>100%/6</f>
        <v>0.16666666666666666</v>
      </c>
      <c r="R19" s="70">
        <f>SUM(S19:AE19)</f>
        <v>1</v>
      </c>
      <c r="S19" s="42"/>
      <c r="T19" s="42"/>
      <c r="U19" s="42"/>
      <c r="V19" s="42">
        <v>0.25</v>
      </c>
      <c r="W19" s="42"/>
      <c r="X19" s="42"/>
      <c r="Y19" s="42">
        <v>0.25</v>
      </c>
      <c r="Z19" s="42"/>
      <c r="AA19" s="42"/>
      <c r="AB19" s="42">
        <v>0.25</v>
      </c>
      <c r="AC19" s="42"/>
      <c r="AD19" s="42"/>
      <c r="AE19" s="42">
        <v>0.25</v>
      </c>
      <c r="AF19" s="234"/>
      <c r="AG19" s="236"/>
      <c r="AH19" s="232"/>
      <c r="AI19" s="232"/>
    </row>
    <row r="20" spans="1:35" ht="36.950000000000003" customHeight="1" thickBot="1">
      <c r="A20" s="300">
        <v>4</v>
      </c>
      <c r="B20" s="300" t="s">
        <v>184</v>
      </c>
      <c r="C20" s="300" t="s">
        <v>96</v>
      </c>
      <c r="D20" s="300" t="s">
        <v>97</v>
      </c>
      <c r="E20" s="300" t="s">
        <v>86</v>
      </c>
      <c r="F20" s="310" t="s">
        <v>62</v>
      </c>
      <c r="G20" s="300" t="s">
        <v>191</v>
      </c>
      <c r="H20" s="300" t="s">
        <v>196</v>
      </c>
      <c r="I20" s="300" t="s">
        <v>197</v>
      </c>
      <c r="J20" s="300" t="s">
        <v>188</v>
      </c>
      <c r="K20" s="302" t="s">
        <v>189</v>
      </c>
      <c r="L20" s="302" t="s">
        <v>190</v>
      </c>
      <c r="M20" s="302" t="s">
        <v>69</v>
      </c>
      <c r="N20" s="304">
        <v>44896</v>
      </c>
      <c r="O20" s="304">
        <v>45290</v>
      </c>
      <c r="P20" s="60" t="s">
        <v>70</v>
      </c>
      <c r="Q20" s="53">
        <f>+(Q21*R20)</f>
        <v>0</v>
      </c>
      <c r="R20" s="70">
        <f>SUM(S20:AE20)</f>
        <v>0</v>
      </c>
      <c r="S20" s="43"/>
      <c r="T20" s="43"/>
      <c r="U20" s="43"/>
      <c r="V20" s="43"/>
      <c r="W20" s="43"/>
      <c r="X20" s="43"/>
      <c r="Y20" s="43"/>
      <c r="Z20" s="43"/>
      <c r="AA20" s="44"/>
      <c r="AB20" s="44"/>
      <c r="AC20" s="44"/>
      <c r="AD20" s="44"/>
      <c r="AE20" s="44"/>
      <c r="AF20" s="233"/>
      <c r="AG20" s="235"/>
      <c r="AH20" s="231"/>
      <c r="AI20" s="231"/>
    </row>
    <row r="21" spans="1:35" ht="36.950000000000003" customHeight="1" thickBot="1">
      <c r="A21" s="301"/>
      <c r="B21" s="301"/>
      <c r="C21" s="301"/>
      <c r="D21" s="301"/>
      <c r="E21" s="301"/>
      <c r="F21" s="311"/>
      <c r="G21" s="301"/>
      <c r="H21" s="301"/>
      <c r="I21" s="301"/>
      <c r="J21" s="301"/>
      <c r="K21" s="303"/>
      <c r="L21" s="303"/>
      <c r="M21" s="303"/>
      <c r="N21" s="305"/>
      <c r="O21" s="305"/>
      <c r="P21" s="60" t="s">
        <v>71</v>
      </c>
      <c r="Q21" s="52">
        <f>100%/6</f>
        <v>0.16666666666666666</v>
      </c>
      <c r="R21" s="70">
        <f>SUM(S21:AE21)</f>
        <v>1</v>
      </c>
      <c r="S21" s="42"/>
      <c r="T21" s="42"/>
      <c r="U21" s="42"/>
      <c r="V21" s="42">
        <v>0.25</v>
      </c>
      <c r="W21" s="42"/>
      <c r="X21" s="42"/>
      <c r="Y21" s="42">
        <v>0.25</v>
      </c>
      <c r="Z21" s="42"/>
      <c r="AA21" s="42"/>
      <c r="AB21" s="42">
        <v>0.25</v>
      </c>
      <c r="AC21" s="42"/>
      <c r="AD21" s="42"/>
      <c r="AE21" s="42">
        <v>0.25</v>
      </c>
      <c r="AF21" s="234"/>
      <c r="AG21" s="236"/>
      <c r="AH21" s="232"/>
      <c r="AI21" s="232"/>
    </row>
    <row r="22" spans="1:35" ht="36.950000000000003" customHeight="1" thickBot="1">
      <c r="A22" s="300">
        <v>5</v>
      </c>
      <c r="B22" s="300" t="s">
        <v>184</v>
      </c>
      <c r="C22" s="300" t="s">
        <v>96</v>
      </c>
      <c r="D22" s="300" t="s">
        <v>97</v>
      </c>
      <c r="E22" s="300" t="s">
        <v>86</v>
      </c>
      <c r="F22" s="310" t="s">
        <v>62</v>
      </c>
      <c r="G22" s="300" t="s">
        <v>191</v>
      </c>
      <c r="H22" s="300" t="s">
        <v>198</v>
      </c>
      <c r="I22" s="300" t="s">
        <v>199</v>
      </c>
      <c r="J22" s="300" t="s">
        <v>188</v>
      </c>
      <c r="K22" s="302" t="s">
        <v>189</v>
      </c>
      <c r="L22" s="302" t="s">
        <v>190</v>
      </c>
      <c r="M22" s="302" t="s">
        <v>69</v>
      </c>
      <c r="N22" s="304">
        <v>44896</v>
      </c>
      <c r="O22" s="304">
        <v>45290</v>
      </c>
      <c r="P22" s="60" t="s">
        <v>70</v>
      </c>
      <c r="Q22" s="53">
        <f>+(Q23*R22)</f>
        <v>0</v>
      </c>
      <c r="R22" s="70">
        <f>SUM(S22:AE22)</f>
        <v>0</v>
      </c>
      <c r="S22" s="45"/>
      <c r="T22" s="45"/>
      <c r="U22" s="45"/>
      <c r="V22" s="43"/>
      <c r="W22" s="43"/>
      <c r="X22" s="43"/>
      <c r="Y22" s="43"/>
      <c r="Z22" s="43"/>
      <c r="AA22" s="44"/>
      <c r="AB22" s="44"/>
      <c r="AC22" s="44"/>
      <c r="AD22" s="44"/>
      <c r="AE22" s="44"/>
      <c r="AF22" s="233"/>
      <c r="AG22" s="235"/>
      <c r="AH22" s="231"/>
      <c r="AI22" s="231"/>
    </row>
    <row r="23" spans="1:35" ht="36.950000000000003" customHeight="1" thickBot="1">
      <c r="A23" s="301"/>
      <c r="B23" s="301"/>
      <c r="C23" s="301"/>
      <c r="D23" s="301"/>
      <c r="E23" s="301"/>
      <c r="F23" s="311"/>
      <c r="G23" s="301"/>
      <c r="H23" s="301"/>
      <c r="I23" s="301"/>
      <c r="J23" s="301"/>
      <c r="K23" s="303"/>
      <c r="L23" s="303"/>
      <c r="M23" s="303"/>
      <c r="N23" s="305"/>
      <c r="O23" s="305"/>
      <c r="P23" s="60" t="s">
        <v>71</v>
      </c>
      <c r="Q23" s="52">
        <f>100%/6</f>
        <v>0.16666666666666666</v>
      </c>
      <c r="R23" s="70">
        <f>SUM(S23:AE23)</f>
        <v>1</v>
      </c>
      <c r="S23" s="42"/>
      <c r="T23" s="42"/>
      <c r="U23" s="42"/>
      <c r="V23" s="42">
        <v>0.25</v>
      </c>
      <c r="W23" s="42"/>
      <c r="X23" s="42"/>
      <c r="Y23" s="42">
        <v>0.25</v>
      </c>
      <c r="Z23" s="42"/>
      <c r="AA23" s="42"/>
      <c r="AB23" s="42">
        <v>0.25</v>
      </c>
      <c r="AC23" s="42"/>
      <c r="AD23" s="42"/>
      <c r="AE23" s="42">
        <v>0.25</v>
      </c>
      <c r="AF23" s="234"/>
      <c r="AG23" s="236"/>
      <c r="AH23" s="232"/>
      <c r="AI23" s="232"/>
    </row>
    <row r="24" spans="1:35" ht="36.950000000000003" customHeight="1" thickBot="1">
      <c r="A24" s="300">
        <v>6</v>
      </c>
      <c r="B24" s="300" t="s">
        <v>184</v>
      </c>
      <c r="C24" s="300" t="s">
        <v>96</v>
      </c>
      <c r="D24" s="300" t="s">
        <v>97</v>
      </c>
      <c r="E24" s="300" t="s">
        <v>86</v>
      </c>
      <c r="F24" s="310" t="s">
        <v>62</v>
      </c>
      <c r="G24" s="300" t="s">
        <v>191</v>
      </c>
      <c r="H24" s="300" t="s">
        <v>200</v>
      </c>
      <c r="I24" s="300" t="s">
        <v>201</v>
      </c>
      <c r="J24" s="300" t="s">
        <v>188</v>
      </c>
      <c r="K24" s="302" t="s">
        <v>189</v>
      </c>
      <c r="L24" s="302" t="s">
        <v>190</v>
      </c>
      <c r="M24" s="302" t="s">
        <v>69</v>
      </c>
      <c r="N24" s="304">
        <v>44896</v>
      </c>
      <c r="O24" s="304">
        <v>45290</v>
      </c>
      <c r="P24" s="60" t="s">
        <v>70</v>
      </c>
      <c r="Q24" s="53">
        <f>+(Q25*R24)</f>
        <v>0</v>
      </c>
      <c r="R24" s="70">
        <f>SUM(S24:AE24)</f>
        <v>0</v>
      </c>
      <c r="S24" s="59"/>
      <c r="T24" s="59"/>
      <c r="U24" s="59"/>
      <c r="V24" s="43"/>
      <c r="W24" s="43"/>
      <c r="X24" s="43"/>
      <c r="Y24" s="43"/>
      <c r="Z24" s="43"/>
      <c r="AA24" s="44"/>
      <c r="AB24" s="44"/>
      <c r="AC24" s="44"/>
      <c r="AD24" s="44"/>
      <c r="AE24" s="44"/>
      <c r="AF24" s="233"/>
      <c r="AG24" s="235"/>
      <c r="AH24" s="231"/>
      <c r="AI24" s="231"/>
    </row>
    <row r="25" spans="1:35" ht="39.950000000000003" customHeight="1">
      <c r="A25" s="301"/>
      <c r="B25" s="301"/>
      <c r="C25" s="301"/>
      <c r="D25" s="301"/>
      <c r="E25" s="301"/>
      <c r="F25" s="311"/>
      <c r="G25" s="301"/>
      <c r="H25" s="301"/>
      <c r="I25" s="301"/>
      <c r="J25" s="301"/>
      <c r="K25" s="303"/>
      <c r="L25" s="303"/>
      <c r="M25" s="303"/>
      <c r="N25" s="305"/>
      <c r="O25" s="305"/>
      <c r="P25" s="60" t="s">
        <v>71</v>
      </c>
      <c r="Q25" s="52">
        <f>100%/6</f>
        <v>0.16666666666666666</v>
      </c>
      <c r="R25" s="70">
        <f>SUM(S25:AE25)</f>
        <v>1</v>
      </c>
      <c r="S25" s="42"/>
      <c r="T25" s="42"/>
      <c r="U25" s="42"/>
      <c r="V25" s="42">
        <v>0.25</v>
      </c>
      <c r="W25" s="42"/>
      <c r="X25" s="42"/>
      <c r="Y25" s="42">
        <v>0.25</v>
      </c>
      <c r="Z25" s="42"/>
      <c r="AA25" s="42"/>
      <c r="AB25" s="42">
        <v>0.25</v>
      </c>
      <c r="AC25" s="42"/>
      <c r="AD25" s="42"/>
      <c r="AE25" s="42">
        <v>0.25</v>
      </c>
      <c r="AF25" s="234"/>
      <c r="AG25" s="236"/>
      <c r="AH25" s="232"/>
      <c r="AI25" s="232"/>
    </row>
    <row r="27" spans="1:35" s="13" customFormat="1" ht="30" hidden="1" customHeight="1">
      <c r="D27" s="332" t="s">
        <v>15</v>
      </c>
      <c r="E27" s="332"/>
      <c r="F27" s="21">
        <v>1</v>
      </c>
      <c r="H27" s="328" t="s">
        <v>110</v>
      </c>
      <c r="I27" s="22" t="s">
        <v>111</v>
      </c>
      <c r="J27" s="54" t="e">
        <f>SUM(O27:AD27)</f>
        <v>#REF!</v>
      </c>
      <c r="K27" s="33"/>
      <c r="L27" s="33"/>
      <c r="M27" s="33"/>
      <c r="N27" s="33"/>
      <c r="O27" s="33" t="e">
        <f>+(W14*$Q$15)+(W16*$Q$17)+(W18*$Q$19)+(W20*$Q$21)+(W22*$Q$23)+(W25*$Q$25)+(#REF!*#REF!)+(#REF!*#REF!)+(#REF!*#REF!)+(#REF!*#REF!)+(#REF!*#REF!)+(#REF!*#REF!)+(#REF!*#REF!)</f>
        <v>#REF!</v>
      </c>
      <c r="P27" s="33" t="e">
        <f>+(AD14*$Q$15)+(AD16*$Q$17)+(AD18*$Q$19)+(AD20*$Q$21)+(AD22*$Q$23)+(AD25*$Q$25)+(#REF!*#REF!)+(#REF!*#REF!)+(#REF!*#REF!)+(#REF!*#REF!)+(#REF!*#REF!)+(#REF!*#REF!)+(#REF!*#REF!)</f>
        <v>#REF!</v>
      </c>
      <c r="Q27" s="36" t="e">
        <f>+(#REF!*$Q$15)+(#REF!*$Q$17)+(#REF!*$Q$19)+(#REF!*$Q$21)+(#REF!*$Q$23)+(#REF!*$Q$25)+(#REF!*#REF!)+(#REF!*#REF!)+(#REF!*#REF!)+(#REF!*#REF!)+(#REF!*#REF!)+(#REF!*#REF!)+(#REF!*#REF!)</f>
        <v>#REF!</v>
      </c>
      <c r="R27" s="33" t="e">
        <f>+(#REF!*$Q$15)+(#REF!*$Q$17)+(#REF!*$Q$19)+(#REF!*$Q$21)+(#REF!*$Q$23)+(#REF!*$Q$25)+(#REF!*#REF!)+(#REF!*#REF!)+(#REF!*#REF!)+(#REF!*#REF!)+(#REF!*#REF!)+(#REF!*#REF!)+(#REF!*#REF!)</f>
        <v>#REF!</v>
      </c>
      <c r="S27" s="33" t="e">
        <f>+(#REF!*$Q$15)+(#REF!*$Q$17)+(#REF!*$Q$19)+(#REF!*$Q$21)+(#REF!*$Q$23)+(#REF!*$Q$25)+(#REF!*#REF!)+(#REF!*#REF!)+(#REF!*#REF!)+(#REF!*#REF!)+(#REF!*#REF!)+(#REF!*#REF!)+(#REF!*#REF!)</f>
        <v>#REF!</v>
      </c>
      <c r="T27" s="33" t="e">
        <f>+(#REF!*$Q$15)+(#REF!*$Q$17)+(#REF!*$Q$19)+(#REF!*$Q$21)+(#REF!*$Q$23)+(#REF!*$Q$25)+(#REF!*#REF!)+(#REF!*#REF!)+(#REF!*#REF!)+(#REF!*#REF!)+(#REF!*#REF!)+(#REF!*#REF!)+(#REF!*#REF!)</f>
        <v>#REF!</v>
      </c>
      <c r="U27" s="33" t="e">
        <f>+(#REF!*$Q$15)+(#REF!*$Q$17)+(#REF!*$Q$19)+(#REF!*$Q$21)+(#REF!*$Q$23)+(#REF!*$Q$25)+(#REF!*#REF!)+(#REF!*#REF!)+(#REF!*#REF!)+(#REF!*#REF!)+(#REF!*#REF!)+(#REF!*#REF!)+(#REF!*#REF!)</f>
        <v>#REF!</v>
      </c>
      <c r="V27" s="33" t="e">
        <f>+(#REF!*$Q$15)+(#REF!*$Q$17)+(#REF!*$Q$19)+(#REF!*$Q$21)+(#REF!*$Q$23)+(#REF!*$Q$25)+(#REF!*#REF!)+(#REF!*#REF!)+(#REF!*#REF!)+(#REF!*#REF!)+(#REF!*#REF!)+(#REF!*#REF!)+(#REF!*#REF!)</f>
        <v>#REF!</v>
      </c>
      <c r="W27" s="33" t="e">
        <f>+(#REF!*$Q$15)+(#REF!*$Q$17)+(#REF!*$Q$19)+(#REF!*$Q$21)+(#REF!*$Q$23)+(#REF!*$Q$25)+(#REF!*#REF!)+(#REF!*#REF!)+(#REF!*#REF!)+(#REF!*#REF!)+(#REF!*#REF!)+(#REF!*#REF!)+(#REF!*#REF!)</f>
        <v>#REF!</v>
      </c>
      <c r="X27" s="33" t="e">
        <f>+(#REF!*$Q$15)+(#REF!*$Q$17)+(#REF!*$Q$19)+(#REF!*$Q$21)+(#REF!*$Q$23)+(#REF!*$Q$25)+(#REF!*#REF!)+(#REF!*#REF!)+(#REF!*#REF!)+(#REF!*#REF!)+(#REF!*#REF!)+(#REF!*#REF!)+(#REF!*#REF!)</f>
        <v>#REF!</v>
      </c>
      <c r="Y27" s="33" t="e">
        <f>+(#REF!*$Q$15)+(#REF!*$Q$17)+(#REF!*$Q$19)+(#REF!*$Q$21)+(#REF!*$Q$23)+(#REF!*$Q$25)+(#REF!*#REF!)+(#REF!*#REF!)+(#REF!*#REF!)+(#REF!*#REF!)+(#REF!*#REF!)+(#REF!*#REF!)+(#REF!*#REF!)</f>
        <v>#REF!</v>
      </c>
      <c r="Z27" s="33" t="e">
        <f>+(#REF!*$Q$15)+(#REF!*$Q$17)+(#REF!*$Q$19)+(#REF!*$Q$21)+(#REF!*$Q$23)+(#REF!*$Q$25)+(#REF!*#REF!)+(#REF!*#REF!)+(#REF!*#REF!)+(#REF!*#REF!)+(#REF!*#REF!)+(#REF!*#REF!)+(#REF!*#REF!)</f>
        <v>#REF!</v>
      </c>
      <c r="AA27" s="33" t="e">
        <f>+(#REF!*$Q$15)+(#REF!*$Q$17)+(#REF!*$Q$19)+(#REF!*$Q$21)+(#REF!*$Q$23)+(#REF!*$Q$25)+(#REF!*#REF!)+(#REF!*#REF!)+(#REF!*#REF!)+(#REF!*#REF!)+(#REF!*#REF!)+(#REF!*#REF!)+(#REF!*#REF!)</f>
        <v>#REF!</v>
      </c>
      <c r="AB27" s="33" t="e">
        <f>+(#REF!*$Q$15)+(#REF!*$Q$17)+(#REF!*$Q$19)+(#REF!*$Q$21)+(#REF!*$Q$23)+(#REF!*$Q$25)+(#REF!*#REF!)+(#REF!*#REF!)+(#REF!*#REF!)+(#REF!*#REF!)+(#REF!*#REF!)+(#REF!*#REF!)+(#REF!*#REF!)</f>
        <v>#REF!</v>
      </c>
      <c r="AC27" s="36" t="e">
        <f>+(#REF!*$Q$15)+(#REF!*$Q$17)+(#REF!*$Q$19)+(#REF!*$Q$21)+(#REF!*$Q$23)+(#REF!*$Q$25)+(#REF!*#REF!)+(#REF!*#REF!)+(#REF!*#REF!)+(#REF!*#REF!)+(#REF!*#REF!)+(#REF!*#REF!)+(#REF!*#REF!)</f>
        <v>#REF!</v>
      </c>
      <c r="AD27" s="33" t="e">
        <f>+(#REF!*$Q$15)+(#REF!*$Q$17)+(#REF!*$Q$19)+(#REF!*$Q$21)+(#REF!*$Q$23)+(#REF!*$Q$25)+(#REF!*#REF!)+(#REF!*#REF!)+(#REF!*#REF!)+(#REF!*#REF!)+(#REF!*#REF!)+(#REF!*#REF!)+(#REF!*#REF!)</f>
        <v>#REF!</v>
      </c>
      <c r="AE27" s="61"/>
    </row>
    <row r="28" spans="1:35" s="13" customFormat="1" ht="30" hidden="1" customHeight="1">
      <c r="D28" s="332"/>
      <c r="E28" s="332"/>
      <c r="F28" s="21"/>
      <c r="H28" s="329"/>
      <c r="I28" s="15" t="s">
        <v>112</v>
      </c>
      <c r="J28" s="17"/>
      <c r="K28" s="34"/>
      <c r="L28" s="34"/>
      <c r="M28" s="34"/>
      <c r="N28" s="34"/>
      <c r="O28" s="34"/>
      <c r="P28" s="34" t="e">
        <f>SUM(P27:P27)</f>
        <v>#REF!</v>
      </c>
      <c r="Q28" s="37"/>
      <c r="R28" s="34"/>
      <c r="S28" s="34"/>
      <c r="T28" s="27" t="e">
        <f>SUM(Q27:T27)</f>
        <v>#REF!</v>
      </c>
      <c r="U28" s="27"/>
      <c r="V28" s="27"/>
      <c r="W28" s="27"/>
      <c r="X28" s="27" t="e">
        <f>SUM(U27:X27)</f>
        <v>#REF!</v>
      </c>
      <c r="Y28" s="27"/>
      <c r="Z28" s="27"/>
      <c r="AA28" s="27"/>
      <c r="AB28" s="27" t="e">
        <f>SUM(Y27:AB27)</f>
        <v>#REF!</v>
      </c>
      <c r="AC28" s="39"/>
      <c r="AD28" s="27"/>
      <c r="AE28" s="62"/>
    </row>
    <row r="29" spans="1:35" s="13" customFormat="1" ht="30" hidden="1" customHeight="1">
      <c r="H29" s="329"/>
      <c r="I29" s="15" t="s">
        <v>113</v>
      </c>
      <c r="J29" s="14"/>
      <c r="K29" s="34"/>
      <c r="L29" s="34"/>
      <c r="M29" s="34"/>
      <c r="N29" s="34"/>
      <c r="O29" s="34"/>
      <c r="P29" s="34" t="e">
        <f>+#REF!+P28</f>
        <v>#REF!</v>
      </c>
      <c r="Q29" s="37"/>
      <c r="R29" s="34"/>
      <c r="S29" s="34"/>
      <c r="T29" s="26"/>
      <c r="U29" s="27"/>
      <c r="V29" s="27"/>
      <c r="W29" s="27"/>
      <c r="X29" s="27"/>
      <c r="Y29" s="27"/>
      <c r="Z29" s="27"/>
      <c r="AA29" s="27"/>
      <c r="AB29" s="27" t="e">
        <f>+T28+X28+AB28</f>
        <v>#REF!</v>
      </c>
      <c r="AC29" s="39"/>
      <c r="AD29" s="27"/>
      <c r="AE29" s="62"/>
    </row>
    <row r="30" spans="1:35" s="13" customFormat="1" ht="30" hidden="1" customHeight="1">
      <c r="H30" s="330"/>
      <c r="I30" s="18" t="s">
        <v>114</v>
      </c>
      <c r="J30" s="19"/>
      <c r="K30" s="35"/>
      <c r="L30" s="35"/>
      <c r="M30" s="35"/>
      <c r="N30" s="35"/>
      <c r="O30" s="35"/>
      <c r="P30" s="35"/>
      <c r="Q30" s="38"/>
      <c r="R30" s="35"/>
      <c r="S30" s="35"/>
      <c r="T30" s="28"/>
      <c r="U30" s="29"/>
      <c r="V30" s="29"/>
      <c r="W30" s="29"/>
      <c r="X30" s="29"/>
      <c r="Y30" s="29"/>
      <c r="Z30" s="29"/>
      <c r="AA30" s="29"/>
      <c r="AB30" s="29" t="e">
        <f>+P29+AB29</f>
        <v>#REF!</v>
      </c>
      <c r="AC30" s="40"/>
      <c r="AD30" s="29"/>
      <c r="AE30" s="62"/>
    </row>
    <row r="31" spans="1:35" s="13" customFormat="1" ht="30" hidden="1" customHeight="1">
      <c r="H31" s="331" t="s">
        <v>115</v>
      </c>
      <c r="I31" s="15" t="s">
        <v>116</v>
      </c>
      <c r="J31" s="23" t="e">
        <f>SUM(O31:AD31)</f>
        <v>#REF!</v>
      </c>
      <c r="K31" s="34"/>
      <c r="L31" s="34"/>
      <c r="M31" s="34"/>
      <c r="N31" s="34"/>
      <c r="O31" s="34" t="e">
        <f>+(W15*$Q$15)+(W17*$Q$17)+(W19*$Q$19)+(W21*$Q$21)+(#REF!*$Q$23)+(#REF!*$Q$25)+(#REF!*#REF!)+(#REF!*#REF!)+(#REF!*#REF!)+(#REF!*#REF!)+(#REF!*#REF!)+(#REF!*#REF!)+(#REF!*#REF!)</f>
        <v>#REF!</v>
      </c>
      <c r="P31" s="34" t="e">
        <f>+(AD15*$Q$15)+(AD17*$Q$17)+(AD19*$Q$19)+(AD21*$Q$21)+(#REF!*$Q$23)+(#REF!*$Q$25)+(#REF!*#REF!)+(#REF!*#REF!)+(#REF!*#REF!)+(#REF!*#REF!)+(#REF!*#REF!)+(#REF!*#REF!)+(#REF!*#REF!)</f>
        <v>#REF!</v>
      </c>
      <c r="Q31" s="37" t="e">
        <f>+(#REF!*$Q$15)+(#REF!*$Q$17)+(#REF!*$Q$19)+(#REF!*$Q$21)+(#REF!*$Q$23)+(#REF!*$Q$25)+(#REF!*#REF!)+(#REF!*#REF!)+(#REF!*#REF!)+(#REF!*#REF!)+(#REF!*#REF!)+(#REF!*#REF!)+(#REF!*#REF!)</f>
        <v>#REF!</v>
      </c>
      <c r="R31" s="34" t="e">
        <f>+(#REF!*$Q$15)+(#REF!*$Q$17)+(#REF!*$Q$19)+(#REF!*$Q$21)+(#REF!*$Q$23)+(#REF!*$Q$25)+(#REF!*#REF!)+(#REF!*#REF!)+(#REF!*#REF!)+(#REF!*#REF!)+(#REF!*#REF!)+(#REF!*#REF!)+(#REF!*#REF!)</f>
        <v>#REF!</v>
      </c>
      <c r="S31" s="34" t="e">
        <f>+(#REF!*$Q$15)+(#REF!*$Q$17)+(#REF!*$Q$19)+(#REF!*$Q$21)+(#REF!*$Q$23)+(#REF!*$Q$25)+(#REF!*#REF!)+(#REF!*#REF!)+(#REF!*#REF!)+(#REF!*#REF!)+(#REF!*#REF!)+(#REF!*#REF!)+(#REF!*#REF!)</f>
        <v>#REF!</v>
      </c>
      <c r="T31" s="34" t="e">
        <f>+(#REF!*$Q$15)+(#REF!*$Q$17)+(#REF!*$Q$19)+(#REF!*$Q$21)+(#REF!*$Q$23)+(#REF!*$Q$25)+(#REF!*#REF!)+(#REF!*#REF!)+(#REF!*#REF!)+(#REF!*#REF!)+(#REF!*#REF!)+(#REF!*#REF!)+(#REF!*#REF!)</f>
        <v>#REF!</v>
      </c>
      <c r="U31" s="34" t="e">
        <f>+(#REF!*$Q$15)+(#REF!*$Q$17)+(#REF!*$Q$19)+(#REF!*$Q$21)+(#REF!*$Q$23)+(#REF!*$Q$25)+(#REF!*#REF!)+(#REF!*#REF!)+(#REF!*#REF!)+(#REF!*#REF!)+(#REF!*#REF!)+(#REF!*#REF!)+(#REF!*#REF!)</f>
        <v>#REF!</v>
      </c>
      <c r="V31" s="34" t="e">
        <f>+(#REF!*$Q$15)+(#REF!*$Q$17)+(#REF!*$Q$19)+(#REF!*$Q$21)+(#REF!*$Q$23)+(#REF!*$Q$25)+(#REF!*#REF!)+(#REF!*#REF!)+(#REF!*#REF!)+(#REF!*#REF!)+(#REF!*#REF!)+(#REF!*#REF!)+(#REF!*#REF!)</f>
        <v>#REF!</v>
      </c>
      <c r="W31" s="34" t="e">
        <f>+(#REF!*$Q$15)+(#REF!*$Q$17)+(#REF!*$Q$19)+(#REF!*$Q$21)+(#REF!*$Q$23)+(#REF!*$Q$25)+(#REF!*#REF!)+(#REF!*#REF!)+(#REF!*#REF!)+(#REF!*#REF!)+(#REF!*#REF!)+(#REF!*#REF!)+(#REF!*#REF!)</f>
        <v>#REF!</v>
      </c>
      <c r="X31" s="34" t="e">
        <f>+(#REF!*$Q$15)+(#REF!*$Q$17)+(#REF!*$Q$19)+(#REF!*$Q$21)+(#REF!*$Q$23)+(#REF!*$Q$25)+(#REF!*#REF!)+(#REF!*#REF!)+(#REF!*#REF!)+(#REF!*#REF!)+(#REF!*#REF!)+(#REF!*#REF!)+(#REF!*#REF!)</f>
        <v>#REF!</v>
      </c>
      <c r="Y31" s="34" t="e">
        <f>+(#REF!*$Q$15)+(#REF!*$Q$17)+(#REF!*$Q$19)+(#REF!*$Q$21)+(#REF!*$Q$23)+(#REF!*$Q$25)+(#REF!*#REF!)+(#REF!*#REF!)+(#REF!*#REF!)+(#REF!*#REF!)+(#REF!*#REF!)+(#REF!*#REF!)+(#REF!*#REF!)</f>
        <v>#REF!</v>
      </c>
      <c r="Z31" s="34" t="e">
        <f>+(#REF!*$Q$15)+(#REF!*$Q$17)+(#REF!*$Q$19)+(#REF!*$Q$21)+(#REF!*$Q$23)+(#REF!*$Q$25)+(#REF!*#REF!)+(#REF!*#REF!)+(#REF!*#REF!)+(#REF!*#REF!)+(#REF!*#REF!)+(#REF!*#REF!)+(#REF!*#REF!)</f>
        <v>#REF!</v>
      </c>
      <c r="AA31" s="34" t="e">
        <f>+(#REF!*$Q$15)+(#REF!*$Q$17)+(#REF!*$Q$19)+(#REF!*$Q$21)+(#REF!*$Q$23)+(#REF!*$Q$25)+(#REF!*#REF!)+(#REF!*#REF!)+(#REF!*#REF!)+(#REF!*#REF!)+(#REF!*#REF!)+(#REF!*#REF!)+(#REF!*#REF!)</f>
        <v>#REF!</v>
      </c>
      <c r="AB31" s="34" t="e">
        <f>+(#REF!*$Q$15)+(#REF!*$Q$17)+(#REF!*$Q$19)+(#REF!*$Q$21)+(#REF!*$Q$23)+(#REF!*$Q$25)+(#REF!*#REF!)+(#REF!*#REF!)+(#REF!*#REF!)+(#REF!*#REF!)+(#REF!*#REF!)+(#REF!*#REF!)+(#REF!*#REF!)</f>
        <v>#REF!</v>
      </c>
      <c r="AC31" s="37" t="e">
        <f>+(#REF!*$Q$15)+(#REF!*$Q$17)+(#REF!*$Q$19)+(#REF!*$Q$21)+(#REF!*$Q$23)+(#REF!*$Q$25)+(#REF!*#REF!)+(#REF!*#REF!)+(#REF!*#REF!)+(#REF!*#REF!)+(#REF!*#REF!)+(#REF!*#REF!)+(#REF!*#REF!)</f>
        <v>#REF!</v>
      </c>
      <c r="AD31" s="34" t="e">
        <f>+(#REF!*$Q$15)+(#REF!*$Q$17)+(#REF!*$Q$19)+(#REF!*$Q$21)+(#REF!*$Q$23)+(#REF!*$Q$25)+(#REF!*#REF!)+(#REF!*#REF!)+(#REF!*#REF!)+(#REF!*#REF!)+(#REF!*#REF!)+(#REF!*#REF!)+(#REF!*#REF!)</f>
        <v>#REF!</v>
      </c>
      <c r="AE31" s="61"/>
    </row>
    <row r="32" spans="1:35" s="13" customFormat="1" ht="30" hidden="1" customHeight="1">
      <c r="H32" s="329"/>
      <c r="I32" s="15" t="s">
        <v>117</v>
      </c>
      <c r="J32" s="16"/>
      <c r="K32" s="34"/>
      <c r="L32" s="34"/>
      <c r="M32" s="34"/>
      <c r="N32" s="34"/>
      <c r="O32" s="34"/>
      <c r="P32" s="34" t="e">
        <f>SUM(P31:P31)</f>
        <v>#REF!</v>
      </c>
      <c r="Q32" s="37"/>
      <c r="R32" s="34"/>
      <c r="S32" s="34"/>
      <c r="T32" s="34" t="e">
        <f>SUM(Q31:T31)</f>
        <v>#REF!</v>
      </c>
      <c r="U32" s="34"/>
      <c r="V32" s="34"/>
      <c r="W32" s="34"/>
      <c r="X32" s="34" t="e">
        <f>SUM(U31:X31)</f>
        <v>#REF!</v>
      </c>
      <c r="Y32" s="34"/>
      <c r="Z32" s="34"/>
      <c r="AA32" s="34"/>
      <c r="AB32" s="34" t="e">
        <f>SUM(Y31:AB31)</f>
        <v>#REF!</v>
      </c>
      <c r="AC32" s="37"/>
      <c r="AD32" s="34"/>
      <c r="AE32" s="61"/>
    </row>
    <row r="33" spans="8:31" s="13" customFormat="1" ht="30" hidden="1" customHeight="1">
      <c r="H33" s="329"/>
      <c r="I33" s="15" t="s">
        <v>118</v>
      </c>
      <c r="J33" s="14"/>
      <c r="K33" s="34"/>
      <c r="L33" s="34"/>
      <c r="M33" s="34"/>
      <c r="N33" s="34"/>
      <c r="O33" s="34"/>
      <c r="P33" s="34" t="e">
        <f>+#REF!+P32</f>
        <v>#REF!</v>
      </c>
      <c r="Q33" s="37"/>
      <c r="R33" s="34"/>
      <c r="S33" s="34"/>
      <c r="T33" s="26"/>
      <c r="U33" s="27"/>
      <c r="V33" s="27"/>
      <c r="W33" s="27"/>
      <c r="X33" s="27"/>
      <c r="Y33" s="27"/>
      <c r="Z33" s="27"/>
      <c r="AA33" s="27"/>
      <c r="AB33" s="27" t="e">
        <f>+T32+X32+AB32</f>
        <v>#REF!</v>
      </c>
      <c r="AC33" s="39"/>
      <c r="AD33" s="27"/>
      <c r="AE33" s="62"/>
    </row>
    <row r="34" spans="8:31" s="13" customFormat="1" ht="30" hidden="1" customHeight="1">
      <c r="H34" s="330"/>
      <c r="I34" s="20" t="s">
        <v>119</v>
      </c>
      <c r="J34" s="19"/>
      <c r="K34" s="35"/>
      <c r="L34" s="35"/>
      <c r="M34" s="35"/>
      <c r="N34" s="35"/>
      <c r="O34" s="35"/>
      <c r="P34" s="35"/>
      <c r="Q34" s="38"/>
      <c r="R34" s="35"/>
      <c r="S34" s="35"/>
      <c r="T34" s="28"/>
      <c r="U34" s="29"/>
      <c r="V34" s="29"/>
      <c r="W34" s="29"/>
      <c r="X34" s="29"/>
      <c r="Y34" s="29"/>
      <c r="Z34" s="29"/>
      <c r="AA34" s="29"/>
      <c r="AB34" s="29" t="e">
        <f>+P33+AB33</f>
        <v>#REF!</v>
      </c>
      <c r="AC34" s="40"/>
      <c r="AD34" s="41"/>
      <c r="AE34" s="62"/>
    </row>
    <row r="35" spans="8:31" ht="30" hidden="1" customHeight="1">
      <c r="H35" s="24"/>
      <c r="I35" s="326" t="s">
        <v>120</v>
      </c>
      <c r="J35" s="326"/>
      <c r="K35" s="46"/>
      <c r="L35" s="46"/>
      <c r="M35" s="46"/>
      <c r="N35" s="46"/>
      <c r="O35" s="46" t="e">
        <f>+O27/O31</f>
        <v>#REF!</v>
      </c>
      <c r="P35" s="47" t="e">
        <f>+(O27+#REF!+#REF!+#REF!+#REF!+#REF!+#REF!+P27)/(O31+#REF!+#REF!+#REF!+#REF!+#REF!+#REF!+P31)</f>
        <v>#REF!</v>
      </c>
      <c r="Q35" s="48" t="e">
        <f>+(O27+#REF!+#REF!+#REF!+#REF!+#REF!+#REF!+P27+Q27)/(O31+#REF!+#REF!+#REF!+#REF!+#REF!+#REF!+P31+Q31)</f>
        <v>#REF!</v>
      </c>
      <c r="R35" s="46" t="e">
        <f>+(O27+#REF!+#REF!+#REF!+#REF!+#REF!+#REF!+P27+Q27+R27)/(O31+#REF!+#REF!+#REF!+#REF!+#REF!+#REF!+P31+Q31+R31)</f>
        <v>#REF!</v>
      </c>
      <c r="S35" s="46" t="e">
        <f>+(O27+#REF!+#REF!+#REF!+#REF!+#REF!+#REF!+P27+Q27+R27+S27)/(O31+#REF!+#REF!+#REF!+#REF!+#REF!+#REF!+P31+Q31+R31+S31)</f>
        <v>#REF!</v>
      </c>
      <c r="T35" s="47" t="e">
        <f>+(O27+#REF!+#REF!+#REF!+#REF!+#REF!+#REF!+P27+Q27+R27+S27+T27)/(O31+#REF!+#REF!+#REF!+#REF!+#REF!+#REF!+P31+Q31+R31+S31+T31)</f>
        <v>#REF!</v>
      </c>
      <c r="U35" s="46" t="e">
        <f>+(O27+#REF!+#REF!+#REF!+#REF!+#REF!+#REF!+P27+Q27+R27+S27+T27+U27)/(O31+#REF!+#REF!+#REF!+#REF!+#REF!+#REF!+P31+Q31+R31+S31+T31+U31)</f>
        <v>#REF!</v>
      </c>
      <c r="V35" s="46" t="e">
        <f>+(O27+#REF!+#REF!+#REF!+#REF!+#REF!+#REF!+P27+Q27+R27+S27+T27+U27+V27)/(O31+#REF!+#REF!+#REF!+#REF!+#REF!+#REF!+P31+Q31+R31+S31+T31+U31+V31)</f>
        <v>#REF!</v>
      </c>
      <c r="W35" s="46" t="e">
        <f>+(O27+#REF!+#REF!+#REF!+#REF!+#REF!+#REF!+P27+Q27+R27+S27+T27+U27+V27+W27)/(O31+#REF!+#REF!+#REF!+#REF!+#REF!+#REF!+P31+Q31+R31+S31+T31+U31+V31+W31)</f>
        <v>#REF!</v>
      </c>
      <c r="X35" s="47" t="e">
        <f>+(O27+#REF!+#REF!+#REF!+#REF!+#REF!+#REF!+P27+Q27+R27+S27+T27+U27+V27+W27+X27)/(O31+#REF!+#REF!+#REF!+#REF!+#REF!+#REF!+P31+Q31+R31+S31+T31+U31+V31+W31+X31)</f>
        <v>#REF!</v>
      </c>
      <c r="Y35" s="46" t="e">
        <f>+(O27+#REF!+#REF!+#REF!+#REF!+#REF!+#REF!+P27+Q27+R27+S27+T27+U27+V27+W27+X27+Y27)/(O31+#REF!+#REF!+#REF!+#REF!+#REF!+#REF!+P31+Q31+R31+S31+T31+U31+V31+W31+X31+Y31)</f>
        <v>#REF!</v>
      </c>
      <c r="Z35" s="46" t="e">
        <f>+(O27+#REF!+#REF!+#REF!+#REF!+#REF!+#REF!+P27+Q27+R27+S27+T27+U27+V27+W27+X27+Y27+Z27)/(O31+#REF!+#REF!+#REF!+#REF!+#REF!+#REF!+P31+Q31+R31+S31+T31+U31+V31+W31+X31+Y31+Z31)</f>
        <v>#REF!</v>
      </c>
      <c r="AA35" s="46" t="e">
        <f>+(O27+#REF!+#REF!+#REF!+#REF!+#REF!+#REF!+P27+Q27+R27+S27+T27+U27+V27+W27+X27+Y27+Z27+AA27)/(O31+#REF!+#REF!+#REF!+#REF!+#REF!+#REF!+P31+Q31+R31+S31+T31+U31+V31+W31+X31+Y31+Z31+AA31)</f>
        <v>#REF!</v>
      </c>
      <c r="AB35" s="47" t="e">
        <f>+(O27+#REF!+#REF!+#REF!+#REF!+#REF!+#REF!+P27+Q27+R27+S27+T27+U27+V27+W27+X27+Y27+Z27+AA27+AB27)/(O31+#REF!+#REF!+#REF!+#REF!+#REF!+#REF!+P31+Q31+R31+S31+T31+U31+V31+W31+X31+Y31+Z31+AA31+AB31)</f>
        <v>#REF!</v>
      </c>
      <c r="AC35" s="48" t="e">
        <f>+(O27+#REF!+#REF!+#REF!+#REF!+#REF!+#REF!+P27+Q27+R27+S27+T27+U27+V27+W27+X27+Y27+Z27+AA27+AB27+AC27)/(O31+#REF!+#REF!+#REF!+#REF!+#REF!+#REF!+P31+Q31+R31+S31+T31+U31+V31+W31+X31+Y31+Z31+AA31+AB31+AC31)</f>
        <v>#REF!</v>
      </c>
      <c r="AD35" s="46" t="e">
        <f>+(O27+#REF!+#REF!+#REF!+#REF!+#REF!+#REF!+P27+Q27+R27+S27+T27+U27+V27+W27+X27+Y27+Z27+AA27+AB27+AC27+AD27)/(O31+#REF!+#REF!+#REF!+#REF!+#REF!+#REF!+P31+Q31+R31+S31+T31+U31+V31+W31+X31+Y31+Z31+AA31+AB31+AC31+AD31)</f>
        <v>#REF!</v>
      </c>
      <c r="AE35" s="63"/>
    </row>
    <row r="36" spans="8:31" ht="30" hidden="1" customHeight="1">
      <c r="H36" s="24"/>
      <c r="I36" s="327" t="s">
        <v>121</v>
      </c>
      <c r="J36" s="327"/>
      <c r="K36" s="47"/>
      <c r="L36" s="47"/>
      <c r="M36" s="47"/>
      <c r="N36" s="47"/>
      <c r="O36" s="47" t="e">
        <f>+O27/$F$27</f>
        <v>#REF!</v>
      </c>
      <c r="P36" s="47" t="e">
        <f>+(O27+#REF!+#REF!+#REF!+#REF!+#REF!+#REF!+P27)/$F$27</f>
        <v>#REF!</v>
      </c>
      <c r="Q36" s="49" t="e">
        <f>+(O27+#REF!+#REF!+#REF!+#REF!+#REF!+#REF!+P27+Q27)/$F$27</f>
        <v>#REF!</v>
      </c>
      <c r="R36" s="47" t="e">
        <f>+(O27+#REF!+#REF!+#REF!+#REF!+#REF!+#REF!+P27+Q27+R27)/$F$27</f>
        <v>#REF!</v>
      </c>
      <c r="S36" s="47" t="e">
        <f>+(O27+#REF!+#REF!+#REF!+#REF!+#REF!+#REF!+P27+Q27+R27+S27)/$F$27</f>
        <v>#REF!</v>
      </c>
      <c r="T36" s="47" t="e">
        <f>+(O27+#REF!+#REF!+#REF!+#REF!+#REF!+#REF!+P27+Q27+R27+S27+T27)/$F$27</f>
        <v>#REF!</v>
      </c>
      <c r="U36" s="47" t="e">
        <f>+(O27+#REF!+#REF!+#REF!+#REF!+#REF!+#REF!+P27+Q27+R27+S27+T27+U27)/$F$27</f>
        <v>#REF!</v>
      </c>
      <c r="V36" s="47" t="e">
        <f>+(O27+#REF!+#REF!+#REF!+#REF!+#REF!+#REF!+P27+Q27+R27+S27+T27+U27+V27)/$F$27</f>
        <v>#REF!</v>
      </c>
      <c r="W36" s="47" t="e">
        <f>+(O27+#REF!+#REF!+#REF!+#REF!+#REF!+#REF!+P27+Q27+R27+S27+T27+U27+V27+W27)/$F$27</f>
        <v>#REF!</v>
      </c>
      <c r="X36" s="47" t="e">
        <f>+(O27+#REF!+#REF!+#REF!+#REF!+#REF!+#REF!+P27+Q27+R27+S27+T27+U27+V27+W27+X27)/$F$27</f>
        <v>#REF!</v>
      </c>
      <c r="Y36" s="47" t="e">
        <f>+(O27+#REF!+#REF!+#REF!+#REF!+#REF!+#REF!+P27+Q27+R27+S27+T27+U27+V27+W27+X27+Y27)/$F$27</f>
        <v>#REF!</v>
      </c>
      <c r="Z36" s="47" t="e">
        <f>+(O27+#REF!+#REF!+#REF!+#REF!+#REF!+#REF!+P27+Q27+R27+S27+T27+U27+V27+W27+X27+Y27+Z27)/$F$27</f>
        <v>#REF!</v>
      </c>
      <c r="AA36" s="47" t="e">
        <f>+(O27+#REF!+#REF!+#REF!+#REF!+#REF!+#REF!+P27+Q27+R27+S27+T27+U27+V27+W27+X27+Y27+Z27+AA27)/$F$27</f>
        <v>#REF!</v>
      </c>
      <c r="AB36" s="47" t="e">
        <f>+(O27+#REF!+#REF!+#REF!+#REF!+#REF!+#REF!+P27+Q27+R27+S27+T27+U27+V27+W27+X27+Y27+Z27+AA27+AB27)/$F$27</f>
        <v>#REF!</v>
      </c>
      <c r="AC36" s="49" t="e">
        <f>+(O27+#REF!+#REF!+#REF!+#REF!+#REF!+#REF!+P27+Q27+R27+S27+T27+U27+V27+W27+X27+Y27+Z27+AA27+AB27+AC27)/$F$27</f>
        <v>#REF!</v>
      </c>
      <c r="AD36" s="47" t="e">
        <f>+(O27+#REF!+#REF!+#REF!+#REF!+#REF!+#REF!+P27+Q27+R27+S27+T27+U27+V27+W27+X27+Y27+Z27+AA27+AB27+AC27+AD27)/$F$27</f>
        <v>#REF!</v>
      </c>
      <c r="AE36" s="64"/>
    </row>
    <row r="37" spans="8:31" ht="30" hidden="1" customHeight="1">
      <c r="I37" s="326" t="s">
        <v>122</v>
      </c>
      <c r="J37" s="326"/>
      <c r="K37" s="50"/>
      <c r="L37" s="50"/>
      <c r="M37" s="50"/>
      <c r="N37" s="50"/>
      <c r="O37" s="50"/>
      <c r="P37" s="47" t="e">
        <f>+P28/P32</f>
        <v>#REF!</v>
      </c>
      <c r="Q37" s="51"/>
      <c r="R37" s="50"/>
      <c r="S37" s="50"/>
      <c r="T37" s="47" t="e">
        <f>+T28/T32</f>
        <v>#REF!</v>
      </c>
      <c r="U37" s="50"/>
      <c r="V37" s="50"/>
      <c r="W37" s="50"/>
      <c r="X37" s="47" t="e">
        <f>+X28/X32</f>
        <v>#REF!</v>
      </c>
      <c r="Y37" s="50"/>
      <c r="Z37" s="50"/>
      <c r="AA37" s="50"/>
      <c r="AB37" s="47" t="e">
        <f>+AB28/AB32</f>
        <v>#REF!</v>
      </c>
      <c r="AC37" s="51"/>
      <c r="AD37" s="50"/>
      <c r="AE37" s="65"/>
    </row>
    <row r="38" spans="8:31" ht="30" hidden="1" customHeight="1">
      <c r="I38" s="327" t="s">
        <v>123</v>
      </c>
      <c r="J38" s="327"/>
      <c r="K38" s="50"/>
      <c r="L38" s="50"/>
      <c r="M38" s="50"/>
      <c r="N38" s="50"/>
      <c r="O38" s="50"/>
      <c r="P38" s="47" t="e">
        <f>+(#REF!+P28)/$F$27</f>
        <v>#REF!</v>
      </c>
      <c r="Q38" s="51"/>
      <c r="R38" s="50"/>
      <c r="S38" s="50"/>
      <c r="T38" s="47" t="e">
        <f>+(#REF!+P28+T28)/$F$27</f>
        <v>#REF!</v>
      </c>
      <c r="U38" s="50"/>
      <c r="V38" s="50"/>
      <c r="W38" s="50"/>
      <c r="X38" s="47" t="e">
        <f>+(#REF!+P28+T28+X28)/$F$27</f>
        <v>#REF!</v>
      </c>
      <c r="Y38" s="50"/>
      <c r="Z38" s="50"/>
      <c r="AA38" s="50"/>
      <c r="AB38" s="47" t="e">
        <f>+(#REF!+P28+T28+X28+AB28)/$F$27</f>
        <v>#REF!</v>
      </c>
      <c r="AC38" s="51"/>
      <c r="AD38" s="50"/>
      <c r="AE38" s="65"/>
    </row>
    <row r="39" spans="8:31" ht="30" hidden="1" customHeight="1">
      <c r="I39" s="326" t="s">
        <v>124</v>
      </c>
      <c r="J39" s="326"/>
      <c r="K39" s="50"/>
      <c r="L39" s="50"/>
      <c r="M39" s="50"/>
      <c r="N39" s="50"/>
      <c r="O39" s="50"/>
      <c r="P39" s="47" t="e">
        <f>+(#REF!+P28)/(#REF!+P32)</f>
        <v>#REF!</v>
      </c>
      <c r="Q39" s="51"/>
      <c r="R39" s="50"/>
      <c r="S39" s="50"/>
      <c r="T39" s="50"/>
      <c r="U39" s="50"/>
      <c r="V39" s="50"/>
      <c r="W39" s="50"/>
      <c r="X39" s="50"/>
      <c r="Y39" s="50"/>
      <c r="Z39" s="50"/>
      <c r="AA39" s="50"/>
      <c r="AB39" s="47" t="e">
        <f>+(#REF!+P28+T28+X28+AB28)/(#REF!+P32+T32+X32+AB32)</f>
        <v>#REF!</v>
      </c>
      <c r="AC39" s="51"/>
      <c r="AD39" s="50"/>
      <c r="AE39" s="65"/>
    </row>
    <row r="40" spans="8:31" ht="30" hidden="1" customHeight="1">
      <c r="I40" s="326" t="s">
        <v>125</v>
      </c>
      <c r="J40" s="326"/>
      <c r="K40" s="50"/>
      <c r="L40" s="50"/>
      <c r="M40" s="50"/>
      <c r="N40" s="50"/>
      <c r="O40" s="50"/>
      <c r="P40" s="47" t="e">
        <f>+(#REF!+P28)/$F$27</f>
        <v>#REF!</v>
      </c>
      <c r="Q40" s="51"/>
      <c r="R40" s="50"/>
      <c r="S40" s="50"/>
      <c r="T40" s="50"/>
      <c r="U40" s="50"/>
      <c r="V40" s="50"/>
      <c r="W40" s="50"/>
      <c r="X40" s="50"/>
      <c r="Y40" s="50"/>
      <c r="Z40" s="50"/>
      <c r="AA40" s="50"/>
      <c r="AB40" s="47" t="e">
        <f>+(+#REF!+P28+T28+X28+AB28)/$F$27</f>
        <v>#REF!</v>
      </c>
      <c r="AC40" s="51"/>
      <c r="AD40" s="50"/>
      <c r="AE40" s="65"/>
    </row>
    <row r="41" spans="8:31" ht="15" hidden="1" customHeight="1"/>
    <row r="42" spans="8:31" ht="35.1" hidden="1" customHeight="1">
      <c r="H42" s="325" t="s">
        <v>126</v>
      </c>
      <c r="I42" s="325"/>
      <c r="J42" s="30" t="e">
        <f>+#REF!</f>
        <v>#REF!</v>
      </c>
      <c r="K42" s="32"/>
      <c r="L42" s="32"/>
      <c r="M42" s="32"/>
      <c r="N42" s="32"/>
      <c r="O42" s="32"/>
    </row>
    <row r="43" spans="8:31" ht="35.1" hidden="1" customHeight="1">
      <c r="H43" s="325" t="s">
        <v>127</v>
      </c>
      <c r="I43" s="325"/>
      <c r="J43" s="25">
        <f>+F27</f>
        <v>1</v>
      </c>
      <c r="K43" s="32"/>
      <c r="L43" s="32"/>
      <c r="M43" s="32"/>
      <c r="N43" s="32"/>
      <c r="O43" s="32"/>
    </row>
    <row r="44" spans="8:31" ht="35.1" hidden="1" customHeight="1">
      <c r="H44" s="325" t="s">
        <v>128</v>
      </c>
      <c r="I44" s="325"/>
      <c r="J44" s="31" t="e">
        <f>+J42/J43</f>
        <v>#REF!</v>
      </c>
      <c r="K44" s="32"/>
      <c r="L44" s="32"/>
      <c r="M44" s="32"/>
      <c r="N44" s="32"/>
      <c r="O44" s="32"/>
    </row>
    <row r="45" spans="8:31" ht="15" customHeight="1">
      <c r="K45" s="32"/>
      <c r="L45" s="32"/>
      <c r="M45" s="32"/>
      <c r="N45" s="32"/>
      <c r="O45" s="32"/>
    </row>
    <row r="46" spans="8:31" ht="15" customHeight="1">
      <c r="K46" s="32"/>
      <c r="L46" s="32"/>
      <c r="M46" s="32"/>
      <c r="N46" s="32"/>
      <c r="O46" s="32"/>
    </row>
    <row r="47" spans="8:31" ht="15" customHeight="1">
      <c r="K47" s="32"/>
      <c r="L47" s="32"/>
      <c r="M47" s="32"/>
      <c r="N47" s="32"/>
      <c r="O47" s="32"/>
    </row>
  </sheetData>
  <mergeCells count="186">
    <mergeCell ref="A1:C3"/>
    <mergeCell ref="D1:AI3"/>
    <mergeCell ref="A4:A5"/>
    <mergeCell ref="G4:G5"/>
    <mergeCell ref="A6:B10"/>
    <mergeCell ref="C6:D10"/>
    <mergeCell ref="E6:F10"/>
    <mergeCell ref="G6:G10"/>
    <mergeCell ref="H6:I10"/>
    <mergeCell ref="J6:J10"/>
    <mergeCell ref="AH6:AH10"/>
    <mergeCell ref="A11:F11"/>
    <mergeCell ref="G11:O11"/>
    <mergeCell ref="P11:AE11"/>
    <mergeCell ref="AF11:AI11"/>
    <mergeCell ref="K6:L10"/>
    <mergeCell ref="M6:M10"/>
    <mergeCell ref="N6:O10"/>
    <mergeCell ref="P6:R10"/>
    <mergeCell ref="S6:V10"/>
    <mergeCell ref="W6:Z10"/>
    <mergeCell ref="A12:A13"/>
    <mergeCell ref="B12:B13"/>
    <mergeCell ref="C12:C13"/>
    <mergeCell ref="D12:D13"/>
    <mergeCell ref="E12:E13"/>
    <mergeCell ref="F12:F13"/>
    <mergeCell ref="AA6:AD10"/>
    <mergeCell ref="AE6:AF10"/>
    <mergeCell ref="AG6:AG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H12:AH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AI14:AI15"/>
    <mergeCell ref="A16:A17"/>
    <mergeCell ref="B16:B17"/>
    <mergeCell ref="C16:C17"/>
    <mergeCell ref="D16:D17"/>
    <mergeCell ref="E16:E17"/>
    <mergeCell ref="F16:F17"/>
    <mergeCell ref="G16:G17"/>
    <mergeCell ref="H16:H17"/>
    <mergeCell ref="L14:L15"/>
    <mergeCell ref="M14:M15"/>
    <mergeCell ref="N14:N15"/>
    <mergeCell ref="O14:O15"/>
    <mergeCell ref="AF14:AF15"/>
    <mergeCell ref="AG14:AG15"/>
    <mergeCell ref="F14:F15"/>
    <mergeCell ref="G14:G15"/>
    <mergeCell ref="H14:H15"/>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A20:A21"/>
    <mergeCell ref="B20:B21"/>
    <mergeCell ref="C20:C21"/>
    <mergeCell ref="D20:D21"/>
    <mergeCell ref="E20:E21"/>
    <mergeCell ref="F20:F21"/>
    <mergeCell ref="G20:G21"/>
    <mergeCell ref="H20:H21"/>
    <mergeCell ref="L18:L19"/>
    <mergeCell ref="M18:M19"/>
    <mergeCell ref="N18:N19"/>
    <mergeCell ref="O18:O19"/>
    <mergeCell ref="AF18:AF19"/>
    <mergeCell ref="AG18:AG19"/>
    <mergeCell ref="F18:F19"/>
    <mergeCell ref="G18:G19"/>
    <mergeCell ref="H18:H19"/>
    <mergeCell ref="I18:I19"/>
    <mergeCell ref="J18:J19"/>
    <mergeCell ref="K18:K19"/>
    <mergeCell ref="O20:O21"/>
    <mergeCell ref="AF20:AF21"/>
    <mergeCell ref="AG20:AG21"/>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A24:A25"/>
    <mergeCell ref="B24:B25"/>
    <mergeCell ref="C24:C25"/>
    <mergeCell ref="D24:D25"/>
    <mergeCell ref="E24:E25"/>
    <mergeCell ref="F24:F25"/>
    <mergeCell ref="G24:G25"/>
    <mergeCell ref="H24:H25"/>
    <mergeCell ref="L22:L23"/>
    <mergeCell ref="M22:M23"/>
    <mergeCell ref="N22:N23"/>
    <mergeCell ref="O22:O23"/>
    <mergeCell ref="AF22:AF23"/>
    <mergeCell ref="AG22:AG23"/>
    <mergeCell ref="F22:F23"/>
    <mergeCell ref="G22:G23"/>
    <mergeCell ref="H22:H23"/>
    <mergeCell ref="I22:I23"/>
    <mergeCell ref="J22:J23"/>
    <mergeCell ref="K22:K23"/>
    <mergeCell ref="D27:E27"/>
    <mergeCell ref="H27:H30"/>
    <mergeCell ref="D28:E28"/>
    <mergeCell ref="H31:H34"/>
    <mergeCell ref="O24:O25"/>
    <mergeCell ref="AF24:AF25"/>
    <mergeCell ref="AG24:AG25"/>
    <mergeCell ref="AH24:AH25"/>
    <mergeCell ref="AI24:AI25"/>
    <mergeCell ref="I24:I25"/>
    <mergeCell ref="J24:J25"/>
    <mergeCell ref="K24:K25"/>
    <mergeCell ref="L24:L25"/>
    <mergeCell ref="M24:M25"/>
    <mergeCell ref="N24:N25"/>
    <mergeCell ref="H42:I42"/>
    <mergeCell ref="H43:I43"/>
    <mergeCell ref="H44:I44"/>
    <mergeCell ref="I35:J35"/>
    <mergeCell ref="I36:J36"/>
    <mergeCell ref="I37:J37"/>
    <mergeCell ref="I38:J38"/>
    <mergeCell ref="I39:J39"/>
    <mergeCell ref="I40:J40"/>
  </mergeCells>
  <conditionalFormatting sqref="J44 P35:P40 T35:T38 X35:X38 AB35:AB40 K36:O36 Q36:S36 U36:W36 Y36:AA36 AC36:AE36">
    <cfRule type="cellIs" dxfId="123" priority="20" operator="greaterThanOrEqual">
      <formula>$D$9</formula>
    </cfRule>
    <cfRule type="cellIs" dxfId="122" priority="21" operator="lessThanOrEqual">
      <formula>$C$6</formula>
    </cfRule>
    <cfRule type="cellIs" dxfId="121" priority="22" operator="between">
      <formula>$C$6</formula>
      <formula>$D$9</formula>
    </cfRule>
  </conditionalFormatting>
  <conditionalFormatting sqref="J6">
    <cfRule type="cellIs" dxfId="120" priority="17" operator="greaterThanOrEqual">
      <formula>$C$5</formula>
    </cfRule>
    <cfRule type="cellIs" dxfId="119" priority="18" operator="lessThanOrEqual">
      <formula>$C$4</formula>
    </cfRule>
    <cfRule type="cellIs" dxfId="118" priority="19" operator="between">
      <formula>$C$5</formula>
      <formula>$C$4</formula>
    </cfRule>
  </conditionalFormatting>
  <conditionalFormatting sqref="I4">
    <cfRule type="cellIs" dxfId="117" priority="16" operator="lessThanOrEqual">
      <formula>$C$4</formula>
    </cfRule>
  </conditionalFormatting>
  <conditionalFormatting sqref="P6">
    <cfRule type="cellIs" dxfId="116" priority="13" operator="greaterThanOrEqual">
      <formula>$I$5</formula>
    </cfRule>
    <cfRule type="cellIs" dxfId="115" priority="14" operator="lessThanOrEqual">
      <formula>$I$4</formula>
    </cfRule>
    <cfRule type="cellIs" dxfId="114" priority="15" operator="between">
      <formula>$I$5</formula>
      <formula>$I$4</formula>
    </cfRule>
  </conditionalFormatting>
  <conditionalFormatting sqref="R14:R25">
    <cfRule type="cellIs" dxfId="113" priority="10" operator="greaterThanOrEqual">
      <formula>$C$5</formula>
    </cfRule>
    <cfRule type="cellIs" dxfId="112" priority="11" operator="lessThanOrEqual">
      <formula>$C$4</formula>
    </cfRule>
    <cfRule type="cellIs" dxfId="111" priority="12" operator="between">
      <formula>$C$5</formula>
      <formula>$C$4</formula>
    </cfRule>
  </conditionalFormatting>
  <conditionalFormatting sqref="W6">
    <cfRule type="cellIs" dxfId="110" priority="7" operator="greaterThanOrEqual">
      <formula>$I$5</formula>
    </cfRule>
    <cfRule type="cellIs" dxfId="109" priority="8" operator="lessThanOrEqual">
      <formula>$I$4</formula>
    </cfRule>
    <cfRule type="cellIs" dxfId="108" priority="9" operator="between">
      <formula>$I$5</formula>
      <formula>$I$4</formula>
    </cfRule>
  </conditionalFormatting>
  <conditionalFormatting sqref="AE6">
    <cfRule type="cellIs" dxfId="107" priority="4" operator="greaterThanOrEqual">
      <formula>$I$5</formula>
    </cfRule>
    <cfRule type="cellIs" dxfId="106" priority="5" operator="lessThanOrEqual">
      <formula>$I$4</formula>
    </cfRule>
    <cfRule type="cellIs" dxfId="105" priority="6" operator="between">
      <formula>$I$5</formula>
      <formula>$I$4</formula>
    </cfRule>
  </conditionalFormatting>
  <conditionalFormatting sqref="AH6">
    <cfRule type="cellIs" dxfId="104" priority="1" operator="greaterThanOrEqual">
      <formula>$I$5</formula>
    </cfRule>
    <cfRule type="cellIs" dxfId="103" priority="2" operator="lessThanOrEqual">
      <formula>$I$4</formula>
    </cfRule>
    <cfRule type="cellIs" dxfId="102" priority="3" operator="between">
      <formula>$I$5</formula>
      <formula>$I$4</formula>
    </cfRule>
  </conditionalFormatting>
  <dataValidations count="4">
    <dataValidation allowBlank="1" showErrorMessage="1" sqref="R14:R25" xr:uid="{668C2E6E-6849-4D50-8400-DEB90648B25D}"/>
    <dataValidation type="decimal" allowBlank="1" showInputMessage="1" showErrorMessage="1" prompt="% de avance en la actividad - indique el % programado de avance durante esta semana_x000a_" sqref="S14:U23 S25:U25 V14:AE25" xr:uid="{4BE4BED8-21FD-428F-B66B-9D3BF53F8CD3}">
      <formula1>0</formula1>
      <formula2>1</formula2>
    </dataValidation>
    <dataValidation type="decimal" allowBlank="1" showInputMessage="1" showErrorMessage="1" prompt="campo calculado  - indica el % de avance  que aporta la activadad a todo el proyecto" sqref="Q23 Q21 Q19 Q15 Q17 Q25" xr:uid="{616FA6CA-97C2-40F1-9899-3A03C23AB2B3}">
      <formula1>0</formula1>
      <formula2>1</formula2>
    </dataValidation>
    <dataValidation type="decimal" allowBlank="1" showInputMessage="1" showErrorMessage="1" prompt="valor porcentual de la activida - Indique el peso porcentual de la actividad dentro del proyecto" sqref="Q14 Q22 Q18 Q16 Q20 Q24" xr:uid="{05BA2F3B-9109-46C6-850A-0F4DCC4FAB44}">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4E6-0E3C-4D28-A4A6-20A8902E70B4}">
  <dimension ref="A1:S316"/>
  <sheetViews>
    <sheetView zoomScale="60" zoomScaleNormal="60" workbookViewId="0">
      <selection activeCell="B8" sqref="B8"/>
    </sheetView>
  </sheetViews>
  <sheetFormatPr defaultColWidth="11.42578125" defaultRowHeight="14.45"/>
  <cols>
    <col min="1" max="17" width="30.42578125" style="89" customWidth="1"/>
    <col min="18" max="16384" width="11.42578125" style="89"/>
  </cols>
  <sheetData>
    <row r="1" spans="1:19" ht="14.45" customHeight="1">
      <c r="A1" s="342"/>
      <c r="B1" s="342"/>
      <c r="C1" s="343"/>
      <c r="D1" s="346" t="s">
        <v>202</v>
      </c>
      <c r="E1" s="347"/>
      <c r="F1" s="347"/>
      <c r="G1" s="347"/>
      <c r="H1" s="347"/>
      <c r="I1" s="347"/>
      <c r="J1" s="347"/>
      <c r="K1" s="347"/>
      <c r="L1" s="347"/>
      <c r="M1" s="347"/>
      <c r="N1" s="347"/>
      <c r="O1" s="347"/>
      <c r="P1" s="347"/>
      <c r="Q1" s="348"/>
    </row>
    <row r="2" spans="1:19" ht="14.45" customHeight="1">
      <c r="A2" s="342"/>
      <c r="B2" s="342"/>
      <c r="C2" s="343"/>
      <c r="D2" s="349"/>
      <c r="E2" s="350"/>
      <c r="F2" s="350"/>
      <c r="G2" s="350"/>
      <c r="H2" s="350"/>
      <c r="I2" s="350"/>
      <c r="J2" s="350"/>
      <c r="K2" s="350"/>
      <c r="L2" s="350"/>
      <c r="M2" s="350"/>
      <c r="N2" s="350"/>
      <c r="O2" s="350"/>
      <c r="P2" s="350"/>
      <c r="Q2" s="351"/>
    </row>
    <row r="3" spans="1:19" ht="14.45" customHeight="1">
      <c r="A3" s="342"/>
      <c r="B3" s="342"/>
      <c r="C3" s="343"/>
      <c r="D3" s="349"/>
      <c r="E3" s="350"/>
      <c r="F3" s="350"/>
      <c r="G3" s="350"/>
      <c r="H3" s="350"/>
      <c r="I3" s="350"/>
      <c r="J3" s="350"/>
      <c r="K3" s="350"/>
      <c r="L3" s="350"/>
      <c r="M3" s="350"/>
      <c r="N3" s="350"/>
      <c r="O3" s="350"/>
      <c r="P3" s="350"/>
      <c r="Q3" s="351"/>
    </row>
    <row r="4" spans="1:19" ht="14.45" customHeight="1">
      <c r="A4" s="342"/>
      <c r="B4" s="342"/>
      <c r="C4" s="343"/>
      <c r="D4" s="289" t="s">
        <v>203</v>
      </c>
      <c r="E4" s="289"/>
      <c r="F4" s="299" t="s">
        <v>204</v>
      </c>
      <c r="G4" s="299"/>
      <c r="H4" s="352"/>
      <c r="I4" s="353"/>
      <c r="J4" s="353"/>
      <c r="K4" s="353"/>
      <c r="L4" s="353"/>
      <c r="M4" s="353"/>
      <c r="N4" s="353"/>
      <c r="O4" s="353"/>
      <c r="P4" s="353"/>
      <c r="Q4" s="354"/>
    </row>
    <row r="5" spans="1:19" ht="14.45" customHeight="1">
      <c r="A5" s="342"/>
      <c r="B5" s="342"/>
      <c r="C5" s="343"/>
      <c r="D5" s="289"/>
      <c r="E5" s="289"/>
      <c r="F5" s="299"/>
      <c r="G5" s="299"/>
      <c r="H5" s="352"/>
      <c r="I5" s="353"/>
      <c r="J5" s="353"/>
      <c r="K5" s="353"/>
      <c r="L5" s="353"/>
      <c r="M5" s="353"/>
      <c r="N5" s="353"/>
      <c r="O5" s="353"/>
      <c r="P5" s="353"/>
      <c r="Q5" s="354"/>
    </row>
    <row r="6" spans="1:19" ht="14.45" customHeight="1">
      <c r="A6" s="344"/>
      <c r="B6" s="344"/>
      <c r="C6" s="345"/>
      <c r="D6" s="289"/>
      <c r="E6" s="289"/>
      <c r="F6" s="299"/>
      <c r="G6" s="299"/>
      <c r="H6" s="355"/>
      <c r="I6" s="356"/>
      <c r="J6" s="356"/>
      <c r="K6" s="356"/>
      <c r="L6" s="356"/>
      <c r="M6" s="356"/>
      <c r="N6" s="356"/>
      <c r="O6" s="356"/>
      <c r="P6" s="356"/>
      <c r="Q6" s="357"/>
    </row>
    <row r="7" spans="1:19" ht="60" customHeight="1">
      <c r="A7" s="88" t="s">
        <v>205</v>
      </c>
      <c r="B7" s="88" t="s">
        <v>206</v>
      </c>
      <c r="C7" s="88" t="s">
        <v>207</v>
      </c>
      <c r="D7" s="88" t="s">
        <v>208</v>
      </c>
      <c r="E7" s="88" t="s">
        <v>209</v>
      </c>
      <c r="F7" s="88" t="s">
        <v>210</v>
      </c>
      <c r="G7" s="88" t="s">
        <v>211</v>
      </c>
      <c r="H7" s="88" t="s">
        <v>212</v>
      </c>
      <c r="I7" s="88" t="s">
        <v>213</v>
      </c>
      <c r="J7" s="88" t="s">
        <v>214</v>
      </c>
      <c r="K7" s="88" t="s">
        <v>215</v>
      </c>
      <c r="L7" s="88" t="s">
        <v>216</v>
      </c>
      <c r="M7" s="88" t="s">
        <v>217</v>
      </c>
      <c r="N7" s="88" t="s">
        <v>218</v>
      </c>
      <c r="O7" s="88" t="s">
        <v>219</v>
      </c>
      <c r="P7" s="88" t="s">
        <v>220</v>
      </c>
      <c r="Q7" s="88" t="s">
        <v>221</v>
      </c>
      <c r="R7" s="88" t="s">
        <v>222</v>
      </c>
      <c r="S7" s="88" t="s">
        <v>223</v>
      </c>
    </row>
    <row r="8" spans="1:19">
      <c r="A8" s="191" t="s">
        <v>224</v>
      </c>
      <c r="B8" s="191" t="s">
        <v>225</v>
      </c>
      <c r="C8" s="191" t="s">
        <v>226</v>
      </c>
      <c r="D8" s="191" t="s">
        <v>226</v>
      </c>
      <c r="E8" s="191" t="s">
        <v>227</v>
      </c>
      <c r="F8" s="191" t="s">
        <v>228</v>
      </c>
      <c r="G8" s="191" t="s">
        <v>229</v>
      </c>
      <c r="H8" s="191" t="s">
        <v>228</v>
      </c>
      <c r="I8" s="192">
        <v>699900</v>
      </c>
      <c r="J8" s="192">
        <v>699900</v>
      </c>
      <c r="K8" s="191" t="s">
        <v>230</v>
      </c>
      <c r="L8" s="191" t="s">
        <v>228</v>
      </c>
      <c r="M8" s="193"/>
      <c r="N8" s="191" t="s">
        <v>231</v>
      </c>
      <c r="O8" s="191" t="s">
        <v>232</v>
      </c>
      <c r="P8" s="191" t="s">
        <v>233</v>
      </c>
      <c r="Q8" s="191" t="s">
        <v>234</v>
      </c>
      <c r="R8" s="191" t="s">
        <v>230</v>
      </c>
      <c r="S8" s="191" t="s">
        <v>230</v>
      </c>
    </row>
    <row r="9" spans="1:19">
      <c r="A9" s="191" t="s">
        <v>235</v>
      </c>
      <c r="B9" s="191" t="s">
        <v>236</v>
      </c>
      <c r="C9" s="191" t="s">
        <v>226</v>
      </c>
      <c r="D9" s="191" t="s">
        <v>226</v>
      </c>
      <c r="E9" s="191" t="s">
        <v>227</v>
      </c>
      <c r="F9" s="191" t="s">
        <v>228</v>
      </c>
      <c r="G9" s="191" t="s">
        <v>229</v>
      </c>
      <c r="H9" s="191" t="s">
        <v>228</v>
      </c>
      <c r="I9" s="192">
        <v>6300003</v>
      </c>
      <c r="J9" s="192">
        <v>6300003</v>
      </c>
      <c r="K9" s="191" t="s">
        <v>230</v>
      </c>
      <c r="L9" s="191" t="s">
        <v>228</v>
      </c>
      <c r="M9" s="193"/>
      <c r="N9" s="191" t="s">
        <v>231</v>
      </c>
      <c r="O9" s="191" t="s">
        <v>232</v>
      </c>
      <c r="P9" s="191" t="s">
        <v>233</v>
      </c>
      <c r="Q9" s="191" t="s">
        <v>234</v>
      </c>
      <c r="R9" s="191" t="s">
        <v>230</v>
      </c>
      <c r="S9" s="191" t="s">
        <v>230</v>
      </c>
    </row>
    <row r="10" spans="1:19">
      <c r="A10" s="191" t="s">
        <v>237</v>
      </c>
      <c r="B10" s="191" t="s">
        <v>238</v>
      </c>
      <c r="C10" s="191" t="s">
        <v>226</v>
      </c>
      <c r="D10" s="191" t="s">
        <v>226</v>
      </c>
      <c r="E10" s="191" t="s">
        <v>239</v>
      </c>
      <c r="F10" s="191" t="s">
        <v>228</v>
      </c>
      <c r="G10" s="191" t="s">
        <v>229</v>
      </c>
      <c r="H10" s="191" t="s">
        <v>228</v>
      </c>
      <c r="I10" s="192">
        <v>7735000</v>
      </c>
      <c r="J10" s="192">
        <v>7735000</v>
      </c>
      <c r="K10" s="191" t="s">
        <v>230</v>
      </c>
      <c r="L10" s="191" t="s">
        <v>228</v>
      </c>
      <c r="M10" s="193"/>
      <c r="N10" s="191" t="s">
        <v>231</v>
      </c>
      <c r="O10" s="191" t="s">
        <v>232</v>
      </c>
      <c r="P10" s="191" t="s">
        <v>233</v>
      </c>
      <c r="Q10" s="191" t="s">
        <v>234</v>
      </c>
      <c r="R10" s="191" t="s">
        <v>230</v>
      </c>
      <c r="S10" s="191" t="s">
        <v>230</v>
      </c>
    </row>
    <row r="11" spans="1:19">
      <c r="A11" s="191" t="s">
        <v>240</v>
      </c>
      <c r="B11" s="191" t="s">
        <v>241</v>
      </c>
      <c r="C11" s="191" t="s">
        <v>242</v>
      </c>
      <c r="D11" s="191" t="s">
        <v>242</v>
      </c>
      <c r="E11" s="191" t="s">
        <v>239</v>
      </c>
      <c r="F11" s="191" t="s">
        <v>228</v>
      </c>
      <c r="G11" s="191" t="s">
        <v>229</v>
      </c>
      <c r="H11" s="191" t="s">
        <v>228</v>
      </c>
      <c r="I11" s="192">
        <v>113050000</v>
      </c>
      <c r="J11" s="192">
        <v>113050000</v>
      </c>
      <c r="K11" s="191" t="s">
        <v>230</v>
      </c>
      <c r="L11" s="191" t="s">
        <v>228</v>
      </c>
      <c r="M11" s="193"/>
      <c r="N11" s="191" t="s">
        <v>231</v>
      </c>
      <c r="O11" s="191" t="s">
        <v>232</v>
      </c>
      <c r="P11" s="191" t="s">
        <v>233</v>
      </c>
      <c r="Q11" s="191" t="s">
        <v>234</v>
      </c>
      <c r="R11" s="191" t="s">
        <v>230</v>
      </c>
      <c r="S11" s="191" t="s">
        <v>230</v>
      </c>
    </row>
    <row r="12" spans="1:19">
      <c r="A12" s="191" t="s">
        <v>240</v>
      </c>
      <c r="B12" s="191" t="s">
        <v>243</v>
      </c>
      <c r="C12" s="191" t="s">
        <v>226</v>
      </c>
      <c r="D12" s="191" t="s">
        <v>226</v>
      </c>
      <c r="E12" s="191" t="s">
        <v>239</v>
      </c>
      <c r="F12" s="191" t="s">
        <v>228</v>
      </c>
      <c r="G12" s="191" t="s">
        <v>229</v>
      </c>
      <c r="H12" s="191" t="s">
        <v>228</v>
      </c>
      <c r="I12" s="192">
        <v>4500000</v>
      </c>
      <c r="J12" s="192">
        <v>4500000</v>
      </c>
      <c r="K12" s="191" t="s">
        <v>230</v>
      </c>
      <c r="L12" s="191" t="s">
        <v>228</v>
      </c>
      <c r="M12" s="193"/>
      <c r="N12" s="191" t="s">
        <v>231</v>
      </c>
      <c r="O12" s="191" t="s">
        <v>232</v>
      </c>
      <c r="P12" s="191" t="s">
        <v>233</v>
      </c>
      <c r="Q12" s="191" t="s">
        <v>234</v>
      </c>
      <c r="R12" s="191" t="s">
        <v>230</v>
      </c>
      <c r="S12" s="191" t="s">
        <v>230</v>
      </c>
    </row>
    <row r="13" spans="1:19">
      <c r="A13" s="191" t="s">
        <v>244</v>
      </c>
      <c r="B13" s="191" t="s">
        <v>245</v>
      </c>
      <c r="C13" s="191" t="s">
        <v>226</v>
      </c>
      <c r="D13" s="191" t="s">
        <v>226</v>
      </c>
      <c r="E13" s="191" t="s">
        <v>239</v>
      </c>
      <c r="F13" s="191" t="s">
        <v>228</v>
      </c>
      <c r="G13" s="191" t="s">
        <v>229</v>
      </c>
      <c r="H13" s="191" t="s">
        <v>228</v>
      </c>
      <c r="I13" s="192">
        <v>7735000</v>
      </c>
      <c r="J13" s="192">
        <v>7735000</v>
      </c>
      <c r="K13" s="191" t="s">
        <v>230</v>
      </c>
      <c r="L13" s="191" t="s">
        <v>228</v>
      </c>
      <c r="M13" s="193"/>
      <c r="N13" s="191" t="s">
        <v>231</v>
      </c>
      <c r="O13" s="191" t="s">
        <v>232</v>
      </c>
      <c r="P13" s="191" t="s">
        <v>233</v>
      </c>
      <c r="Q13" s="191" t="s">
        <v>234</v>
      </c>
      <c r="R13" s="191" t="s">
        <v>230</v>
      </c>
      <c r="S13" s="191" t="s">
        <v>230</v>
      </c>
    </row>
    <row r="14" spans="1:19">
      <c r="A14" s="191" t="s">
        <v>246</v>
      </c>
      <c r="B14" s="191" t="s">
        <v>247</v>
      </c>
      <c r="C14" s="191" t="s">
        <v>248</v>
      </c>
      <c r="D14" s="191" t="s">
        <v>248</v>
      </c>
      <c r="E14" s="191" t="s">
        <v>227</v>
      </c>
      <c r="F14" s="191" t="s">
        <v>228</v>
      </c>
      <c r="G14" s="191" t="s">
        <v>229</v>
      </c>
      <c r="H14" s="191" t="s">
        <v>228</v>
      </c>
      <c r="I14" s="192">
        <v>5950000</v>
      </c>
      <c r="J14" s="192">
        <v>5000000</v>
      </c>
      <c r="K14" s="191" t="s">
        <v>230</v>
      </c>
      <c r="L14" s="191" t="s">
        <v>228</v>
      </c>
      <c r="M14" s="193"/>
      <c r="N14" s="191" t="s">
        <v>249</v>
      </c>
      <c r="O14" s="191" t="s">
        <v>250</v>
      </c>
      <c r="P14" s="191" t="s">
        <v>233</v>
      </c>
      <c r="Q14" s="191" t="s">
        <v>234</v>
      </c>
      <c r="R14" s="191" t="s">
        <v>230</v>
      </c>
      <c r="S14" s="191" t="s">
        <v>230</v>
      </c>
    </row>
    <row r="15" spans="1:19">
      <c r="A15" s="191" t="s">
        <v>251</v>
      </c>
      <c r="B15" s="191" t="s">
        <v>252</v>
      </c>
      <c r="C15" s="191" t="s">
        <v>248</v>
      </c>
      <c r="D15" s="191" t="s">
        <v>248</v>
      </c>
      <c r="E15" s="191" t="s">
        <v>227</v>
      </c>
      <c r="F15" s="191" t="s">
        <v>228</v>
      </c>
      <c r="G15" s="191" t="s">
        <v>229</v>
      </c>
      <c r="H15" s="191" t="s">
        <v>228</v>
      </c>
      <c r="I15" s="192">
        <v>3570000</v>
      </c>
      <c r="J15" s="192">
        <v>3000000</v>
      </c>
      <c r="K15" s="191" t="s">
        <v>230</v>
      </c>
      <c r="L15" s="191" t="s">
        <v>228</v>
      </c>
      <c r="M15" s="193"/>
      <c r="N15" s="191" t="s">
        <v>249</v>
      </c>
      <c r="O15" s="191" t="s">
        <v>250</v>
      </c>
      <c r="P15" s="191" t="s">
        <v>233</v>
      </c>
      <c r="Q15" s="191" t="s">
        <v>234</v>
      </c>
      <c r="R15" s="191" t="s">
        <v>230</v>
      </c>
      <c r="S15" s="191" t="s">
        <v>230</v>
      </c>
    </row>
    <row r="16" spans="1:19">
      <c r="A16" s="191" t="s">
        <v>237</v>
      </c>
      <c r="B16" s="191" t="s">
        <v>238</v>
      </c>
      <c r="C16" s="191" t="s">
        <v>230</v>
      </c>
      <c r="D16" s="191" t="s">
        <v>230</v>
      </c>
      <c r="E16" s="191" t="s">
        <v>239</v>
      </c>
      <c r="F16" s="191" t="s">
        <v>228</v>
      </c>
      <c r="G16" s="191" t="s">
        <v>229</v>
      </c>
      <c r="H16" s="191" t="s">
        <v>228</v>
      </c>
      <c r="I16" s="192">
        <v>7735000</v>
      </c>
      <c r="J16" s="192">
        <v>6500000</v>
      </c>
      <c r="K16" s="191" t="s">
        <v>230</v>
      </c>
      <c r="L16" s="191" t="s">
        <v>228</v>
      </c>
      <c r="M16" s="193"/>
      <c r="N16" s="191" t="s">
        <v>249</v>
      </c>
      <c r="O16" s="191" t="s">
        <v>250</v>
      </c>
      <c r="P16" s="191" t="s">
        <v>233</v>
      </c>
      <c r="Q16" s="191" t="s">
        <v>234</v>
      </c>
      <c r="R16" s="191" t="s">
        <v>230</v>
      </c>
      <c r="S16" s="191" t="s">
        <v>230</v>
      </c>
    </row>
    <row r="17" spans="1:19">
      <c r="A17" s="191" t="s">
        <v>244</v>
      </c>
      <c r="B17" s="191" t="s">
        <v>245</v>
      </c>
      <c r="C17" s="191" t="s">
        <v>226</v>
      </c>
      <c r="D17" s="191" t="s">
        <v>226</v>
      </c>
      <c r="E17" s="191" t="s">
        <v>239</v>
      </c>
      <c r="F17" s="191" t="s">
        <v>228</v>
      </c>
      <c r="G17" s="191" t="s">
        <v>229</v>
      </c>
      <c r="H17" s="191" t="s">
        <v>228</v>
      </c>
      <c r="I17" s="192">
        <v>3927000</v>
      </c>
      <c r="J17" s="192">
        <v>3300000</v>
      </c>
      <c r="K17" s="191" t="s">
        <v>230</v>
      </c>
      <c r="L17" s="191" t="s">
        <v>228</v>
      </c>
      <c r="M17" s="193"/>
      <c r="N17" s="191" t="s">
        <v>249</v>
      </c>
      <c r="O17" s="191" t="s">
        <v>250</v>
      </c>
      <c r="P17" s="191" t="s">
        <v>233</v>
      </c>
      <c r="Q17" s="191" t="s">
        <v>234</v>
      </c>
      <c r="R17" s="191" t="s">
        <v>230</v>
      </c>
      <c r="S17" s="191" t="s">
        <v>230</v>
      </c>
    </row>
    <row r="18" spans="1:19">
      <c r="A18" s="191" t="s">
        <v>237</v>
      </c>
      <c r="B18" s="191" t="s">
        <v>238</v>
      </c>
      <c r="C18" s="191" t="s">
        <v>226</v>
      </c>
      <c r="D18" s="191" t="s">
        <v>226</v>
      </c>
      <c r="E18" s="191" t="s">
        <v>239</v>
      </c>
      <c r="F18" s="191" t="s">
        <v>228</v>
      </c>
      <c r="G18" s="191" t="s">
        <v>229</v>
      </c>
      <c r="H18" s="191" t="s">
        <v>228</v>
      </c>
      <c r="I18" s="192">
        <v>2380000</v>
      </c>
      <c r="J18" s="192">
        <v>2000000</v>
      </c>
      <c r="K18" s="191" t="s">
        <v>230</v>
      </c>
      <c r="L18" s="191" t="s">
        <v>228</v>
      </c>
      <c r="M18" s="193"/>
      <c r="N18" s="191" t="s">
        <v>253</v>
      </c>
      <c r="O18" s="191" t="s">
        <v>254</v>
      </c>
      <c r="P18" s="191" t="s">
        <v>233</v>
      </c>
      <c r="Q18" s="191" t="s">
        <v>234</v>
      </c>
      <c r="R18" s="191" t="s">
        <v>230</v>
      </c>
      <c r="S18" s="191" t="s">
        <v>230</v>
      </c>
    </row>
    <row r="19" spans="1:19">
      <c r="A19" s="191" t="s">
        <v>235</v>
      </c>
      <c r="B19" s="191" t="s">
        <v>255</v>
      </c>
      <c r="C19" s="191" t="s">
        <v>256</v>
      </c>
      <c r="D19" s="191" t="s">
        <v>256</v>
      </c>
      <c r="E19" s="191" t="s">
        <v>257</v>
      </c>
      <c r="F19" s="191" t="s">
        <v>228</v>
      </c>
      <c r="G19" s="191" t="s">
        <v>229</v>
      </c>
      <c r="H19" s="191" t="s">
        <v>228</v>
      </c>
      <c r="I19" s="192">
        <v>7140000</v>
      </c>
      <c r="J19" s="192">
        <v>6000000</v>
      </c>
      <c r="K19" s="191" t="s">
        <v>230</v>
      </c>
      <c r="L19" s="191" t="s">
        <v>228</v>
      </c>
      <c r="M19" s="193"/>
      <c r="N19" s="191" t="s">
        <v>253</v>
      </c>
      <c r="O19" s="191" t="s">
        <v>254</v>
      </c>
      <c r="P19" s="191" t="s">
        <v>233</v>
      </c>
      <c r="Q19" s="191" t="s">
        <v>234</v>
      </c>
      <c r="R19" s="191" t="s">
        <v>230</v>
      </c>
      <c r="S19" s="191" t="s">
        <v>230</v>
      </c>
    </row>
    <row r="20" spans="1:19">
      <c r="A20" s="191" t="s">
        <v>258</v>
      </c>
      <c r="B20" s="191" t="s">
        <v>259</v>
      </c>
      <c r="C20" s="191" t="s">
        <v>248</v>
      </c>
      <c r="D20" s="191" t="s">
        <v>248</v>
      </c>
      <c r="E20" s="191" t="s">
        <v>227</v>
      </c>
      <c r="F20" s="191" t="s">
        <v>228</v>
      </c>
      <c r="G20" s="191" t="s">
        <v>229</v>
      </c>
      <c r="H20" s="191" t="s">
        <v>228</v>
      </c>
      <c r="I20" s="192">
        <v>2380000</v>
      </c>
      <c r="J20" s="192">
        <v>2000000</v>
      </c>
      <c r="K20" s="191" t="s">
        <v>230</v>
      </c>
      <c r="L20" s="191" t="s">
        <v>228</v>
      </c>
      <c r="M20" s="193"/>
      <c r="N20" s="191" t="s">
        <v>253</v>
      </c>
      <c r="O20" s="191" t="s">
        <v>254</v>
      </c>
      <c r="P20" s="191" t="s">
        <v>233</v>
      </c>
      <c r="Q20" s="191" t="s">
        <v>234</v>
      </c>
      <c r="R20" s="191" t="s">
        <v>230</v>
      </c>
      <c r="S20" s="191" t="s">
        <v>230</v>
      </c>
    </row>
    <row r="21" spans="1:19">
      <c r="A21" s="191" t="s">
        <v>224</v>
      </c>
      <c r="B21" s="191" t="s">
        <v>225</v>
      </c>
      <c r="C21" s="191" t="s">
        <v>226</v>
      </c>
      <c r="D21" s="191" t="s">
        <v>226</v>
      </c>
      <c r="E21" s="191" t="s">
        <v>227</v>
      </c>
      <c r="F21" s="191" t="s">
        <v>228</v>
      </c>
      <c r="G21" s="191" t="s">
        <v>229</v>
      </c>
      <c r="H21" s="191" t="s">
        <v>228</v>
      </c>
      <c r="I21" s="192">
        <v>1000000</v>
      </c>
      <c r="J21" s="192">
        <v>1000000</v>
      </c>
      <c r="K21" s="191" t="s">
        <v>230</v>
      </c>
      <c r="L21" s="191" t="s">
        <v>228</v>
      </c>
      <c r="M21" s="193"/>
      <c r="N21" s="191" t="s">
        <v>260</v>
      </c>
      <c r="O21" s="191" t="s">
        <v>261</v>
      </c>
      <c r="P21" s="191" t="s">
        <v>233</v>
      </c>
      <c r="Q21" s="191" t="s">
        <v>234</v>
      </c>
      <c r="R21" s="191" t="s">
        <v>230</v>
      </c>
      <c r="S21" s="191" t="s">
        <v>230</v>
      </c>
    </row>
    <row r="22" spans="1:19">
      <c r="A22" s="191" t="s">
        <v>235</v>
      </c>
      <c r="B22" s="191" t="s">
        <v>262</v>
      </c>
      <c r="C22" s="191" t="s">
        <v>226</v>
      </c>
      <c r="D22" s="191" t="s">
        <v>226</v>
      </c>
      <c r="E22" s="191" t="s">
        <v>227</v>
      </c>
      <c r="F22" s="191" t="s">
        <v>228</v>
      </c>
      <c r="G22" s="191" t="s">
        <v>229</v>
      </c>
      <c r="H22" s="191" t="s">
        <v>228</v>
      </c>
      <c r="I22" s="192">
        <v>10000000</v>
      </c>
      <c r="J22" s="192">
        <v>10000000</v>
      </c>
      <c r="K22" s="191" t="s">
        <v>230</v>
      </c>
      <c r="L22" s="191" t="s">
        <v>228</v>
      </c>
      <c r="M22" s="193"/>
      <c r="N22" s="191" t="s">
        <v>260</v>
      </c>
      <c r="O22" s="191" t="s">
        <v>261</v>
      </c>
      <c r="P22" s="191" t="s">
        <v>233</v>
      </c>
      <c r="Q22" s="191" t="s">
        <v>234</v>
      </c>
      <c r="R22" s="191" t="s">
        <v>230</v>
      </c>
      <c r="S22" s="191" t="s">
        <v>230</v>
      </c>
    </row>
    <row r="23" spans="1:19">
      <c r="A23" s="191" t="s">
        <v>263</v>
      </c>
      <c r="B23" s="191" t="s">
        <v>264</v>
      </c>
      <c r="C23" s="191" t="s">
        <v>226</v>
      </c>
      <c r="D23" s="191" t="s">
        <v>226</v>
      </c>
      <c r="E23" s="191" t="s">
        <v>227</v>
      </c>
      <c r="F23" s="191" t="s">
        <v>228</v>
      </c>
      <c r="G23" s="191" t="s">
        <v>229</v>
      </c>
      <c r="H23" s="191" t="s">
        <v>228</v>
      </c>
      <c r="I23" s="192">
        <v>129000000</v>
      </c>
      <c r="J23" s="192">
        <v>129000000</v>
      </c>
      <c r="K23" s="191" t="s">
        <v>230</v>
      </c>
      <c r="L23" s="191" t="s">
        <v>228</v>
      </c>
      <c r="M23" s="193"/>
      <c r="N23" s="191" t="s">
        <v>260</v>
      </c>
      <c r="O23" s="191" t="s">
        <v>261</v>
      </c>
      <c r="P23" s="191" t="s">
        <v>233</v>
      </c>
      <c r="Q23" s="191" t="s">
        <v>234</v>
      </c>
      <c r="R23" s="191" t="s">
        <v>230</v>
      </c>
      <c r="S23" s="191" t="s">
        <v>230</v>
      </c>
    </row>
    <row r="24" spans="1:19">
      <c r="A24" s="191" t="s">
        <v>265</v>
      </c>
      <c r="B24" s="191" t="s">
        <v>266</v>
      </c>
      <c r="C24" s="191" t="s">
        <v>256</v>
      </c>
      <c r="D24" s="191" t="s">
        <v>256</v>
      </c>
      <c r="E24" s="191" t="s">
        <v>267</v>
      </c>
      <c r="F24" s="191" t="s">
        <v>228</v>
      </c>
      <c r="G24" s="191" t="s">
        <v>229</v>
      </c>
      <c r="H24" s="191" t="s">
        <v>228</v>
      </c>
      <c r="I24" s="192">
        <v>595000</v>
      </c>
      <c r="J24" s="192">
        <v>595000</v>
      </c>
      <c r="K24" s="191" t="s">
        <v>230</v>
      </c>
      <c r="L24" s="191" t="s">
        <v>228</v>
      </c>
      <c r="M24" s="193"/>
      <c r="N24" s="191" t="s">
        <v>268</v>
      </c>
      <c r="O24" s="191" t="s">
        <v>269</v>
      </c>
      <c r="P24" s="191" t="s">
        <v>233</v>
      </c>
      <c r="Q24" s="191" t="s">
        <v>234</v>
      </c>
      <c r="R24" s="191" t="s">
        <v>230</v>
      </c>
      <c r="S24" s="191" t="s">
        <v>230</v>
      </c>
    </row>
    <row r="25" spans="1:19">
      <c r="A25" s="191" t="s">
        <v>237</v>
      </c>
      <c r="B25" s="191" t="s">
        <v>270</v>
      </c>
      <c r="C25" s="191" t="s">
        <v>226</v>
      </c>
      <c r="D25" s="191" t="s">
        <v>226</v>
      </c>
      <c r="E25" s="191" t="s">
        <v>239</v>
      </c>
      <c r="F25" s="191" t="s">
        <v>228</v>
      </c>
      <c r="G25" s="191" t="s">
        <v>229</v>
      </c>
      <c r="H25" s="191" t="s">
        <v>228</v>
      </c>
      <c r="I25" s="192">
        <v>4091063</v>
      </c>
      <c r="J25" s="192">
        <v>4091063</v>
      </c>
      <c r="K25" s="191" t="s">
        <v>230</v>
      </c>
      <c r="L25" s="191" t="s">
        <v>228</v>
      </c>
      <c r="M25" s="193"/>
      <c r="N25" s="191" t="s">
        <v>268</v>
      </c>
      <c r="O25" s="191" t="s">
        <v>269</v>
      </c>
      <c r="P25" s="191" t="s">
        <v>233</v>
      </c>
      <c r="Q25" s="191" t="s">
        <v>234</v>
      </c>
      <c r="R25" s="191" t="s">
        <v>230</v>
      </c>
      <c r="S25" s="191" t="s">
        <v>230</v>
      </c>
    </row>
    <row r="26" spans="1:19">
      <c r="A26" s="191" t="s">
        <v>271</v>
      </c>
      <c r="B26" s="191" t="s">
        <v>272</v>
      </c>
      <c r="C26" s="191" t="s">
        <v>226</v>
      </c>
      <c r="D26" s="191" t="s">
        <v>226</v>
      </c>
      <c r="E26" s="191" t="s">
        <v>239</v>
      </c>
      <c r="F26" s="191" t="s">
        <v>228</v>
      </c>
      <c r="G26" s="191" t="s">
        <v>229</v>
      </c>
      <c r="H26" s="191" t="s">
        <v>228</v>
      </c>
      <c r="I26" s="192">
        <v>3162106</v>
      </c>
      <c r="J26" s="192">
        <v>3162106</v>
      </c>
      <c r="K26" s="191" t="s">
        <v>230</v>
      </c>
      <c r="L26" s="191" t="s">
        <v>228</v>
      </c>
      <c r="M26" s="193"/>
      <c r="N26" s="191" t="s">
        <v>268</v>
      </c>
      <c r="O26" s="191" t="s">
        <v>269</v>
      </c>
      <c r="P26" s="191" t="s">
        <v>233</v>
      </c>
      <c r="Q26" s="191" t="s">
        <v>234</v>
      </c>
      <c r="R26" s="191" t="s">
        <v>230</v>
      </c>
      <c r="S26" s="191" t="s">
        <v>230</v>
      </c>
    </row>
    <row r="27" spans="1:19">
      <c r="A27" s="191" t="s">
        <v>273</v>
      </c>
      <c r="B27" s="191" t="s">
        <v>274</v>
      </c>
      <c r="C27" s="191" t="s">
        <v>248</v>
      </c>
      <c r="D27" s="191" t="s">
        <v>248</v>
      </c>
      <c r="E27" s="191" t="s">
        <v>257</v>
      </c>
      <c r="F27" s="191" t="s">
        <v>228</v>
      </c>
      <c r="G27" s="191" t="s">
        <v>229</v>
      </c>
      <c r="H27" s="191" t="s">
        <v>228</v>
      </c>
      <c r="I27" s="192">
        <v>1785000</v>
      </c>
      <c r="J27" s="192">
        <v>1785000</v>
      </c>
      <c r="K27" s="191" t="s">
        <v>230</v>
      </c>
      <c r="L27" s="191" t="s">
        <v>228</v>
      </c>
      <c r="M27" s="193"/>
      <c r="N27" s="191" t="s">
        <v>268</v>
      </c>
      <c r="O27" s="191" t="s">
        <v>269</v>
      </c>
      <c r="P27" s="191" t="s">
        <v>233</v>
      </c>
      <c r="Q27" s="191" t="s">
        <v>234</v>
      </c>
      <c r="R27" s="191" t="s">
        <v>230</v>
      </c>
      <c r="S27" s="191" t="s">
        <v>230</v>
      </c>
    </row>
    <row r="28" spans="1:19">
      <c r="A28" s="191" t="s">
        <v>275</v>
      </c>
      <c r="B28" s="191" t="s">
        <v>276</v>
      </c>
      <c r="C28" s="191" t="s">
        <v>248</v>
      </c>
      <c r="D28" s="191" t="s">
        <v>248</v>
      </c>
      <c r="E28" s="191" t="s">
        <v>257</v>
      </c>
      <c r="F28" s="191" t="s">
        <v>228</v>
      </c>
      <c r="G28" s="191" t="s">
        <v>229</v>
      </c>
      <c r="H28" s="191" t="s">
        <v>228</v>
      </c>
      <c r="I28" s="192">
        <v>2380000</v>
      </c>
      <c r="J28" s="192">
        <v>2380000</v>
      </c>
      <c r="K28" s="191" t="s">
        <v>230</v>
      </c>
      <c r="L28" s="191" t="s">
        <v>228</v>
      </c>
      <c r="M28" s="193"/>
      <c r="N28" s="191" t="s">
        <v>268</v>
      </c>
      <c r="O28" s="191" t="s">
        <v>269</v>
      </c>
      <c r="P28" s="191" t="s">
        <v>233</v>
      </c>
      <c r="Q28" s="191" t="s">
        <v>234</v>
      </c>
      <c r="R28" s="191" t="s">
        <v>230</v>
      </c>
      <c r="S28" s="191" t="s">
        <v>230</v>
      </c>
    </row>
    <row r="29" spans="1:19">
      <c r="A29" s="191" t="s">
        <v>277</v>
      </c>
      <c r="B29" s="191" t="s">
        <v>278</v>
      </c>
      <c r="C29" s="191" t="s">
        <v>226</v>
      </c>
      <c r="D29" s="191" t="s">
        <v>226</v>
      </c>
      <c r="E29" s="191" t="s">
        <v>257</v>
      </c>
      <c r="F29" s="191" t="s">
        <v>228</v>
      </c>
      <c r="G29" s="191" t="s">
        <v>229</v>
      </c>
      <c r="H29" s="191" t="s">
        <v>228</v>
      </c>
      <c r="I29" s="192">
        <v>14280000</v>
      </c>
      <c r="J29" s="192">
        <v>14280000</v>
      </c>
      <c r="K29" s="191" t="s">
        <v>230</v>
      </c>
      <c r="L29" s="191" t="s">
        <v>228</v>
      </c>
      <c r="M29" s="193"/>
      <c r="N29" s="191" t="s">
        <v>268</v>
      </c>
      <c r="O29" s="191" t="s">
        <v>269</v>
      </c>
      <c r="P29" s="191" t="s">
        <v>233</v>
      </c>
      <c r="Q29" s="191" t="s">
        <v>234</v>
      </c>
      <c r="R29" s="191" t="s">
        <v>230</v>
      </c>
      <c r="S29" s="191" t="s">
        <v>230</v>
      </c>
    </row>
    <row r="30" spans="1:19">
      <c r="A30" s="191" t="s">
        <v>279</v>
      </c>
      <c r="B30" s="191" t="s">
        <v>280</v>
      </c>
      <c r="C30" s="191" t="s">
        <v>226</v>
      </c>
      <c r="D30" s="191" t="s">
        <v>226</v>
      </c>
      <c r="E30" s="191" t="s">
        <v>239</v>
      </c>
      <c r="F30" s="191" t="s">
        <v>228</v>
      </c>
      <c r="G30" s="191" t="s">
        <v>229</v>
      </c>
      <c r="H30" s="191" t="s">
        <v>228</v>
      </c>
      <c r="I30" s="192">
        <v>5000000</v>
      </c>
      <c r="J30" s="192">
        <v>5000000</v>
      </c>
      <c r="K30" s="191" t="s">
        <v>230</v>
      </c>
      <c r="L30" s="191" t="s">
        <v>228</v>
      </c>
      <c r="M30" s="193"/>
      <c r="N30" s="191" t="s">
        <v>268</v>
      </c>
      <c r="O30" s="191" t="s">
        <v>269</v>
      </c>
      <c r="P30" s="191" t="s">
        <v>233</v>
      </c>
      <c r="Q30" s="191" t="s">
        <v>234</v>
      </c>
      <c r="R30" s="191" t="s">
        <v>230</v>
      </c>
      <c r="S30" s="191" t="s">
        <v>230</v>
      </c>
    </row>
    <row r="31" spans="1:19">
      <c r="A31" s="191" t="s">
        <v>281</v>
      </c>
      <c r="B31" s="191" t="s">
        <v>282</v>
      </c>
      <c r="C31" s="191" t="s">
        <v>226</v>
      </c>
      <c r="D31" s="191" t="s">
        <v>226</v>
      </c>
      <c r="E31" s="191" t="s">
        <v>283</v>
      </c>
      <c r="F31" s="191" t="s">
        <v>228</v>
      </c>
      <c r="G31" s="191" t="s">
        <v>229</v>
      </c>
      <c r="H31" s="191" t="s">
        <v>228</v>
      </c>
      <c r="I31" s="192">
        <v>7140000</v>
      </c>
      <c r="J31" s="192">
        <v>7140000</v>
      </c>
      <c r="K31" s="191" t="s">
        <v>230</v>
      </c>
      <c r="L31" s="191" t="s">
        <v>228</v>
      </c>
      <c r="M31" s="193"/>
      <c r="N31" s="191" t="s">
        <v>268</v>
      </c>
      <c r="O31" s="191" t="s">
        <v>269</v>
      </c>
      <c r="P31" s="191" t="s">
        <v>233</v>
      </c>
      <c r="Q31" s="191" t="s">
        <v>234</v>
      </c>
      <c r="R31" s="191" t="s">
        <v>230</v>
      </c>
      <c r="S31" s="191" t="s">
        <v>230</v>
      </c>
    </row>
    <row r="32" spans="1:19">
      <c r="A32" s="191" t="s">
        <v>235</v>
      </c>
      <c r="B32" s="191" t="s">
        <v>262</v>
      </c>
      <c r="C32" s="191" t="s">
        <v>226</v>
      </c>
      <c r="D32" s="191" t="s">
        <v>226</v>
      </c>
      <c r="E32" s="191" t="s">
        <v>257</v>
      </c>
      <c r="F32" s="191" t="s">
        <v>228</v>
      </c>
      <c r="G32" s="191" t="s">
        <v>229</v>
      </c>
      <c r="H32" s="191" t="s">
        <v>228</v>
      </c>
      <c r="I32" s="192">
        <v>11900000</v>
      </c>
      <c r="J32" s="192">
        <v>11900000</v>
      </c>
      <c r="K32" s="191" t="s">
        <v>230</v>
      </c>
      <c r="L32" s="191" t="s">
        <v>228</v>
      </c>
      <c r="M32" s="193"/>
      <c r="N32" s="191" t="s">
        <v>284</v>
      </c>
      <c r="O32" s="191" t="s">
        <v>285</v>
      </c>
      <c r="P32" s="191" t="s">
        <v>233</v>
      </c>
      <c r="Q32" s="191" t="s">
        <v>234</v>
      </c>
      <c r="R32" s="191" t="s">
        <v>230</v>
      </c>
      <c r="S32" s="191" t="s">
        <v>230</v>
      </c>
    </row>
    <row r="33" spans="1:19">
      <c r="A33" s="191" t="s">
        <v>286</v>
      </c>
      <c r="B33" s="191" t="s">
        <v>287</v>
      </c>
      <c r="C33" s="191" t="s">
        <v>226</v>
      </c>
      <c r="D33" s="191" t="s">
        <v>226</v>
      </c>
      <c r="E33" s="191" t="s">
        <v>257</v>
      </c>
      <c r="F33" s="191" t="s">
        <v>228</v>
      </c>
      <c r="G33" s="191" t="s">
        <v>229</v>
      </c>
      <c r="H33" s="191" t="s">
        <v>228</v>
      </c>
      <c r="I33" s="192">
        <v>799680</v>
      </c>
      <c r="J33" s="192">
        <v>799680</v>
      </c>
      <c r="K33" s="191" t="s">
        <v>230</v>
      </c>
      <c r="L33" s="191" t="s">
        <v>228</v>
      </c>
      <c r="M33" s="193"/>
      <c r="N33" s="191" t="s">
        <v>284</v>
      </c>
      <c r="O33" s="191" t="s">
        <v>285</v>
      </c>
      <c r="P33" s="191" t="s">
        <v>233</v>
      </c>
      <c r="Q33" s="191" t="s">
        <v>234</v>
      </c>
      <c r="R33" s="191" t="s">
        <v>230</v>
      </c>
      <c r="S33" s="191" t="s">
        <v>230</v>
      </c>
    </row>
    <row r="34" spans="1:19">
      <c r="A34" s="191" t="s">
        <v>288</v>
      </c>
      <c r="B34" s="191" t="s">
        <v>289</v>
      </c>
      <c r="C34" s="191" t="s">
        <v>226</v>
      </c>
      <c r="D34" s="191" t="s">
        <v>226</v>
      </c>
      <c r="E34" s="191" t="s">
        <v>257</v>
      </c>
      <c r="F34" s="191" t="s">
        <v>228</v>
      </c>
      <c r="G34" s="191" t="s">
        <v>229</v>
      </c>
      <c r="H34" s="191" t="s">
        <v>228</v>
      </c>
      <c r="I34" s="192">
        <v>568820</v>
      </c>
      <c r="J34" s="192">
        <v>568820</v>
      </c>
      <c r="K34" s="191" t="s">
        <v>230</v>
      </c>
      <c r="L34" s="191" t="s">
        <v>228</v>
      </c>
      <c r="M34" s="193"/>
      <c r="N34" s="191" t="s">
        <v>284</v>
      </c>
      <c r="O34" s="191" t="s">
        <v>285</v>
      </c>
      <c r="P34" s="191" t="s">
        <v>233</v>
      </c>
      <c r="Q34" s="191" t="s">
        <v>234</v>
      </c>
      <c r="R34" s="191" t="s">
        <v>230</v>
      </c>
      <c r="S34" s="191" t="s">
        <v>230</v>
      </c>
    </row>
    <row r="35" spans="1:19">
      <c r="A35" s="191" t="s">
        <v>237</v>
      </c>
      <c r="B35" s="191" t="s">
        <v>238</v>
      </c>
      <c r="C35" s="191" t="s">
        <v>226</v>
      </c>
      <c r="D35" s="191" t="s">
        <v>226</v>
      </c>
      <c r="E35" s="191" t="s">
        <v>239</v>
      </c>
      <c r="F35" s="191" t="s">
        <v>228</v>
      </c>
      <c r="G35" s="191" t="s">
        <v>229</v>
      </c>
      <c r="H35" s="191" t="s">
        <v>228</v>
      </c>
      <c r="I35" s="192">
        <v>4426800</v>
      </c>
      <c r="J35" s="192">
        <v>4426800</v>
      </c>
      <c r="K35" s="191" t="s">
        <v>230</v>
      </c>
      <c r="L35" s="191" t="s">
        <v>228</v>
      </c>
      <c r="M35" s="193"/>
      <c r="N35" s="191" t="s">
        <v>290</v>
      </c>
      <c r="O35" s="191" t="s">
        <v>291</v>
      </c>
      <c r="P35" s="191" t="s">
        <v>233</v>
      </c>
      <c r="Q35" s="191" t="s">
        <v>234</v>
      </c>
      <c r="R35" s="191" t="s">
        <v>230</v>
      </c>
      <c r="S35" s="191" t="s">
        <v>230</v>
      </c>
    </row>
    <row r="36" spans="1:19">
      <c r="A36" s="191" t="s">
        <v>292</v>
      </c>
      <c r="B36" s="191" t="s">
        <v>293</v>
      </c>
      <c r="C36" s="191" t="s">
        <v>226</v>
      </c>
      <c r="D36" s="191" t="s">
        <v>226</v>
      </c>
      <c r="E36" s="191" t="s">
        <v>257</v>
      </c>
      <c r="F36" s="191" t="s">
        <v>228</v>
      </c>
      <c r="G36" s="191" t="s">
        <v>229</v>
      </c>
      <c r="H36" s="191" t="s">
        <v>228</v>
      </c>
      <c r="I36" s="192">
        <v>11900000</v>
      </c>
      <c r="J36" s="192">
        <v>11900000</v>
      </c>
      <c r="K36" s="191" t="s">
        <v>230</v>
      </c>
      <c r="L36" s="191" t="s">
        <v>228</v>
      </c>
      <c r="M36" s="193"/>
      <c r="N36" s="191" t="s">
        <v>290</v>
      </c>
      <c r="O36" s="191" t="s">
        <v>291</v>
      </c>
      <c r="P36" s="191" t="s">
        <v>233</v>
      </c>
      <c r="Q36" s="191" t="s">
        <v>234</v>
      </c>
      <c r="R36" s="191" t="s">
        <v>230</v>
      </c>
      <c r="S36" s="191" t="s">
        <v>230</v>
      </c>
    </row>
    <row r="37" spans="1:19">
      <c r="A37" s="191" t="s">
        <v>294</v>
      </c>
      <c r="B37" s="191" t="s">
        <v>295</v>
      </c>
      <c r="C37" s="191" t="s">
        <v>226</v>
      </c>
      <c r="D37" s="191" t="s">
        <v>226</v>
      </c>
      <c r="E37" s="191" t="s">
        <v>257</v>
      </c>
      <c r="F37" s="191" t="s">
        <v>228</v>
      </c>
      <c r="G37" s="191" t="s">
        <v>229</v>
      </c>
      <c r="H37" s="191" t="s">
        <v>228</v>
      </c>
      <c r="I37" s="192">
        <v>5950000</v>
      </c>
      <c r="J37" s="192">
        <v>5950000</v>
      </c>
      <c r="K37" s="191" t="s">
        <v>230</v>
      </c>
      <c r="L37" s="191" t="s">
        <v>228</v>
      </c>
      <c r="M37" s="193"/>
      <c r="N37" s="191" t="s">
        <v>290</v>
      </c>
      <c r="O37" s="191" t="s">
        <v>291</v>
      </c>
      <c r="P37" s="191" t="s">
        <v>233</v>
      </c>
      <c r="Q37" s="191" t="s">
        <v>234</v>
      </c>
      <c r="R37" s="191" t="s">
        <v>230</v>
      </c>
      <c r="S37" s="191" t="s">
        <v>230</v>
      </c>
    </row>
    <row r="38" spans="1:19">
      <c r="A38" s="191" t="s">
        <v>244</v>
      </c>
      <c r="B38" s="191" t="s">
        <v>245</v>
      </c>
      <c r="C38" s="191" t="s">
        <v>226</v>
      </c>
      <c r="D38" s="191" t="s">
        <v>226</v>
      </c>
      <c r="E38" s="191" t="s">
        <v>239</v>
      </c>
      <c r="F38" s="191" t="s">
        <v>228</v>
      </c>
      <c r="G38" s="191" t="s">
        <v>229</v>
      </c>
      <c r="H38" s="191" t="s">
        <v>228</v>
      </c>
      <c r="I38" s="192">
        <v>22848000</v>
      </c>
      <c r="J38" s="192">
        <v>22848000</v>
      </c>
      <c r="K38" s="191" t="s">
        <v>230</v>
      </c>
      <c r="L38" s="191" t="s">
        <v>228</v>
      </c>
      <c r="M38" s="193"/>
      <c r="N38" s="191" t="s">
        <v>290</v>
      </c>
      <c r="O38" s="191" t="s">
        <v>291</v>
      </c>
      <c r="P38" s="191" t="s">
        <v>233</v>
      </c>
      <c r="Q38" s="191" t="s">
        <v>234</v>
      </c>
      <c r="R38" s="191" t="s">
        <v>230</v>
      </c>
      <c r="S38" s="191" t="s">
        <v>230</v>
      </c>
    </row>
    <row r="39" spans="1:19">
      <c r="A39" s="191" t="s">
        <v>240</v>
      </c>
      <c r="B39" s="191" t="s">
        <v>296</v>
      </c>
      <c r="C39" s="191" t="s">
        <v>226</v>
      </c>
      <c r="D39" s="191" t="s">
        <v>226</v>
      </c>
      <c r="E39" s="191" t="s">
        <v>239</v>
      </c>
      <c r="F39" s="191" t="s">
        <v>228</v>
      </c>
      <c r="G39" s="191" t="s">
        <v>229</v>
      </c>
      <c r="H39" s="191" t="s">
        <v>228</v>
      </c>
      <c r="I39" s="192">
        <v>98770000</v>
      </c>
      <c r="J39" s="192">
        <v>98770000</v>
      </c>
      <c r="K39" s="191" t="s">
        <v>230</v>
      </c>
      <c r="L39" s="191" t="s">
        <v>228</v>
      </c>
      <c r="M39" s="193"/>
      <c r="N39" s="191" t="s">
        <v>290</v>
      </c>
      <c r="O39" s="191" t="s">
        <v>291</v>
      </c>
      <c r="P39" s="191" t="s">
        <v>233</v>
      </c>
      <c r="Q39" s="191" t="s">
        <v>234</v>
      </c>
      <c r="R39" s="191" t="s">
        <v>230</v>
      </c>
      <c r="S39" s="191" t="s">
        <v>230</v>
      </c>
    </row>
    <row r="40" spans="1:19">
      <c r="A40" s="191" t="s">
        <v>240</v>
      </c>
      <c r="B40" s="191" t="s">
        <v>243</v>
      </c>
      <c r="C40" s="191" t="s">
        <v>226</v>
      </c>
      <c r="D40" s="191" t="s">
        <v>226</v>
      </c>
      <c r="E40" s="191" t="s">
        <v>239</v>
      </c>
      <c r="F40" s="191" t="s">
        <v>228</v>
      </c>
      <c r="G40" s="191" t="s">
        <v>229</v>
      </c>
      <c r="H40" s="191" t="s">
        <v>228</v>
      </c>
      <c r="I40" s="192">
        <v>26070000</v>
      </c>
      <c r="J40" s="192">
        <v>26070000</v>
      </c>
      <c r="K40" s="191" t="s">
        <v>230</v>
      </c>
      <c r="L40" s="191" t="s">
        <v>228</v>
      </c>
      <c r="M40" s="193"/>
      <c r="N40" s="191" t="s">
        <v>290</v>
      </c>
      <c r="O40" s="191" t="s">
        <v>291</v>
      </c>
      <c r="P40" s="191" t="s">
        <v>233</v>
      </c>
      <c r="Q40" s="191" t="s">
        <v>234</v>
      </c>
      <c r="R40" s="191" t="s">
        <v>230</v>
      </c>
      <c r="S40" s="191" t="s">
        <v>230</v>
      </c>
    </row>
    <row r="41" spans="1:19">
      <c r="A41" s="191" t="s">
        <v>235</v>
      </c>
      <c r="B41" s="191" t="s">
        <v>297</v>
      </c>
      <c r="C41" s="191" t="s">
        <v>226</v>
      </c>
      <c r="D41" s="191" t="s">
        <v>226</v>
      </c>
      <c r="E41" s="191" t="s">
        <v>257</v>
      </c>
      <c r="F41" s="191" t="s">
        <v>228</v>
      </c>
      <c r="G41" s="191" t="s">
        <v>229</v>
      </c>
      <c r="H41" s="191" t="s">
        <v>228</v>
      </c>
      <c r="I41" s="192">
        <v>595000</v>
      </c>
      <c r="J41" s="192">
        <v>595000</v>
      </c>
      <c r="K41" s="191" t="s">
        <v>230</v>
      </c>
      <c r="L41" s="191" t="s">
        <v>228</v>
      </c>
      <c r="M41" s="193"/>
      <c r="N41" s="191" t="s">
        <v>298</v>
      </c>
      <c r="O41" s="191" t="s">
        <v>299</v>
      </c>
      <c r="P41" s="191" t="s">
        <v>233</v>
      </c>
      <c r="Q41" s="191" t="s">
        <v>234</v>
      </c>
      <c r="R41" s="191" t="s">
        <v>230</v>
      </c>
      <c r="S41" s="191" t="s">
        <v>230</v>
      </c>
    </row>
    <row r="42" spans="1:19">
      <c r="A42" s="191" t="s">
        <v>300</v>
      </c>
      <c r="B42" s="191" t="s">
        <v>301</v>
      </c>
      <c r="C42" s="191" t="s">
        <v>226</v>
      </c>
      <c r="D42" s="191" t="s">
        <v>226</v>
      </c>
      <c r="E42" s="191" t="s">
        <v>257</v>
      </c>
      <c r="F42" s="191" t="s">
        <v>228</v>
      </c>
      <c r="G42" s="191" t="s">
        <v>229</v>
      </c>
      <c r="H42" s="191" t="s">
        <v>228</v>
      </c>
      <c r="I42" s="192">
        <v>1428000</v>
      </c>
      <c r="J42" s="192">
        <v>1428000</v>
      </c>
      <c r="K42" s="191" t="s">
        <v>230</v>
      </c>
      <c r="L42" s="191" t="s">
        <v>228</v>
      </c>
      <c r="M42" s="193"/>
      <c r="N42" s="191" t="s">
        <v>298</v>
      </c>
      <c r="O42" s="191" t="s">
        <v>299</v>
      </c>
      <c r="P42" s="191" t="s">
        <v>233</v>
      </c>
      <c r="Q42" s="191" t="s">
        <v>234</v>
      </c>
      <c r="R42" s="191" t="s">
        <v>230</v>
      </c>
      <c r="S42" s="191" t="s">
        <v>230</v>
      </c>
    </row>
    <row r="43" spans="1:19">
      <c r="A43" s="191" t="s">
        <v>265</v>
      </c>
      <c r="B43" s="191" t="s">
        <v>266</v>
      </c>
      <c r="C43" s="191" t="s">
        <v>256</v>
      </c>
      <c r="D43" s="191" t="s">
        <v>256</v>
      </c>
      <c r="E43" s="191" t="s">
        <v>257</v>
      </c>
      <c r="F43" s="191" t="s">
        <v>228</v>
      </c>
      <c r="G43" s="191" t="s">
        <v>229</v>
      </c>
      <c r="H43" s="191" t="s">
        <v>228</v>
      </c>
      <c r="I43" s="192">
        <v>595000</v>
      </c>
      <c r="J43" s="192">
        <v>595000</v>
      </c>
      <c r="K43" s="191" t="s">
        <v>230</v>
      </c>
      <c r="L43" s="191" t="s">
        <v>228</v>
      </c>
      <c r="M43" s="193"/>
      <c r="N43" s="191" t="s">
        <v>290</v>
      </c>
      <c r="O43" s="191" t="s">
        <v>291</v>
      </c>
      <c r="P43" s="191" t="s">
        <v>233</v>
      </c>
      <c r="Q43" s="191" t="s">
        <v>234</v>
      </c>
      <c r="R43" s="191" t="s">
        <v>230</v>
      </c>
      <c r="S43" s="191" t="s">
        <v>230</v>
      </c>
    </row>
    <row r="44" spans="1:19">
      <c r="A44" s="191" t="s">
        <v>294</v>
      </c>
      <c r="B44" s="191" t="s">
        <v>302</v>
      </c>
      <c r="C44" s="191" t="s">
        <v>256</v>
      </c>
      <c r="D44" s="191" t="s">
        <v>256</v>
      </c>
      <c r="E44" s="191" t="s">
        <v>257</v>
      </c>
      <c r="F44" s="191" t="s">
        <v>228</v>
      </c>
      <c r="G44" s="191" t="s">
        <v>229</v>
      </c>
      <c r="H44" s="191" t="s">
        <v>228</v>
      </c>
      <c r="I44" s="192">
        <v>4760000</v>
      </c>
      <c r="J44" s="192">
        <v>4760000</v>
      </c>
      <c r="K44" s="191" t="s">
        <v>230</v>
      </c>
      <c r="L44" s="191" t="s">
        <v>228</v>
      </c>
      <c r="M44" s="193"/>
      <c r="N44" s="191" t="s">
        <v>298</v>
      </c>
      <c r="O44" s="191" t="s">
        <v>299</v>
      </c>
      <c r="P44" s="191" t="s">
        <v>233</v>
      </c>
      <c r="Q44" s="191" t="s">
        <v>234</v>
      </c>
      <c r="R44" s="191" t="s">
        <v>230</v>
      </c>
      <c r="S44" s="191" t="s">
        <v>230</v>
      </c>
    </row>
    <row r="45" spans="1:19">
      <c r="A45" s="191" t="s">
        <v>237</v>
      </c>
      <c r="B45" s="191" t="s">
        <v>270</v>
      </c>
      <c r="C45" s="191" t="s">
        <v>256</v>
      </c>
      <c r="D45" s="191" t="s">
        <v>256</v>
      </c>
      <c r="E45" s="191" t="s">
        <v>257</v>
      </c>
      <c r="F45" s="191" t="s">
        <v>228</v>
      </c>
      <c r="G45" s="191" t="s">
        <v>229</v>
      </c>
      <c r="H45" s="191" t="s">
        <v>228</v>
      </c>
      <c r="I45" s="192">
        <v>1752870</v>
      </c>
      <c r="J45" s="192">
        <v>1752870</v>
      </c>
      <c r="K45" s="191" t="s">
        <v>230</v>
      </c>
      <c r="L45" s="191" t="s">
        <v>228</v>
      </c>
      <c r="M45" s="193"/>
      <c r="N45" s="191" t="s">
        <v>298</v>
      </c>
      <c r="O45" s="191" t="s">
        <v>299</v>
      </c>
      <c r="P45" s="191" t="s">
        <v>233</v>
      </c>
      <c r="Q45" s="191" t="s">
        <v>234</v>
      </c>
      <c r="R45" s="191" t="s">
        <v>230</v>
      </c>
      <c r="S45" s="191" t="s">
        <v>230</v>
      </c>
    </row>
    <row r="46" spans="1:19">
      <c r="A46" s="191" t="s">
        <v>271</v>
      </c>
      <c r="B46" s="191" t="s">
        <v>272</v>
      </c>
      <c r="C46" s="191" t="s">
        <v>256</v>
      </c>
      <c r="D46" s="191" t="s">
        <v>256</v>
      </c>
      <c r="E46" s="191" t="s">
        <v>257</v>
      </c>
      <c r="F46" s="191" t="s">
        <v>228</v>
      </c>
      <c r="G46" s="191" t="s">
        <v>229</v>
      </c>
      <c r="H46" s="191" t="s">
        <v>228</v>
      </c>
      <c r="I46" s="192">
        <v>494683</v>
      </c>
      <c r="J46" s="192">
        <v>494683</v>
      </c>
      <c r="K46" s="191" t="s">
        <v>230</v>
      </c>
      <c r="L46" s="191" t="s">
        <v>228</v>
      </c>
      <c r="M46" s="193"/>
      <c r="N46" s="191" t="s">
        <v>298</v>
      </c>
      <c r="O46" s="191" t="s">
        <v>299</v>
      </c>
      <c r="P46" s="191" t="s">
        <v>233</v>
      </c>
      <c r="Q46" s="191" t="s">
        <v>234</v>
      </c>
      <c r="R46" s="191" t="s">
        <v>230</v>
      </c>
      <c r="S46" s="191" t="s">
        <v>230</v>
      </c>
    </row>
    <row r="47" spans="1:19">
      <c r="A47" s="191" t="s">
        <v>240</v>
      </c>
      <c r="B47" s="191" t="s">
        <v>241</v>
      </c>
      <c r="C47" s="191" t="s">
        <v>226</v>
      </c>
      <c r="D47" s="191" t="s">
        <v>226</v>
      </c>
      <c r="E47" s="191" t="s">
        <v>257</v>
      </c>
      <c r="F47" s="191" t="s">
        <v>228</v>
      </c>
      <c r="G47" s="191" t="s">
        <v>229</v>
      </c>
      <c r="H47" s="191" t="s">
        <v>228</v>
      </c>
      <c r="I47" s="192">
        <v>25058700</v>
      </c>
      <c r="J47" s="192">
        <v>25058700</v>
      </c>
      <c r="K47" s="191" t="s">
        <v>230</v>
      </c>
      <c r="L47" s="191" t="s">
        <v>228</v>
      </c>
      <c r="M47" s="193"/>
      <c r="N47" s="191" t="s">
        <v>298</v>
      </c>
      <c r="O47" s="191" t="s">
        <v>299</v>
      </c>
      <c r="P47" s="191" t="s">
        <v>233</v>
      </c>
      <c r="Q47" s="191" t="s">
        <v>234</v>
      </c>
      <c r="R47" s="191" t="s">
        <v>230</v>
      </c>
      <c r="S47" s="191" t="s">
        <v>230</v>
      </c>
    </row>
    <row r="48" spans="1:19">
      <c r="A48" s="191" t="s">
        <v>303</v>
      </c>
      <c r="B48" s="191" t="s">
        <v>304</v>
      </c>
      <c r="C48" s="191" t="s">
        <v>226</v>
      </c>
      <c r="D48" s="191" t="s">
        <v>226</v>
      </c>
      <c r="E48" s="191" t="s">
        <v>257</v>
      </c>
      <c r="F48" s="191" t="s">
        <v>228</v>
      </c>
      <c r="G48" s="191" t="s">
        <v>229</v>
      </c>
      <c r="H48" s="191" t="s">
        <v>228</v>
      </c>
      <c r="I48" s="192">
        <v>571200</v>
      </c>
      <c r="J48" s="192">
        <v>571200</v>
      </c>
      <c r="K48" s="191" t="s">
        <v>230</v>
      </c>
      <c r="L48" s="191" t="s">
        <v>228</v>
      </c>
      <c r="M48" s="193"/>
      <c r="N48" s="191" t="s">
        <v>298</v>
      </c>
      <c r="O48" s="191" t="s">
        <v>299</v>
      </c>
      <c r="P48" s="191" t="s">
        <v>233</v>
      </c>
      <c r="Q48" s="191" t="s">
        <v>234</v>
      </c>
      <c r="R48" s="191" t="s">
        <v>230</v>
      </c>
      <c r="S48" s="191" t="s">
        <v>230</v>
      </c>
    </row>
    <row r="49" spans="1:19">
      <c r="A49" s="191" t="s">
        <v>305</v>
      </c>
      <c r="B49" s="191" t="s">
        <v>306</v>
      </c>
      <c r="C49" s="191" t="s">
        <v>226</v>
      </c>
      <c r="D49" s="191" t="s">
        <v>226</v>
      </c>
      <c r="E49" s="191" t="s">
        <v>307</v>
      </c>
      <c r="F49" s="191" t="s">
        <v>228</v>
      </c>
      <c r="G49" s="191" t="s">
        <v>229</v>
      </c>
      <c r="H49" s="191" t="s">
        <v>228</v>
      </c>
      <c r="I49" s="192">
        <v>2763708</v>
      </c>
      <c r="J49" s="192">
        <v>2763708</v>
      </c>
      <c r="K49" s="191" t="s">
        <v>230</v>
      </c>
      <c r="L49" s="191" t="s">
        <v>228</v>
      </c>
      <c r="M49" s="193"/>
      <c r="N49" s="191" t="s">
        <v>308</v>
      </c>
      <c r="O49" s="191" t="s">
        <v>309</v>
      </c>
      <c r="P49" s="191" t="s">
        <v>233</v>
      </c>
      <c r="Q49" s="191" t="s">
        <v>234</v>
      </c>
      <c r="R49" s="191" t="s">
        <v>230</v>
      </c>
      <c r="S49" s="191" t="s">
        <v>230</v>
      </c>
    </row>
    <row r="50" spans="1:19">
      <c r="A50" s="191" t="s">
        <v>310</v>
      </c>
      <c r="B50" s="191" t="s">
        <v>311</v>
      </c>
      <c r="C50" s="191" t="s">
        <v>226</v>
      </c>
      <c r="D50" s="191" t="s">
        <v>226</v>
      </c>
      <c r="E50" s="191" t="s">
        <v>307</v>
      </c>
      <c r="F50" s="191" t="s">
        <v>228</v>
      </c>
      <c r="G50" s="191" t="s">
        <v>229</v>
      </c>
      <c r="H50" s="191" t="s">
        <v>228</v>
      </c>
      <c r="I50" s="192">
        <v>22949300</v>
      </c>
      <c r="J50" s="192">
        <v>22949300</v>
      </c>
      <c r="K50" s="191" t="s">
        <v>230</v>
      </c>
      <c r="L50" s="191" t="s">
        <v>228</v>
      </c>
      <c r="M50" s="193"/>
      <c r="N50" s="191" t="s">
        <v>308</v>
      </c>
      <c r="O50" s="191" t="s">
        <v>309</v>
      </c>
      <c r="P50" s="191" t="s">
        <v>233</v>
      </c>
      <c r="Q50" s="191" t="s">
        <v>234</v>
      </c>
      <c r="R50" s="191" t="s">
        <v>230</v>
      </c>
      <c r="S50" s="191" t="s">
        <v>230</v>
      </c>
    </row>
    <row r="51" spans="1:19">
      <c r="A51" s="191" t="s">
        <v>265</v>
      </c>
      <c r="B51" s="191" t="s">
        <v>312</v>
      </c>
      <c r="C51" s="191" t="s">
        <v>226</v>
      </c>
      <c r="D51" s="191" t="s">
        <v>226</v>
      </c>
      <c r="E51" s="191" t="s">
        <v>227</v>
      </c>
      <c r="F51" s="191" t="s">
        <v>228</v>
      </c>
      <c r="G51" s="191" t="s">
        <v>229</v>
      </c>
      <c r="H51" s="191" t="s">
        <v>228</v>
      </c>
      <c r="I51" s="192">
        <v>595000</v>
      </c>
      <c r="J51" s="192">
        <v>595000</v>
      </c>
      <c r="K51" s="191" t="s">
        <v>230</v>
      </c>
      <c r="L51" s="191" t="s">
        <v>228</v>
      </c>
      <c r="M51" s="193"/>
      <c r="N51" s="191" t="s">
        <v>308</v>
      </c>
      <c r="O51" s="191" t="s">
        <v>309</v>
      </c>
      <c r="P51" s="191" t="s">
        <v>233</v>
      </c>
      <c r="Q51" s="191" t="s">
        <v>234</v>
      </c>
      <c r="R51" s="191" t="s">
        <v>230</v>
      </c>
      <c r="S51" s="191" t="s">
        <v>230</v>
      </c>
    </row>
    <row r="52" spans="1:19">
      <c r="A52" s="191" t="s">
        <v>275</v>
      </c>
      <c r="B52" s="191" t="s">
        <v>313</v>
      </c>
      <c r="C52" s="191" t="s">
        <v>226</v>
      </c>
      <c r="D52" s="191" t="s">
        <v>226</v>
      </c>
      <c r="E52" s="191" t="s">
        <v>307</v>
      </c>
      <c r="F52" s="191" t="s">
        <v>228</v>
      </c>
      <c r="G52" s="191" t="s">
        <v>229</v>
      </c>
      <c r="H52" s="191" t="s">
        <v>228</v>
      </c>
      <c r="I52" s="192">
        <v>1190000</v>
      </c>
      <c r="J52" s="192">
        <v>1190000</v>
      </c>
      <c r="K52" s="191" t="s">
        <v>230</v>
      </c>
      <c r="L52" s="191" t="s">
        <v>228</v>
      </c>
      <c r="M52" s="193"/>
      <c r="N52" s="191" t="s">
        <v>308</v>
      </c>
      <c r="O52" s="191" t="s">
        <v>309</v>
      </c>
      <c r="P52" s="191" t="s">
        <v>233</v>
      </c>
      <c r="Q52" s="191" t="s">
        <v>234</v>
      </c>
      <c r="R52" s="191" t="s">
        <v>230</v>
      </c>
      <c r="S52" s="191" t="s">
        <v>230</v>
      </c>
    </row>
    <row r="53" spans="1:19">
      <c r="A53" s="191" t="s">
        <v>235</v>
      </c>
      <c r="B53" s="191" t="s">
        <v>314</v>
      </c>
      <c r="C53" s="191" t="s">
        <v>226</v>
      </c>
      <c r="D53" s="191" t="s">
        <v>226</v>
      </c>
      <c r="E53" s="191" t="s">
        <v>257</v>
      </c>
      <c r="F53" s="191" t="s">
        <v>228</v>
      </c>
      <c r="G53" s="191" t="s">
        <v>229</v>
      </c>
      <c r="H53" s="191" t="s">
        <v>228</v>
      </c>
      <c r="I53" s="192">
        <v>3427200</v>
      </c>
      <c r="J53" s="192">
        <v>3427200</v>
      </c>
      <c r="K53" s="191" t="s">
        <v>230</v>
      </c>
      <c r="L53" s="191" t="s">
        <v>228</v>
      </c>
      <c r="M53" s="193"/>
      <c r="N53" s="191" t="s">
        <v>308</v>
      </c>
      <c r="O53" s="191" t="s">
        <v>309</v>
      </c>
      <c r="P53" s="191" t="s">
        <v>233</v>
      </c>
      <c r="Q53" s="191" t="s">
        <v>234</v>
      </c>
      <c r="R53" s="191" t="s">
        <v>230</v>
      </c>
      <c r="S53" s="191" t="s">
        <v>230</v>
      </c>
    </row>
    <row r="54" spans="1:19">
      <c r="A54" s="191" t="s">
        <v>292</v>
      </c>
      <c r="B54" s="191" t="s">
        <v>315</v>
      </c>
      <c r="C54" s="191" t="s">
        <v>226</v>
      </c>
      <c r="D54" s="191" t="s">
        <v>226</v>
      </c>
      <c r="E54" s="191" t="s">
        <v>257</v>
      </c>
      <c r="F54" s="191" t="s">
        <v>228</v>
      </c>
      <c r="G54" s="191" t="s">
        <v>229</v>
      </c>
      <c r="H54" s="191" t="s">
        <v>228</v>
      </c>
      <c r="I54" s="192">
        <v>5950000</v>
      </c>
      <c r="J54" s="192">
        <v>5950000</v>
      </c>
      <c r="K54" s="191" t="s">
        <v>230</v>
      </c>
      <c r="L54" s="191" t="s">
        <v>228</v>
      </c>
      <c r="M54" s="193"/>
      <c r="N54" s="191" t="s">
        <v>308</v>
      </c>
      <c r="O54" s="191" t="s">
        <v>309</v>
      </c>
      <c r="P54" s="191" t="s">
        <v>233</v>
      </c>
      <c r="Q54" s="191" t="s">
        <v>234</v>
      </c>
      <c r="R54" s="191" t="s">
        <v>230</v>
      </c>
      <c r="S54" s="191" t="s">
        <v>230</v>
      </c>
    </row>
    <row r="55" spans="1:19">
      <c r="A55" s="191" t="s">
        <v>273</v>
      </c>
      <c r="B55" s="191" t="s">
        <v>316</v>
      </c>
      <c r="C55" s="191" t="s">
        <v>226</v>
      </c>
      <c r="D55" s="191" t="s">
        <v>226</v>
      </c>
      <c r="E55" s="191" t="s">
        <v>257</v>
      </c>
      <c r="F55" s="191" t="s">
        <v>228</v>
      </c>
      <c r="G55" s="191" t="s">
        <v>229</v>
      </c>
      <c r="H55" s="191" t="s">
        <v>228</v>
      </c>
      <c r="I55" s="192">
        <v>5950000</v>
      </c>
      <c r="J55" s="192">
        <v>5950000</v>
      </c>
      <c r="K55" s="191" t="s">
        <v>230</v>
      </c>
      <c r="L55" s="191" t="s">
        <v>228</v>
      </c>
      <c r="M55" s="193"/>
      <c r="N55" s="191" t="s">
        <v>308</v>
      </c>
      <c r="O55" s="191" t="s">
        <v>309</v>
      </c>
      <c r="P55" s="191" t="s">
        <v>233</v>
      </c>
      <c r="Q55" s="191" t="s">
        <v>234</v>
      </c>
      <c r="R55" s="191" t="s">
        <v>230</v>
      </c>
      <c r="S55" s="191" t="s">
        <v>230</v>
      </c>
    </row>
    <row r="56" spans="1:19">
      <c r="A56" s="191" t="s">
        <v>317</v>
      </c>
      <c r="B56" s="191" t="s">
        <v>318</v>
      </c>
      <c r="C56" s="191" t="s">
        <v>226</v>
      </c>
      <c r="D56" s="191" t="s">
        <v>226</v>
      </c>
      <c r="E56" s="191" t="s">
        <v>257</v>
      </c>
      <c r="F56" s="191" t="s">
        <v>228</v>
      </c>
      <c r="G56" s="191" t="s">
        <v>229</v>
      </c>
      <c r="H56" s="191" t="s">
        <v>228</v>
      </c>
      <c r="I56" s="192">
        <v>1785000</v>
      </c>
      <c r="J56" s="192">
        <v>1785000</v>
      </c>
      <c r="K56" s="191" t="s">
        <v>230</v>
      </c>
      <c r="L56" s="191" t="s">
        <v>228</v>
      </c>
      <c r="M56" s="193"/>
      <c r="N56" s="191" t="s">
        <v>308</v>
      </c>
      <c r="O56" s="191" t="s">
        <v>309</v>
      </c>
      <c r="P56" s="191" t="s">
        <v>233</v>
      </c>
      <c r="Q56" s="191" t="s">
        <v>234</v>
      </c>
      <c r="R56" s="191" t="s">
        <v>230</v>
      </c>
      <c r="S56" s="191" t="s">
        <v>230</v>
      </c>
    </row>
    <row r="57" spans="1:19">
      <c r="A57" s="191" t="s">
        <v>319</v>
      </c>
      <c r="B57" s="191" t="s">
        <v>320</v>
      </c>
      <c r="C57" s="191" t="s">
        <v>226</v>
      </c>
      <c r="D57" s="191" t="s">
        <v>226</v>
      </c>
      <c r="E57" s="191" t="s">
        <v>227</v>
      </c>
      <c r="F57" s="191" t="s">
        <v>228</v>
      </c>
      <c r="G57" s="191" t="s">
        <v>229</v>
      </c>
      <c r="H57" s="191" t="s">
        <v>228</v>
      </c>
      <c r="I57" s="192">
        <v>595000</v>
      </c>
      <c r="J57" s="192">
        <v>595000</v>
      </c>
      <c r="K57" s="191" t="s">
        <v>230</v>
      </c>
      <c r="L57" s="191" t="s">
        <v>228</v>
      </c>
      <c r="M57" s="193"/>
      <c r="N57" s="191" t="s">
        <v>308</v>
      </c>
      <c r="O57" s="191" t="s">
        <v>309</v>
      </c>
      <c r="P57" s="191" t="s">
        <v>233</v>
      </c>
      <c r="Q57" s="191" t="s">
        <v>234</v>
      </c>
      <c r="R57" s="191" t="s">
        <v>230</v>
      </c>
      <c r="S57" s="191" t="s">
        <v>230</v>
      </c>
    </row>
    <row r="58" spans="1:19">
      <c r="A58" s="191" t="s">
        <v>321</v>
      </c>
      <c r="B58" s="191" t="s">
        <v>322</v>
      </c>
      <c r="C58" s="191" t="s">
        <v>226</v>
      </c>
      <c r="D58" s="191" t="s">
        <v>226</v>
      </c>
      <c r="E58" s="191" t="s">
        <v>323</v>
      </c>
      <c r="F58" s="191" t="s">
        <v>228</v>
      </c>
      <c r="G58" s="191" t="s">
        <v>229</v>
      </c>
      <c r="H58" s="191" t="s">
        <v>228</v>
      </c>
      <c r="I58" s="192">
        <v>187639200</v>
      </c>
      <c r="J58" s="192">
        <v>187639200</v>
      </c>
      <c r="K58" s="191" t="s">
        <v>230</v>
      </c>
      <c r="L58" s="191" t="s">
        <v>230</v>
      </c>
      <c r="M58" s="193"/>
      <c r="N58" s="191" t="s">
        <v>284</v>
      </c>
      <c r="O58" s="191" t="s">
        <v>324</v>
      </c>
      <c r="P58" s="191" t="s">
        <v>233</v>
      </c>
      <c r="Q58" s="191" t="s">
        <v>234</v>
      </c>
      <c r="R58" s="191" t="s">
        <v>230</v>
      </c>
      <c r="S58" s="191" t="s">
        <v>230</v>
      </c>
    </row>
    <row r="59" spans="1:19">
      <c r="A59" s="191" t="s">
        <v>325</v>
      </c>
      <c r="B59" s="191" t="s">
        <v>326</v>
      </c>
      <c r="C59" s="191" t="s">
        <v>248</v>
      </c>
      <c r="D59" s="191" t="s">
        <v>248</v>
      </c>
      <c r="E59" s="191" t="s">
        <v>257</v>
      </c>
      <c r="F59" s="191" t="s">
        <v>228</v>
      </c>
      <c r="G59" s="191" t="s">
        <v>229</v>
      </c>
      <c r="H59" s="191" t="s">
        <v>228</v>
      </c>
      <c r="I59" s="192">
        <v>16914660</v>
      </c>
      <c r="J59" s="192">
        <v>16914660</v>
      </c>
      <c r="K59" s="191" t="s">
        <v>230</v>
      </c>
      <c r="L59" s="191" t="s">
        <v>228</v>
      </c>
      <c r="M59" s="193"/>
      <c r="N59" s="191" t="s">
        <v>284</v>
      </c>
      <c r="O59" s="191" t="s">
        <v>327</v>
      </c>
      <c r="P59" s="191" t="s">
        <v>233</v>
      </c>
      <c r="Q59" s="191" t="s">
        <v>234</v>
      </c>
      <c r="R59" s="191" t="s">
        <v>230</v>
      </c>
      <c r="S59" s="191" t="s">
        <v>230</v>
      </c>
    </row>
    <row r="60" spans="1:19">
      <c r="A60" s="191" t="s">
        <v>328</v>
      </c>
      <c r="B60" s="191" t="s">
        <v>329</v>
      </c>
      <c r="C60" s="191" t="s">
        <v>230</v>
      </c>
      <c r="D60" s="191" t="s">
        <v>230</v>
      </c>
      <c r="E60" s="191" t="s">
        <v>239</v>
      </c>
      <c r="F60" s="191" t="s">
        <v>228</v>
      </c>
      <c r="G60" s="191" t="s">
        <v>229</v>
      </c>
      <c r="H60" s="191" t="s">
        <v>228</v>
      </c>
      <c r="I60" s="192">
        <v>119000000</v>
      </c>
      <c r="J60" s="192">
        <v>119000000</v>
      </c>
      <c r="K60" s="191" t="s">
        <v>230</v>
      </c>
      <c r="L60" s="191" t="s">
        <v>228</v>
      </c>
      <c r="M60" s="193"/>
      <c r="N60" s="191" t="s">
        <v>284</v>
      </c>
      <c r="O60" s="191" t="s">
        <v>327</v>
      </c>
      <c r="P60" s="191" t="s">
        <v>233</v>
      </c>
      <c r="Q60" s="191" t="s">
        <v>234</v>
      </c>
      <c r="R60" s="191" t="s">
        <v>230</v>
      </c>
      <c r="S60" s="191" t="s">
        <v>230</v>
      </c>
    </row>
    <row r="61" spans="1:19">
      <c r="A61" s="191" t="s">
        <v>330</v>
      </c>
      <c r="B61" s="191" t="s">
        <v>331</v>
      </c>
      <c r="C61" s="191" t="s">
        <v>226</v>
      </c>
      <c r="D61" s="191" t="s">
        <v>226</v>
      </c>
      <c r="E61" s="191" t="s">
        <v>239</v>
      </c>
      <c r="F61" s="191" t="s">
        <v>228</v>
      </c>
      <c r="G61" s="191" t="s">
        <v>229</v>
      </c>
      <c r="H61" s="191" t="s">
        <v>228</v>
      </c>
      <c r="I61" s="192">
        <v>1600000</v>
      </c>
      <c r="J61" s="192">
        <v>1600000</v>
      </c>
      <c r="K61" s="191" t="s">
        <v>230</v>
      </c>
      <c r="L61" s="191" t="s">
        <v>228</v>
      </c>
      <c r="M61" s="193"/>
      <c r="N61" s="191" t="s">
        <v>284</v>
      </c>
      <c r="O61" s="191" t="s">
        <v>332</v>
      </c>
      <c r="P61" s="191" t="s">
        <v>233</v>
      </c>
      <c r="Q61" s="191" t="s">
        <v>234</v>
      </c>
      <c r="R61" s="191" t="s">
        <v>230</v>
      </c>
      <c r="S61" s="191" t="s">
        <v>230</v>
      </c>
    </row>
    <row r="62" spans="1:19">
      <c r="A62" s="191" t="s">
        <v>279</v>
      </c>
      <c r="B62" s="191" t="s">
        <v>333</v>
      </c>
      <c r="C62" s="191" t="s">
        <v>334</v>
      </c>
      <c r="D62" s="191" t="s">
        <v>334</v>
      </c>
      <c r="E62" s="191" t="s">
        <v>335</v>
      </c>
      <c r="F62" s="191" t="s">
        <v>228</v>
      </c>
      <c r="G62" s="191" t="s">
        <v>229</v>
      </c>
      <c r="H62" s="191" t="s">
        <v>228</v>
      </c>
      <c r="I62" s="192">
        <v>1200000</v>
      </c>
      <c r="J62" s="192">
        <v>1200000</v>
      </c>
      <c r="K62" s="191" t="s">
        <v>230</v>
      </c>
      <c r="L62" s="191" t="s">
        <v>228</v>
      </c>
      <c r="M62" s="193"/>
      <c r="N62" s="191" t="s">
        <v>284</v>
      </c>
      <c r="O62" s="191" t="s">
        <v>336</v>
      </c>
      <c r="P62" s="191" t="s">
        <v>233</v>
      </c>
      <c r="Q62" s="191" t="s">
        <v>234</v>
      </c>
      <c r="R62" s="191" t="s">
        <v>230</v>
      </c>
      <c r="S62" s="191" t="s">
        <v>230</v>
      </c>
    </row>
    <row r="63" spans="1:19">
      <c r="A63" s="191" t="s">
        <v>337</v>
      </c>
      <c r="B63" s="191" t="s">
        <v>338</v>
      </c>
      <c r="C63" s="191" t="s">
        <v>226</v>
      </c>
      <c r="D63" s="191" t="s">
        <v>226</v>
      </c>
      <c r="E63" s="191" t="s">
        <v>339</v>
      </c>
      <c r="F63" s="191" t="s">
        <v>228</v>
      </c>
      <c r="G63" s="191" t="s">
        <v>229</v>
      </c>
      <c r="H63" s="191" t="s">
        <v>228</v>
      </c>
      <c r="I63" s="192">
        <v>2975000</v>
      </c>
      <c r="J63" s="192">
        <v>2975000</v>
      </c>
      <c r="K63" s="191" t="s">
        <v>230</v>
      </c>
      <c r="L63" s="191" t="s">
        <v>228</v>
      </c>
      <c r="M63" s="193"/>
      <c r="N63" s="191" t="s">
        <v>284</v>
      </c>
      <c r="O63" s="191" t="s">
        <v>336</v>
      </c>
      <c r="P63" s="191" t="s">
        <v>233</v>
      </c>
      <c r="Q63" s="191" t="s">
        <v>234</v>
      </c>
      <c r="R63" s="191" t="s">
        <v>230</v>
      </c>
      <c r="S63" s="191" t="s">
        <v>230</v>
      </c>
    </row>
    <row r="64" spans="1:19">
      <c r="A64" s="191" t="s">
        <v>279</v>
      </c>
      <c r="B64" s="191" t="s">
        <v>340</v>
      </c>
      <c r="C64" s="191" t="s">
        <v>226</v>
      </c>
      <c r="D64" s="191" t="s">
        <v>226</v>
      </c>
      <c r="E64" s="191" t="s">
        <v>339</v>
      </c>
      <c r="F64" s="191" t="s">
        <v>228</v>
      </c>
      <c r="G64" s="191" t="s">
        <v>229</v>
      </c>
      <c r="H64" s="191" t="s">
        <v>228</v>
      </c>
      <c r="I64" s="192">
        <v>1500000</v>
      </c>
      <c r="J64" s="192">
        <v>1500000</v>
      </c>
      <c r="K64" s="191" t="s">
        <v>230</v>
      </c>
      <c r="L64" s="191" t="s">
        <v>228</v>
      </c>
      <c r="M64" s="193"/>
      <c r="N64" s="191" t="s">
        <v>284</v>
      </c>
      <c r="O64" s="191" t="s">
        <v>341</v>
      </c>
      <c r="P64" s="191" t="s">
        <v>233</v>
      </c>
      <c r="Q64" s="191" t="s">
        <v>234</v>
      </c>
      <c r="R64" s="191" t="s">
        <v>230</v>
      </c>
      <c r="S64" s="191" t="s">
        <v>230</v>
      </c>
    </row>
    <row r="65" spans="1:19">
      <c r="A65" s="191" t="s">
        <v>235</v>
      </c>
      <c r="B65" s="191" t="s">
        <v>342</v>
      </c>
      <c r="C65" s="191" t="s">
        <v>256</v>
      </c>
      <c r="D65" s="191" t="s">
        <v>256</v>
      </c>
      <c r="E65" s="191" t="s">
        <v>343</v>
      </c>
      <c r="F65" s="191" t="s">
        <v>228</v>
      </c>
      <c r="G65" s="191" t="s">
        <v>229</v>
      </c>
      <c r="H65" s="191" t="s">
        <v>228</v>
      </c>
      <c r="I65" s="192">
        <v>5950000</v>
      </c>
      <c r="J65" s="192">
        <v>5950000</v>
      </c>
      <c r="K65" s="191" t="s">
        <v>230</v>
      </c>
      <c r="L65" s="191" t="s">
        <v>228</v>
      </c>
      <c r="M65" s="193"/>
      <c r="N65" s="191" t="s">
        <v>284</v>
      </c>
      <c r="O65" s="191" t="s">
        <v>341</v>
      </c>
      <c r="P65" s="191" t="s">
        <v>233</v>
      </c>
      <c r="Q65" s="191" t="s">
        <v>234</v>
      </c>
      <c r="R65" s="191" t="s">
        <v>230</v>
      </c>
      <c r="S65" s="191" t="s">
        <v>230</v>
      </c>
    </row>
    <row r="66" spans="1:19">
      <c r="A66" s="191" t="s">
        <v>344</v>
      </c>
      <c r="B66" s="191" t="s">
        <v>345</v>
      </c>
      <c r="C66" s="191" t="s">
        <v>230</v>
      </c>
      <c r="D66" s="191" t="s">
        <v>230</v>
      </c>
      <c r="E66" s="191" t="s">
        <v>239</v>
      </c>
      <c r="F66" s="191" t="s">
        <v>228</v>
      </c>
      <c r="G66" s="191" t="s">
        <v>229</v>
      </c>
      <c r="H66" s="191" t="s">
        <v>228</v>
      </c>
      <c r="I66" s="192">
        <v>1745839328</v>
      </c>
      <c r="J66" s="192">
        <v>1745839328</v>
      </c>
      <c r="K66" s="191" t="s">
        <v>230</v>
      </c>
      <c r="L66" s="191" t="s">
        <v>228</v>
      </c>
      <c r="M66" s="193"/>
      <c r="N66" s="191" t="s">
        <v>284</v>
      </c>
      <c r="O66" s="191" t="s">
        <v>346</v>
      </c>
      <c r="P66" s="191" t="s">
        <v>233</v>
      </c>
      <c r="Q66" s="191" t="s">
        <v>234</v>
      </c>
      <c r="R66" s="191" t="s">
        <v>230</v>
      </c>
      <c r="S66" s="191" t="s">
        <v>230</v>
      </c>
    </row>
    <row r="67" spans="1:19">
      <c r="A67" s="191" t="s">
        <v>347</v>
      </c>
      <c r="B67" s="191" t="s">
        <v>348</v>
      </c>
      <c r="C67" s="191" t="s">
        <v>226</v>
      </c>
      <c r="D67" s="191" t="s">
        <v>226</v>
      </c>
      <c r="E67" s="191" t="s">
        <v>239</v>
      </c>
      <c r="F67" s="191" t="s">
        <v>228</v>
      </c>
      <c r="G67" s="191" t="s">
        <v>229</v>
      </c>
      <c r="H67" s="191" t="s">
        <v>228</v>
      </c>
      <c r="I67" s="192">
        <v>232407000</v>
      </c>
      <c r="J67" s="192">
        <v>232407000</v>
      </c>
      <c r="K67" s="191" t="s">
        <v>230</v>
      </c>
      <c r="L67" s="191" t="s">
        <v>228</v>
      </c>
      <c r="M67" s="193"/>
      <c r="N67" s="191" t="s">
        <v>284</v>
      </c>
      <c r="O67" s="191" t="s">
        <v>346</v>
      </c>
      <c r="P67" s="191" t="s">
        <v>233</v>
      </c>
      <c r="Q67" s="191" t="s">
        <v>234</v>
      </c>
      <c r="R67" s="191" t="s">
        <v>230</v>
      </c>
      <c r="S67" s="191" t="s">
        <v>230</v>
      </c>
    </row>
    <row r="68" spans="1:19">
      <c r="A68" s="191" t="s">
        <v>349</v>
      </c>
      <c r="B68" s="191" t="s">
        <v>350</v>
      </c>
      <c r="C68" s="191" t="s">
        <v>226</v>
      </c>
      <c r="D68" s="191" t="s">
        <v>226</v>
      </c>
      <c r="E68" s="191" t="s">
        <v>239</v>
      </c>
      <c r="F68" s="191" t="s">
        <v>228</v>
      </c>
      <c r="G68" s="191" t="s">
        <v>229</v>
      </c>
      <c r="H68" s="191" t="s">
        <v>228</v>
      </c>
      <c r="I68" s="192">
        <v>178500000</v>
      </c>
      <c r="J68" s="192">
        <v>178500000</v>
      </c>
      <c r="K68" s="191" t="s">
        <v>230</v>
      </c>
      <c r="L68" s="191" t="s">
        <v>228</v>
      </c>
      <c r="M68" s="193"/>
      <c r="N68" s="191" t="s">
        <v>284</v>
      </c>
      <c r="O68" s="191" t="s">
        <v>346</v>
      </c>
      <c r="P68" s="191" t="s">
        <v>233</v>
      </c>
      <c r="Q68" s="191" t="s">
        <v>234</v>
      </c>
      <c r="R68" s="191" t="s">
        <v>230</v>
      </c>
      <c r="S68" s="191" t="s">
        <v>230</v>
      </c>
    </row>
    <row r="69" spans="1:19">
      <c r="A69" s="191" t="s">
        <v>351</v>
      </c>
      <c r="B69" s="191" t="s">
        <v>352</v>
      </c>
      <c r="C69" s="191" t="s">
        <v>226</v>
      </c>
      <c r="D69" s="191" t="s">
        <v>226</v>
      </c>
      <c r="E69" s="191" t="s">
        <v>257</v>
      </c>
      <c r="F69" s="191" t="s">
        <v>228</v>
      </c>
      <c r="G69" s="191" t="s">
        <v>229</v>
      </c>
      <c r="H69" s="191" t="s">
        <v>228</v>
      </c>
      <c r="I69" s="192">
        <v>47600000</v>
      </c>
      <c r="J69" s="192">
        <v>47600000</v>
      </c>
      <c r="K69" s="191" t="s">
        <v>230</v>
      </c>
      <c r="L69" s="191" t="s">
        <v>228</v>
      </c>
      <c r="M69" s="193"/>
      <c r="N69" s="191" t="s">
        <v>284</v>
      </c>
      <c r="O69" s="191" t="s">
        <v>346</v>
      </c>
      <c r="P69" s="191" t="s">
        <v>233</v>
      </c>
      <c r="Q69" s="191" t="s">
        <v>234</v>
      </c>
      <c r="R69" s="191" t="s">
        <v>230</v>
      </c>
      <c r="S69" s="191" t="s">
        <v>230</v>
      </c>
    </row>
    <row r="70" spans="1:19">
      <c r="A70" s="191" t="s">
        <v>277</v>
      </c>
      <c r="B70" s="191" t="s">
        <v>353</v>
      </c>
      <c r="C70" s="191" t="s">
        <v>334</v>
      </c>
      <c r="D70" s="191" t="s">
        <v>334</v>
      </c>
      <c r="E70" s="191" t="s">
        <v>257</v>
      </c>
      <c r="F70" s="191" t="s">
        <v>228</v>
      </c>
      <c r="G70" s="191" t="s">
        <v>229</v>
      </c>
      <c r="H70" s="191" t="s">
        <v>228</v>
      </c>
      <c r="I70" s="192">
        <v>10710000</v>
      </c>
      <c r="J70" s="192">
        <v>10710000</v>
      </c>
      <c r="K70" s="191" t="s">
        <v>230</v>
      </c>
      <c r="L70" s="191" t="s">
        <v>228</v>
      </c>
      <c r="M70" s="193"/>
      <c r="N70" s="191" t="s">
        <v>354</v>
      </c>
      <c r="O70" s="191" t="s">
        <v>355</v>
      </c>
      <c r="P70" s="191" t="s">
        <v>233</v>
      </c>
      <c r="Q70" s="191" t="s">
        <v>234</v>
      </c>
      <c r="R70" s="191" t="s">
        <v>230</v>
      </c>
      <c r="S70" s="191" t="s">
        <v>230</v>
      </c>
    </row>
    <row r="71" spans="1:19">
      <c r="A71" s="191" t="s">
        <v>300</v>
      </c>
      <c r="B71" s="191" t="s">
        <v>356</v>
      </c>
      <c r="C71" s="191" t="s">
        <v>242</v>
      </c>
      <c r="D71" s="191" t="s">
        <v>242</v>
      </c>
      <c r="E71" s="191" t="s">
        <v>257</v>
      </c>
      <c r="F71" s="191" t="s">
        <v>228</v>
      </c>
      <c r="G71" s="191" t="s">
        <v>229</v>
      </c>
      <c r="H71" s="191" t="s">
        <v>228</v>
      </c>
      <c r="I71" s="192">
        <v>3570000</v>
      </c>
      <c r="J71" s="192">
        <v>3570000</v>
      </c>
      <c r="K71" s="191" t="s">
        <v>230</v>
      </c>
      <c r="L71" s="191" t="s">
        <v>228</v>
      </c>
      <c r="M71" s="193"/>
      <c r="N71" s="191" t="s">
        <v>354</v>
      </c>
      <c r="O71" s="191" t="s">
        <v>355</v>
      </c>
      <c r="P71" s="191" t="s">
        <v>233</v>
      </c>
      <c r="Q71" s="191" t="s">
        <v>234</v>
      </c>
      <c r="R71" s="191" t="s">
        <v>230</v>
      </c>
      <c r="S71" s="191" t="s">
        <v>230</v>
      </c>
    </row>
    <row r="72" spans="1:19">
      <c r="A72" s="191" t="s">
        <v>237</v>
      </c>
      <c r="B72" s="191" t="s">
        <v>357</v>
      </c>
      <c r="C72" s="191" t="s">
        <v>226</v>
      </c>
      <c r="D72" s="191" t="s">
        <v>226</v>
      </c>
      <c r="E72" s="191" t="s">
        <v>239</v>
      </c>
      <c r="F72" s="191" t="s">
        <v>228</v>
      </c>
      <c r="G72" s="191" t="s">
        <v>229</v>
      </c>
      <c r="H72" s="191" t="s">
        <v>228</v>
      </c>
      <c r="I72" s="192">
        <v>10710000</v>
      </c>
      <c r="J72" s="192">
        <v>10710000</v>
      </c>
      <c r="K72" s="191" t="s">
        <v>230</v>
      </c>
      <c r="L72" s="191" t="s">
        <v>228</v>
      </c>
      <c r="M72" s="193"/>
      <c r="N72" s="191" t="s">
        <v>354</v>
      </c>
      <c r="O72" s="191" t="s">
        <v>355</v>
      </c>
      <c r="P72" s="191" t="s">
        <v>233</v>
      </c>
      <c r="Q72" s="191" t="s">
        <v>234</v>
      </c>
      <c r="R72" s="191" t="s">
        <v>230</v>
      </c>
      <c r="S72" s="191" t="s">
        <v>230</v>
      </c>
    </row>
    <row r="73" spans="1:19">
      <c r="A73" s="191" t="s">
        <v>279</v>
      </c>
      <c r="B73" s="191" t="s">
        <v>333</v>
      </c>
      <c r="C73" s="191" t="s">
        <v>226</v>
      </c>
      <c r="D73" s="191" t="s">
        <v>226</v>
      </c>
      <c r="E73" s="191" t="s">
        <v>239</v>
      </c>
      <c r="F73" s="191" t="s">
        <v>228</v>
      </c>
      <c r="G73" s="191" t="s">
        <v>229</v>
      </c>
      <c r="H73" s="191" t="s">
        <v>228</v>
      </c>
      <c r="I73" s="192">
        <v>3000000</v>
      </c>
      <c r="J73" s="192">
        <v>3000000</v>
      </c>
      <c r="K73" s="191" t="s">
        <v>230</v>
      </c>
      <c r="L73" s="191" t="s">
        <v>228</v>
      </c>
      <c r="M73" s="193"/>
      <c r="N73" s="191" t="s">
        <v>354</v>
      </c>
      <c r="O73" s="191" t="s">
        <v>355</v>
      </c>
      <c r="P73" s="191" t="s">
        <v>233</v>
      </c>
      <c r="Q73" s="191" t="s">
        <v>234</v>
      </c>
      <c r="R73" s="191" t="s">
        <v>230</v>
      </c>
      <c r="S73" s="191" t="s">
        <v>230</v>
      </c>
    </row>
    <row r="74" spans="1:19">
      <c r="A74" s="191" t="s">
        <v>310</v>
      </c>
      <c r="B74" s="191" t="s">
        <v>358</v>
      </c>
      <c r="C74" s="191" t="s">
        <v>226</v>
      </c>
      <c r="D74" s="191" t="s">
        <v>226</v>
      </c>
      <c r="E74" s="191" t="s">
        <v>239</v>
      </c>
      <c r="F74" s="191" t="s">
        <v>228</v>
      </c>
      <c r="G74" s="191" t="s">
        <v>229</v>
      </c>
      <c r="H74" s="191" t="s">
        <v>228</v>
      </c>
      <c r="I74" s="192">
        <v>29750000</v>
      </c>
      <c r="J74" s="192">
        <v>29750000</v>
      </c>
      <c r="K74" s="191" t="s">
        <v>230</v>
      </c>
      <c r="L74" s="191" t="s">
        <v>228</v>
      </c>
      <c r="M74" s="193"/>
      <c r="N74" s="191" t="s">
        <v>354</v>
      </c>
      <c r="O74" s="191" t="s">
        <v>355</v>
      </c>
      <c r="P74" s="191" t="s">
        <v>233</v>
      </c>
      <c r="Q74" s="191" t="s">
        <v>234</v>
      </c>
      <c r="R74" s="191" t="s">
        <v>230</v>
      </c>
      <c r="S74" s="191" t="s">
        <v>230</v>
      </c>
    </row>
    <row r="75" spans="1:19">
      <c r="A75" s="191" t="s">
        <v>359</v>
      </c>
      <c r="B75" s="191" t="s">
        <v>360</v>
      </c>
      <c r="C75" s="191" t="s">
        <v>361</v>
      </c>
      <c r="D75" s="191" t="s">
        <v>361</v>
      </c>
      <c r="E75" s="191" t="s">
        <v>257</v>
      </c>
      <c r="F75" s="191" t="s">
        <v>228</v>
      </c>
      <c r="G75" s="191" t="s">
        <v>229</v>
      </c>
      <c r="H75" s="191" t="s">
        <v>228</v>
      </c>
      <c r="I75" s="192">
        <v>2500000</v>
      </c>
      <c r="J75" s="192">
        <v>2500000</v>
      </c>
      <c r="K75" s="191" t="s">
        <v>230</v>
      </c>
      <c r="L75" s="191" t="s">
        <v>228</v>
      </c>
      <c r="M75" s="193"/>
      <c r="N75" s="191" t="s">
        <v>354</v>
      </c>
      <c r="O75" s="191" t="s">
        <v>355</v>
      </c>
      <c r="P75" s="191" t="s">
        <v>233</v>
      </c>
      <c r="Q75" s="191" t="s">
        <v>234</v>
      </c>
      <c r="R75" s="191" t="s">
        <v>230</v>
      </c>
      <c r="S75" s="191" t="s">
        <v>230</v>
      </c>
    </row>
    <row r="76" spans="1:19">
      <c r="A76" s="191" t="s">
        <v>362</v>
      </c>
      <c r="B76" s="191" t="s">
        <v>363</v>
      </c>
      <c r="C76" s="191" t="s">
        <v>256</v>
      </c>
      <c r="D76" s="191" t="s">
        <v>256</v>
      </c>
      <c r="E76" s="191" t="s">
        <v>257</v>
      </c>
      <c r="F76" s="191" t="s">
        <v>228</v>
      </c>
      <c r="G76" s="191" t="s">
        <v>229</v>
      </c>
      <c r="H76" s="191" t="s">
        <v>228</v>
      </c>
      <c r="I76" s="192">
        <v>1785000</v>
      </c>
      <c r="J76" s="192">
        <v>1785000</v>
      </c>
      <c r="K76" s="191" t="s">
        <v>230</v>
      </c>
      <c r="L76" s="191" t="s">
        <v>228</v>
      </c>
      <c r="M76" s="193"/>
      <c r="N76" s="191" t="s">
        <v>354</v>
      </c>
      <c r="O76" s="191" t="s">
        <v>355</v>
      </c>
      <c r="P76" s="191" t="s">
        <v>233</v>
      </c>
      <c r="Q76" s="191" t="s">
        <v>234</v>
      </c>
      <c r="R76" s="191" t="s">
        <v>230</v>
      </c>
      <c r="S76" s="191" t="s">
        <v>230</v>
      </c>
    </row>
    <row r="77" spans="1:19">
      <c r="A77" s="191" t="s">
        <v>364</v>
      </c>
      <c r="B77" s="191" t="s">
        <v>365</v>
      </c>
      <c r="C77" s="191" t="s">
        <v>366</v>
      </c>
      <c r="D77" s="191" t="s">
        <v>366</v>
      </c>
      <c r="E77" s="191" t="s">
        <v>257</v>
      </c>
      <c r="F77" s="191" t="s">
        <v>228</v>
      </c>
      <c r="G77" s="191" t="s">
        <v>229</v>
      </c>
      <c r="H77" s="191" t="s">
        <v>228</v>
      </c>
      <c r="I77" s="192">
        <v>1011500</v>
      </c>
      <c r="J77" s="192">
        <v>1011500</v>
      </c>
      <c r="K77" s="191" t="s">
        <v>230</v>
      </c>
      <c r="L77" s="191" t="s">
        <v>228</v>
      </c>
      <c r="M77" s="193"/>
      <c r="N77" s="191" t="s">
        <v>354</v>
      </c>
      <c r="O77" s="191" t="s">
        <v>355</v>
      </c>
      <c r="P77" s="191" t="s">
        <v>233</v>
      </c>
      <c r="Q77" s="191" t="s">
        <v>234</v>
      </c>
      <c r="R77" s="191" t="s">
        <v>230</v>
      </c>
      <c r="S77" s="191" t="s">
        <v>230</v>
      </c>
    </row>
    <row r="78" spans="1:19">
      <c r="A78" s="191" t="s">
        <v>367</v>
      </c>
      <c r="B78" s="191" t="s">
        <v>368</v>
      </c>
      <c r="C78" s="191" t="s">
        <v>248</v>
      </c>
      <c r="D78" s="191" t="s">
        <v>248</v>
      </c>
      <c r="E78" s="191" t="s">
        <v>257</v>
      </c>
      <c r="F78" s="191" t="s">
        <v>228</v>
      </c>
      <c r="G78" s="191" t="s">
        <v>229</v>
      </c>
      <c r="H78" s="191" t="s">
        <v>228</v>
      </c>
      <c r="I78" s="192">
        <v>2380000</v>
      </c>
      <c r="J78" s="192">
        <v>2380000</v>
      </c>
      <c r="K78" s="191" t="s">
        <v>230</v>
      </c>
      <c r="L78" s="191" t="s">
        <v>228</v>
      </c>
      <c r="M78" s="193"/>
      <c r="N78" s="191" t="s">
        <v>354</v>
      </c>
      <c r="O78" s="191" t="s">
        <v>355</v>
      </c>
      <c r="P78" s="191" t="s">
        <v>233</v>
      </c>
      <c r="Q78" s="191" t="s">
        <v>234</v>
      </c>
      <c r="R78" s="191" t="s">
        <v>230</v>
      </c>
      <c r="S78" s="191" t="s">
        <v>230</v>
      </c>
    </row>
    <row r="79" spans="1:19">
      <c r="A79" s="191" t="s">
        <v>369</v>
      </c>
      <c r="B79" s="191" t="s">
        <v>370</v>
      </c>
      <c r="C79" s="191" t="s">
        <v>226</v>
      </c>
      <c r="D79" s="191" t="s">
        <v>226</v>
      </c>
      <c r="E79" s="191" t="s">
        <v>239</v>
      </c>
      <c r="F79" s="191" t="s">
        <v>228</v>
      </c>
      <c r="G79" s="191" t="s">
        <v>229</v>
      </c>
      <c r="H79" s="191" t="s">
        <v>228</v>
      </c>
      <c r="I79" s="192">
        <v>3000000</v>
      </c>
      <c r="J79" s="192">
        <v>3000000</v>
      </c>
      <c r="K79" s="191" t="s">
        <v>230</v>
      </c>
      <c r="L79" s="191" t="s">
        <v>228</v>
      </c>
      <c r="M79" s="193"/>
      <c r="N79" s="191" t="s">
        <v>354</v>
      </c>
      <c r="O79" s="191" t="s">
        <v>355</v>
      </c>
      <c r="P79" s="191" t="s">
        <v>233</v>
      </c>
      <c r="Q79" s="191" t="s">
        <v>234</v>
      </c>
      <c r="R79" s="191" t="s">
        <v>230</v>
      </c>
      <c r="S79" s="191" t="s">
        <v>230</v>
      </c>
    </row>
    <row r="80" spans="1:19">
      <c r="A80" s="191" t="s">
        <v>244</v>
      </c>
      <c r="B80" s="191" t="s">
        <v>371</v>
      </c>
      <c r="C80" s="191" t="s">
        <v>242</v>
      </c>
      <c r="D80" s="191" t="s">
        <v>242</v>
      </c>
      <c r="E80" s="191" t="s">
        <v>239</v>
      </c>
      <c r="F80" s="191" t="s">
        <v>228</v>
      </c>
      <c r="G80" s="191" t="s">
        <v>229</v>
      </c>
      <c r="H80" s="191" t="s">
        <v>228</v>
      </c>
      <c r="I80" s="192">
        <v>69968901</v>
      </c>
      <c r="J80" s="192">
        <v>40570203</v>
      </c>
      <c r="K80" s="191" t="s">
        <v>230</v>
      </c>
      <c r="L80" s="191" t="s">
        <v>230</v>
      </c>
      <c r="M80" s="193"/>
      <c r="N80" s="191" t="s">
        <v>354</v>
      </c>
      <c r="O80" s="191" t="s">
        <v>355</v>
      </c>
      <c r="P80" s="191" t="s">
        <v>233</v>
      </c>
      <c r="Q80" s="191" t="s">
        <v>234</v>
      </c>
      <c r="R80" s="191" t="s">
        <v>230</v>
      </c>
      <c r="S80" s="191" t="s">
        <v>230</v>
      </c>
    </row>
    <row r="81" spans="1:19">
      <c r="A81" s="191" t="s">
        <v>275</v>
      </c>
      <c r="B81" s="191" t="s">
        <v>372</v>
      </c>
      <c r="C81" s="191" t="s">
        <v>226</v>
      </c>
      <c r="D81" s="191" t="s">
        <v>226</v>
      </c>
      <c r="E81" s="191" t="s">
        <v>227</v>
      </c>
      <c r="F81" s="191" t="s">
        <v>228</v>
      </c>
      <c r="G81" s="191" t="s">
        <v>229</v>
      </c>
      <c r="H81" s="191" t="s">
        <v>228</v>
      </c>
      <c r="I81" s="192">
        <v>6300003</v>
      </c>
      <c r="J81" s="192">
        <v>6300003</v>
      </c>
      <c r="K81" s="191" t="s">
        <v>230</v>
      </c>
      <c r="L81" s="191" t="s">
        <v>228</v>
      </c>
      <c r="M81" s="193"/>
      <c r="N81" s="191" t="s">
        <v>373</v>
      </c>
      <c r="O81" s="191" t="s">
        <v>374</v>
      </c>
      <c r="P81" s="191" t="s">
        <v>233</v>
      </c>
      <c r="Q81" s="191" t="s">
        <v>234</v>
      </c>
      <c r="R81" s="191" t="s">
        <v>230</v>
      </c>
      <c r="S81" s="191" t="s">
        <v>230</v>
      </c>
    </row>
    <row r="82" spans="1:19">
      <c r="A82" s="191" t="s">
        <v>244</v>
      </c>
      <c r="B82" s="191" t="s">
        <v>375</v>
      </c>
      <c r="C82" s="191" t="s">
        <v>366</v>
      </c>
      <c r="D82" s="191" t="s">
        <v>366</v>
      </c>
      <c r="E82" s="191" t="s">
        <v>239</v>
      </c>
      <c r="F82" s="191" t="s">
        <v>228</v>
      </c>
      <c r="G82" s="191" t="s">
        <v>229</v>
      </c>
      <c r="H82" s="191" t="s">
        <v>228</v>
      </c>
      <c r="I82" s="192">
        <v>16425612</v>
      </c>
      <c r="J82" s="192">
        <v>16425612</v>
      </c>
      <c r="K82" s="191" t="s">
        <v>230</v>
      </c>
      <c r="L82" s="191" t="s">
        <v>228</v>
      </c>
      <c r="M82" s="193"/>
      <c r="N82" s="191" t="s">
        <v>373</v>
      </c>
      <c r="O82" s="191" t="s">
        <v>374</v>
      </c>
      <c r="P82" s="191" t="s">
        <v>233</v>
      </c>
      <c r="Q82" s="191" t="s">
        <v>234</v>
      </c>
      <c r="R82" s="191" t="s">
        <v>230</v>
      </c>
      <c r="S82" s="191" t="s">
        <v>230</v>
      </c>
    </row>
    <row r="83" spans="1:19">
      <c r="A83" s="191" t="s">
        <v>237</v>
      </c>
      <c r="B83" s="191" t="s">
        <v>376</v>
      </c>
      <c r="C83" s="191" t="s">
        <v>226</v>
      </c>
      <c r="D83" s="191" t="s">
        <v>226</v>
      </c>
      <c r="E83" s="191" t="s">
        <v>239</v>
      </c>
      <c r="F83" s="191" t="s">
        <v>228</v>
      </c>
      <c r="G83" s="191" t="s">
        <v>229</v>
      </c>
      <c r="H83" s="191" t="s">
        <v>228</v>
      </c>
      <c r="I83" s="192">
        <v>1399999</v>
      </c>
      <c r="J83" s="192">
        <v>1399999</v>
      </c>
      <c r="K83" s="191" t="s">
        <v>230</v>
      </c>
      <c r="L83" s="191" t="s">
        <v>228</v>
      </c>
      <c r="M83" s="193"/>
      <c r="N83" s="191" t="s">
        <v>373</v>
      </c>
      <c r="O83" s="191" t="s">
        <v>374</v>
      </c>
      <c r="P83" s="191" t="s">
        <v>233</v>
      </c>
      <c r="Q83" s="191" t="s">
        <v>234</v>
      </c>
      <c r="R83" s="191" t="s">
        <v>230</v>
      </c>
      <c r="S83" s="191" t="s">
        <v>230</v>
      </c>
    </row>
    <row r="84" spans="1:19">
      <c r="A84" s="191" t="s">
        <v>364</v>
      </c>
      <c r="B84" s="191" t="s">
        <v>377</v>
      </c>
      <c r="C84" s="191" t="s">
        <v>366</v>
      </c>
      <c r="D84" s="191" t="s">
        <v>366</v>
      </c>
      <c r="E84" s="191" t="s">
        <v>239</v>
      </c>
      <c r="F84" s="191" t="s">
        <v>228</v>
      </c>
      <c r="G84" s="191" t="s">
        <v>229</v>
      </c>
      <c r="H84" s="191" t="s">
        <v>228</v>
      </c>
      <c r="I84" s="192">
        <v>349999</v>
      </c>
      <c r="J84" s="192">
        <v>349999</v>
      </c>
      <c r="K84" s="191" t="s">
        <v>230</v>
      </c>
      <c r="L84" s="191" t="s">
        <v>228</v>
      </c>
      <c r="M84" s="193"/>
      <c r="N84" s="191" t="s">
        <v>373</v>
      </c>
      <c r="O84" s="191" t="s">
        <v>374</v>
      </c>
      <c r="P84" s="191" t="s">
        <v>233</v>
      </c>
      <c r="Q84" s="191" t="s">
        <v>234</v>
      </c>
      <c r="R84" s="191" t="s">
        <v>230</v>
      </c>
      <c r="S84" s="191" t="s">
        <v>230</v>
      </c>
    </row>
    <row r="85" spans="1:19">
      <c r="A85" s="191" t="s">
        <v>258</v>
      </c>
      <c r="B85" s="191" t="s">
        <v>378</v>
      </c>
      <c r="C85" s="191" t="s">
        <v>226</v>
      </c>
      <c r="D85" s="191" t="s">
        <v>226</v>
      </c>
      <c r="E85" s="191" t="s">
        <v>257</v>
      </c>
      <c r="F85" s="191" t="s">
        <v>228</v>
      </c>
      <c r="G85" s="191" t="s">
        <v>229</v>
      </c>
      <c r="H85" s="191" t="s">
        <v>228</v>
      </c>
      <c r="I85" s="192">
        <v>9520000</v>
      </c>
      <c r="J85" s="192">
        <v>9520000</v>
      </c>
      <c r="K85" s="191" t="s">
        <v>230</v>
      </c>
      <c r="L85" s="191" t="s">
        <v>228</v>
      </c>
      <c r="M85" s="193"/>
      <c r="N85" s="191" t="s">
        <v>373</v>
      </c>
      <c r="O85" s="191" t="s">
        <v>374</v>
      </c>
      <c r="P85" s="191" t="s">
        <v>233</v>
      </c>
      <c r="Q85" s="191" t="s">
        <v>234</v>
      </c>
      <c r="R85" s="191" t="s">
        <v>230</v>
      </c>
      <c r="S85" s="191" t="s">
        <v>230</v>
      </c>
    </row>
    <row r="86" spans="1:19">
      <c r="A86" s="191" t="s">
        <v>359</v>
      </c>
      <c r="B86" s="191" t="s">
        <v>379</v>
      </c>
      <c r="C86" s="191" t="s">
        <v>226</v>
      </c>
      <c r="D86" s="191" t="s">
        <v>226</v>
      </c>
      <c r="E86" s="191" t="s">
        <v>343</v>
      </c>
      <c r="F86" s="191" t="s">
        <v>228</v>
      </c>
      <c r="G86" s="191" t="s">
        <v>229</v>
      </c>
      <c r="H86" s="191" t="s">
        <v>228</v>
      </c>
      <c r="I86" s="192">
        <v>39189080</v>
      </c>
      <c r="J86" s="192">
        <v>39189080</v>
      </c>
      <c r="K86" s="191" t="s">
        <v>230</v>
      </c>
      <c r="L86" s="191" t="s">
        <v>228</v>
      </c>
      <c r="M86" s="193"/>
      <c r="N86" s="191" t="s">
        <v>373</v>
      </c>
      <c r="O86" s="191" t="s">
        <v>374</v>
      </c>
      <c r="P86" s="191" t="s">
        <v>233</v>
      </c>
      <c r="Q86" s="191" t="s">
        <v>234</v>
      </c>
      <c r="R86" s="191" t="s">
        <v>230</v>
      </c>
      <c r="S86" s="191" t="s">
        <v>230</v>
      </c>
    </row>
    <row r="87" spans="1:19">
      <c r="A87" s="191" t="s">
        <v>380</v>
      </c>
      <c r="B87" s="191" t="s">
        <v>381</v>
      </c>
      <c r="C87" s="191" t="s">
        <v>226</v>
      </c>
      <c r="D87" s="191" t="s">
        <v>226</v>
      </c>
      <c r="E87" s="191" t="s">
        <v>343</v>
      </c>
      <c r="F87" s="191" t="s">
        <v>228</v>
      </c>
      <c r="G87" s="191" t="s">
        <v>229</v>
      </c>
      <c r="H87" s="191" t="s">
        <v>228</v>
      </c>
      <c r="I87" s="192">
        <v>26907507</v>
      </c>
      <c r="J87" s="192">
        <v>26907507</v>
      </c>
      <c r="K87" s="191" t="s">
        <v>230</v>
      </c>
      <c r="L87" s="191" t="s">
        <v>228</v>
      </c>
      <c r="M87" s="193"/>
      <c r="N87" s="191" t="s">
        <v>373</v>
      </c>
      <c r="O87" s="191" t="s">
        <v>374</v>
      </c>
      <c r="P87" s="191" t="s">
        <v>233</v>
      </c>
      <c r="Q87" s="191" t="s">
        <v>234</v>
      </c>
      <c r="R87" s="191" t="s">
        <v>230</v>
      </c>
      <c r="S87" s="191" t="s">
        <v>230</v>
      </c>
    </row>
    <row r="88" spans="1:19">
      <c r="A88" s="191" t="s">
        <v>294</v>
      </c>
      <c r="B88" s="191" t="s">
        <v>382</v>
      </c>
      <c r="C88" s="191" t="s">
        <v>226</v>
      </c>
      <c r="D88" s="191" t="s">
        <v>226</v>
      </c>
      <c r="E88" s="191" t="s">
        <v>343</v>
      </c>
      <c r="F88" s="191" t="s">
        <v>228</v>
      </c>
      <c r="G88" s="191" t="s">
        <v>229</v>
      </c>
      <c r="H88" s="191" t="s">
        <v>228</v>
      </c>
      <c r="I88" s="192">
        <v>9520000</v>
      </c>
      <c r="J88" s="192">
        <v>9520000</v>
      </c>
      <c r="K88" s="191" t="s">
        <v>230</v>
      </c>
      <c r="L88" s="191" t="s">
        <v>228</v>
      </c>
      <c r="M88" s="193"/>
      <c r="N88" s="191" t="s">
        <v>373</v>
      </c>
      <c r="O88" s="191" t="s">
        <v>374</v>
      </c>
      <c r="P88" s="191" t="s">
        <v>233</v>
      </c>
      <c r="Q88" s="191" t="s">
        <v>234</v>
      </c>
      <c r="R88" s="191" t="s">
        <v>230</v>
      </c>
      <c r="S88" s="191" t="s">
        <v>230</v>
      </c>
    </row>
    <row r="89" spans="1:19">
      <c r="A89" s="191" t="s">
        <v>383</v>
      </c>
      <c r="B89" s="191" t="s">
        <v>384</v>
      </c>
      <c r="C89" s="191" t="s">
        <v>248</v>
      </c>
      <c r="D89" s="191" t="s">
        <v>248</v>
      </c>
      <c r="E89" s="191" t="s">
        <v>385</v>
      </c>
      <c r="F89" s="191" t="s">
        <v>228</v>
      </c>
      <c r="G89" s="191" t="s">
        <v>229</v>
      </c>
      <c r="H89" s="191" t="s">
        <v>228</v>
      </c>
      <c r="I89" s="192">
        <v>130900000</v>
      </c>
      <c r="J89" s="192">
        <v>130900000</v>
      </c>
      <c r="K89" s="191" t="s">
        <v>230</v>
      </c>
      <c r="L89" s="191" t="s">
        <v>228</v>
      </c>
      <c r="M89" s="193"/>
      <c r="N89" s="191" t="s">
        <v>284</v>
      </c>
      <c r="O89" s="191" t="s">
        <v>386</v>
      </c>
      <c r="P89" s="191" t="s">
        <v>233</v>
      </c>
      <c r="Q89" s="191" t="s">
        <v>234</v>
      </c>
      <c r="R89" s="191" t="s">
        <v>230</v>
      </c>
      <c r="S89" s="191" t="s">
        <v>230</v>
      </c>
    </row>
    <row r="90" spans="1:19">
      <c r="A90" s="191" t="s">
        <v>387</v>
      </c>
      <c r="B90" s="191" t="s">
        <v>388</v>
      </c>
      <c r="C90" s="191" t="s">
        <v>389</v>
      </c>
      <c r="D90" s="191" t="s">
        <v>389</v>
      </c>
      <c r="E90" s="191" t="s">
        <v>390</v>
      </c>
      <c r="F90" s="191" t="s">
        <v>228</v>
      </c>
      <c r="G90" s="191" t="s">
        <v>229</v>
      </c>
      <c r="H90" s="191" t="s">
        <v>228</v>
      </c>
      <c r="I90" s="192">
        <v>19367250</v>
      </c>
      <c r="J90" s="192">
        <v>1985550</v>
      </c>
      <c r="K90" s="191" t="s">
        <v>230</v>
      </c>
      <c r="L90" s="191" t="s">
        <v>230</v>
      </c>
      <c r="M90" s="193"/>
      <c r="N90" s="191" t="s">
        <v>284</v>
      </c>
      <c r="O90" s="191" t="s">
        <v>391</v>
      </c>
      <c r="P90" s="191" t="s">
        <v>233</v>
      </c>
      <c r="Q90" s="191" t="s">
        <v>234</v>
      </c>
      <c r="R90" s="191" t="s">
        <v>230</v>
      </c>
      <c r="S90" s="191" t="s">
        <v>230</v>
      </c>
    </row>
    <row r="91" spans="1:19">
      <c r="A91" s="191" t="s">
        <v>392</v>
      </c>
      <c r="B91" s="191" t="s">
        <v>393</v>
      </c>
      <c r="C91" s="191" t="s">
        <v>226</v>
      </c>
      <c r="D91" s="191" t="s">
        <v>226</v>
      </c>
      <c r="E91" s="191" t="s">
        <v>239</v>
      </c>
      <c r="F91" s="191" t="s">
        <v>228</v>
      </c>
      <c r="G91" s="191" t="s">
        <v>229</v>
      </c>
      <c r="H91" s="191" t="s">
        <v>228</v>
      </c>
      <c r="I91" s="192">
        <v>59500000</v>
      </c>
      <c r="J91" s="192">
        <v>59500000</v>
      </c>
      <c r="K91" s="191" t="s">
        <v>230</v>
      </c>
      <c r="L91" s="191" t="s">
        <v>228</v>
      </c>
      <c r="M91" s="193"/>
      <c r="N91" s="191" t="s">
        <v>284</v>
      </c>
      <c r="O91" s="191" t="s">
        <v>394</v>
      </c>
      <c r="P91" s="191" t="s">
        <v>233</v>
      </c>
      <c r="Q91" s="191" t="s">
        <v>234</v>
      </c>
      <c r="R91" s="191" t="s">
        <v>230</v>
      </c>
      <c r="S91" s="191" t="s">
        <v>230</v>
      </c>
    </row>
    <row r="92" spans="1:19">
      <c r="A92" s="191" t="s">
        <v>395</v>
      </c>
      <c r="B92" s="191" t="s">
        <v>396</v>
      </c>
      <c r="C92" s="191" t="s">
        <v>389</v>
      </c>
      <c r="D92" s="191" t="s">
        <v>389</v>
      </c>
      <c r="E92" s="191" t="s">
        <v>397</v>
      </c>
      <c r="F92" s="191" t="s">
        <v>228</v>
      </c>
      <c r="G92" s="191" t="s">
        <v>229</v>
      </c>
      <c r="H92" s="191" t="s">
        <v>228</v>
      </c>
      <c r="I92" s="192">
        <v>18616986</v>
      </c>
      <c r="J92" s="192">
        <v>7954609</v>
      </c>
      <c r="K92" s="191" t="s">
        <v>230</v>
      </c>
      <c r="L92" s="191" t="s">
        <v>230</v>
      </c>
      <c r="M92" s="193"/>
      <c r="N92" s="191" t="s">
        <v>284</v>
      </c>
      <c r="O92" s="191" t="s">
        <v>398</v>
      </c>
      <c r="P92" s="191" t="s">
        <v>233</v>
      </c>
      <c r="Q92" s="191" t="s">
        <v>234</v>
      </c>
      <c r="R92" s="191" t="s">
        <v>230</v>
      </c>
      <c r="S92" s="191" t="s">
        <v>230</v>
      </c>
    </row>
    <row r="93" spans="1:19">
      <c r="A93" s="191" t="s">
        <v>399</v>
      </c>
      <c r="B93" s="191" t="s">
        <v>400</v>
      </c>
      <c r="C93" s="191" t="s">
        <v>267</v>
      </c>
      <c r="D93" s="191" t="s">
        <v>267</v>
      </c>
      <c r="E93" s="191" t="s">
        <v>239</v>
      </c>
      <c r="F93" s="191" t="s">
        <v>228</v>
      </c>
      <c r="G93" s="191" t="s">
        <v>229</v>
      </c>
      <c r="H93" s="191" t="s">
        <v>228</v>
      </c>
      <c r="I93" s="192">
        <v>10044727</v>
      </c>
      <c r="J93" s="192">
        <v>10044727</v>
      </c>
      <c r="K93" s="191" t="s">
        <v>230</v>
      </c>
      <c r="L93" s="191" t="s">
        <v>230</v>
      </c>
      <c r="M93" s="193"/>
      <c r="N93" s="191" t="s">
        <v>284</v>
      </c>
      <c r="O93" s="191" t="s">
        <v>401</v>
      </c>
      <c r="P93" s="191" t="s">
        <v>233</v>
      </c>
      <c r="Q93" s="191" t="s">
        <v>234</v>
      </c>
      <c r="R93" s="191" t="s">
        <v>230</v>
      </c>
      <c r="S93" s="191" t="s">
        <v>230</v>
      </c>
    </row>
    <row r="94" spans="1:19">
      <c r="A94" s="191" t="s">
        <v>402</v>
      </c>
      <c r="B94" s="191" t="s">
        <v>403</v>
      </c>
      <c r="C94" s="191" t="s">
        <v>226</v>
      </c>
      <c r="D94" s="191" t="s">
        <v>226</v>
      </c>
      <c r="E94" s="191" t="s">
        <v>397</v>
      </c>
      <c r="F94" s="191" t="s">
        <v>228</v>
      </c>
      <c r="G94" s="191" t="s">
        <v>229</v>
      </c>
      <c r="H94" s="191" t="s">
        <v>228</v>
      </c>
      <c r="I94" s="192">
        <v>0</v>
      </c>
      <c r="J94" s="192">
        <v>0</v>
      </c>
      <c r="K94" s="191" t="s">
        <v>230</v>
      </c>
      <c r="L94" s="191" t="s">
        <v>230</v>
      </c>
      <c r="M94" s="193"/>
      <c r="N94" s="191" t="s">
        <v>284</v>
      </c>
      <c r="O94" s="191" t="s">
        <v>404</v>
      </c>
      <c r="P94" s="191" t="s">
        <v>233</v>
      </c>
      <c r="Q94" s="191" t="s">
        <v>234</v>
      </c>
      <c r="R94" s="191" t="s">
        <v>230</v>
      </c>
      <c r="S94" s="191" t="s">
        <v>230</v>
      </c>
    </row>
    <row r="95" spans="1:19">
      <c r="A95" s="191" t="s">
        <v>402</v>
      </c>
      <c r="B95" s="191" t="s">
        <v>403</v>
      </c>
      <c r="C95" s="191" t="s">
        <v>226</v>
      </c>
      <c r="D95" s="191" t="s">
        <v>226</v>
      </c>
      <c r="E95" s="191" t="s">
        <v>397</v>
      </c>
      <c r="F95" s="191" t="s">
        <v>228</v>
      </c>
      <c r="G95" s="191" t="s">
        <v>229</v>
      </c>
      <c r="H95" s="191" t="s">
        <v>228</v>
      </c>
      <c r="I95" s="192">
        <v>0</v>
      </c>
      <c r="J95" s="192">
        <v>0</v>
      </c>
      <c r="K95" s="191" t="s">
        <v>230</v>
      </c>
      <c r="L95" s="191" t="s">
        <v>230</v>
      </c>
      <c r="M95" s="193"/>
      <c r="N95" s="191" t="s">
        <v>284</v>
      </c>
      <c r="O95" s="191" t="s">
        <v>404</v>
      </c>
      <c r="P95" s="191" t="s">
        <v>233</v>
      </c>
      <c r="Q95" s="191" t="s">
        <v>234</v>
      </c>
      <c r="R95" s="191" t="s">
        <v>230</v>
      </c>
      <c r="S95" s="191" t="s">
        <v>230</v>
      </c>
    </row>
    <row r="96" spans="1:19">
      <c r="A96" s="191" t="s">
        <v>392</v>
      </c>
      <c r="B96" s="191" t="s">
        <v>405</v>
      </c>
      <c r="C96" s="191" t="s">
        <v>242</v>
      </c>
      <c r="D96" s="191" t="s">
        <v>242</v>
      </c>
      <c r="E96" s="191" t="s">
        <v>343</v>
      </c>
      <c r="F96" s="191" t="s">
        <v>228</v>
      </c>
      <c r="G96" s="191" t="s">
        <v>229</v>
      </c>
      <c r="H96" s="191" t="s">
        <v>228</v>
      </c>
      <c r="I96" s="192">
        <v>35700000</v>
      </c>
      <c r="J96" s="192">
        <v>35700000</v>
      </c>
      <c r="K96" s="191" t="s">
        <v>230</v>
      </c>
      <c r="L96" s="191" t="s">
        <v>228</v>
      </c>
      <c r="M96" s="193"/>
      <c r="N96" s="191" t="s">
        <v>284</v>
      </c>
      <c r="O96" s="191" t="s">
        <v>404</v>
      </c>
      <c r="P96" s="191" t="s">
        <v>233</v>
      </c>
      <c r="Q96" s="191" t="s">
        <v>234</v>
      </c>
      <c r="R96" s="191" t="s">
        <v>230</v>
      </c>
      <c r="S96" s="191" t="s">
        <v>230</v>
      </c>
    </row>
    <row r="97" spans="1:19">
      <c r="A97" s="191" t="s">
        <v>406</v>
      </c>
      <c r="B97" s="191" t="s">
        <v>407</v>
      </c>
      <c r="C97" s="191" t="s">
        <v>230</v>
      </c>
      <c r="D97" s="191" t="s">
        <v>230</v>
      </c>
      <c r="E97" s="191" t="s">
        <v>390</v>
      </c>
      <c r="F97" s="191" t="s">
        <v>228</v>
      </c>
      <c r="G97" s="191" t="s">
        <v>229</v>
      </c>
      <c r="H97" s="191" t="s">
        <v>228</v>
      </c>
      <c r="I97" s="192">
        <v>0</v>
      </c>
      <c r="J97" s="192">
        <v>0</v>
      </c>
      <c r="K97" s="191" t="s">
        <v>230</v>
      </c>
      <c r="L97" s="191" t="s">
        <v>230</v>
      </c>
      <c r="M97" s="193"/>
      <c r="N97" s="191" t="s">
        <v>284</v>
      </c>
      <c r="O97" s="191" t="s">
        <v>404</v>
      </c>
      <c r="P97" s="191" t="s">
        <v>233</v>
      </c>
      <c r="Q97" s="191" t="s">
        <v>234</v>
      </c>
      <c r="R97" s="191" t="s">
        <v>230</v>
      </c>
      <c r="S97" s="191" t="s">
        <v>230</v>
      </c>
    </row>
    <row r="98" spans="1:19">
      <c r="A98" s="191" t="s">
        <v>408</v>
      </c>
      <c r="B98" s="191" t="s">
        <v>409</v>
      </c>
      <c r="C98" s="191" t="s">
        <v>256</v>
      </c>
      <c r="D98" s="191" t="s">
        <v>256</v>
      </c>
      <c r="E98" s="191" t="s">
        <v>257</v>
      </c>
      <c r="F98" s="191" t="s">
        <v>228</v>
      </c>
      <c r="G98" s="191" t="s">
        <v>229</v>
      </c>
      <c r="H98" s="191" t="s">
        <v>228</v>
      </c>
      <c r="I98" s="192">
        <v>7735000</v>
      </c>
      <c r="J98" s="192">
        <v>7735000</v>
      </c>
      <c r="K98" s="191" t="s">
        <v>230</v>
      </c>
      <c r="L98" s="191" t="s">
        <v>228</v>
      </c>
      <c r="M98" s="193"/>
      <c r="N98" s="191" t="s">
        <v>410</v>
      </c>
      <c r="O98" s="191" t="s">
        <v>411</v>
      </c>
      <c r="P98" s="191" t="s">
        <v>233</v>
      </c>
      <c r="Q98" s="191" t="s">
        <v>234</v>
      </c>
      <c r="R98" s="191" t="s">
        <v>230</v>
      </c>
      <c r="S98" s="191" t="s">
        <v>230</v>
      </c>
    </row>
    <row r="99" spans="1:19">
      <c r="A99" s="191" t="s">
        <v>367</v>
      </c>
      <c r="B99" s="191" t="s">
        <v>378</v>
      </c>
      <c r="C99" s="191" t="s">
        <v>256</v>
      </c>
      <c r="D99" s="191" t="s">
        <v>256</v>
      </c>
      <c r="E99" s="191" t="s">
        <v>257</v>
      </c>
      <c r="F99" s="191" t="s">
        <v>228</v>
      </c>
      <c r="G99" s="191" t="s">
        <v>229</v>
      </c>
      <c r="H99" s="191" t="s">
        <v>228</v>
      </c>
      <c r="I99" s="192">
        <v>14280000</v>
      </c>
      <c r="J99" s="192">
        <v>14280000</v>
      </c>
      <c r="K99" s="191" t="s">
        <v>230</v>
      </c>
      <c r="L99" s="191" t="s">
        <v>228</v>
      </c>
      <c r="M99" s="193"/>
      <c r="N99" s="191" t="s">
        <v>410</v>
      </c>
      <c r="O99" s="191" t="s">
        <v>411</v>
      </c>
      <c r="P99" s="191" t="s">
        <v>233</v>
      </c>
      <c r="Q99" s="191" t="s">
        <v>234</v>
      </c>
      <c r="R99" s="191" t="s">
        <v>230</v>
      </c>
      <c r="S99" s="191" t="s">
        <v>230</v>
      </c>
    </row>
    <row r="100" spans="1:19">
      <c r="A100" s="191" t="s">
        <v>412</v>
      </c>
      <c r="B100" s="191" t="s">
        <v>413</v>
      </c>
      <c r="C100" s="191" t="s">
        <v>256</v>
      </c>
      <c r="D100" s="191" t="s">
        <v>256</v>
      </c>
      <c r="E100" s="191" t="s">
        <v>414</v>
      </c>
      <c r="F100" s="191" t="s">
        <v>228</v>
      </c>
      <c r="G100" s="191" t="s">
        <v>229</v>
      </c>
      <c r="H100" s="191" t="s">
        <v>228</v>
      </c>
      <c r="I100" s="192">
        <v>35700000</v>
      </c>
      <c r="J100" s="192">
        <v>35700000</v>
      </c>
      <c r="K100" s="191" t="s">
        <v>230</v>
      </c>
      <c r="L100" s="191" t="s">
        <v>228</v>
      </c>
      <c r="M100" s="193"/>
      <c r="N100" s="191" t="s">
        <v>410</v>
      </c>
      <c r="O100" s="191" t="s">
        <v>411</v>
      </c>
      <c r="P100" s="191" t="s">
        <v>233</v>
      </c>
      <c r="Q100" s="191" t="s">
        <v>234</v>
      </c>
      <c r="R100" s="191" t="s">
        <v>230</v>
      </c>
      <c r="S100" s="191" t="s">
        <v>230</v>
      </c>
    </row>
    <row r="101" spans="1:19">
      <c r="A101" s="191" t="s">
        <v>415</v>
      </c>
      <c r="B101" s="191" t="s">
        <v>416</v>
      </c>
      <c r="C101" s="191" t="s">
        <v>417</v>
      </c>
      <c r="D101" s="191" t="s">
        <v>417</v>
      </c>
      <c r="E101" s="191" t="s">
        <v>257</v>
      </c>
      <c r="F101" s="191" t="s">
        <v>228</v>
      </c>
      <c r="G101" s="191" t="s">
        <v>229</v>
      </c>
      <c r="H101" s="191" t="s">
        <v>228</v>
      </c>
      <c r="I101" s="192">
        <v>95200000</v>
      </c>
      <c r="J101" s="192">
        <v>95200000</v>
      </c>
      <c r="K101" s="191" t="s">
        <v>230</v>
      </c>
      <c r="L101" s="191" t="s">
        <v>228</v>
      </c>
      <c r="M101" s="193"/>
      <c r="N101" s="191" t="s">
        <v>410</v>
      </c>
      <c r="O101" s="191" t="s">
        <v>411</v>
      </c>
      <c r="P101" s="191" t="s">
        <v>233</v>
      </c>
      <c r="Q101" s="191" t="s">
        <v>234</v>
      </c>
      <c r="R101" s="191" t="s">
        <v>230</v>
      </c>
      <c r="S101" s="191" t="s">
        <v>230</v>
      </c>
    </row>
    <row r="102" spans="1:19">
      <c r="A102" s="191" t="s">
        <v>418</v>
      </c>
      <c r="B102" s="191" t="s">
        <v>419</v>
      </c>
      <c r="C102" s="191" t="s">
        <v>248</v>
      </c>
      <c r="D102" s="191" t="s">
        <v>248</v>
      </c>
      <c r="E102" s="191" t="s">
        <v>257</v>
      </c>
      <c r="F102" s="191" t="s">
        <v>228</v>
      </c>
      <c r="G102" s="191" t="s">
        <v>229</v>
      </c>
      <c r="H102" s="191" t="s">
        <v>228</v>
      </c>
      <c r="I102" s="192">
        <v>41650000</v>
      </c>
      <c r="J102" s="192">
        <v>41650000</v>
      </c>
      <c r="K102" s="191" t="s">
        <v>230</v>
      </c>
      <c r="L102" s="191" t="s">
        <v>228</v>
      </c>
      <c r="M102" s="193"/>
      <c r="N102" s="191" t="s">
        <v>410</v>
      </c>
      <c r="O102" s="191" t="s">
        <v>420</v>
      </c>
      <c r="P102" s="191" t="s">
        <v>233</v>
      </c>
      <c r="Q102" s="191" t="s">
        <v>234</v>
      </c>
      <c r="R102" s="191" t="s">
        <v>230</v>
      </c>
      <c r="S102" s="191" t="s">
        <v>230</v>
      </c>
    </row>
    <row r="103" spans="1:19">
      <c r="A103" s="191" t="s">
        <v>359</v>
      </c>
      <c r="B103" s="191" t="s">
        <v>421</v>
      </c>
      <c r="C103" s="191" t="s">
        <v>226</v>
      </c>
      <c r="D103" s="191" t="s">
        <v>226</v>
      </c>
      <c r="E103" s="191" t="s">
        <v>422</v>
      </c>
      <c r="F103" s="191" t="s">
        <v>228</v>
      </c>
      <c r="G103" s="191" t="s">
        <v>229</v>
      </c>
      <c r="H103" s="191" t="s">
        <v>228</v>
      </c>
      <c r="I103" s="192">
        <v>59500000</v>
      </c>
      <c r="J103" s="192">
        <v>59500000</v>
      </c>
      <c r="K103" s="191" t="s">
        <v>230</v>
      </c>
      <c r="L103" s="191" t="s">
        <v>228</v>
      </c>
      <c r="M103" s="193"/>
      <c r="N103" s="191" t="s">
        <v>410</v>
      </c>
      <c r="O103" s="191" t="s">
        <v>420</v>
      </c>
      <c r="P103" s="191" t="s">
        <v>233</v>
      </c>
      <c r="Q103" s="191" t="s">
        <v>234</v>
      </c>
      <c r="R103" s="191" t="s">
        <v>230</v>
      </c>
      <c r="S103" s="191" t="s">
        <v>230</v>
      </c>
    </row>
    <row r="104" spans="1:19">
      <c r="A104" s="191" t="s">
        <v>237</v>
      </c>
      <c r="B104" s="191" t="s">
        <v>357</v>
      </c>
      <c r="C104" s="191" t="s">
        <v>226</v>
      </c>
      <c r="D104" s="191" t="s">
        <v>226</v>
      </c>
      <c r="E104" s="191" t="s">
        <v>227</v>
      </c>
      <c r="F104" s="191" t="s">
        <v>228</v>
      </c>
      <c r="G104" s="191" t="s">
        <v>229</v>
      </c>
      <c r="H104" s="191" t="s">
        <v>228</v>
      </c>
      <c r="I104" s="192">
        <v>1904000</v>
      </c>
      <c r="J104" s="192">
        <v>1904000</v>
      </c>
      <c r="K104" s="191" t="s">
        <v>230</v>
      </c>
      <c r="L104" s="191" t="s">
        <v>228</v>
      </c>
      <c r="M104" s="193"/>
      <c r="N104" s="191" t="s">
        <v>410</v>
      </c>
      <c r="O104" s="191" t="s">
        <v>411</v>
      </c>
      <c r="P104" s="191" t="s">
        <v>233</v>
      </c>
      <c r="Q104" s="191" t="s">
        <v>234</v>
      </c>
      <c r="R104" s="191" t="s">
        <v>230</v>
      </c>
      <c r="S104" s="191" t="s">
        <v>230</v>
      </c>
    </row>
    <row r="105" spans="1:19">
      <c r="A105" s="191" t="s">
        <v>277</v>
      </c>
      <c r="B105" s="191" t="s">
        <v>423</v>
      </c>
      <c r="C105" s="191" t="s">
        <v>226</v>
      </c>
      <c r="D105" s="191" t="s">
        <v>226</v>
      </c>
      <c r="E105" s="191" t="s">
        <v>422</v>
      </c>
      <c r="F105" s="191" t="s">
        <v>228</v>
      </c>
      <c r="G105" s="191" t="s">
        <v>229</v>
      </c>
      <c r="H105" s="191" t="s">
        <v>228</v>
      </c>
      <c r="I105" s="192">
        <v>4165000</v>
      </c>
      <c r="J105" s="192">
        <v>4165000</v>
      </c>
      <c r="K105" s="191" t="s">
        <v>230</v>
      </c>
      <c r="L105" s="191" t="s">
        <v>228</v>
      </c>
      <c r="M105" s="193"/>
      <c r="N105" s="191" t="s">
        <v>410</v>
      </c>
      <c r="O105" s="191" t="s">
        <v>411</v>
      </c>
      <c r="P105" s="191" t="s">
        <v>233</v>
      </c>
      <c r="Q105" s="191" t="s">
        <v>234</v>
      </c>
      <c r="R105" s="191" t="s">
        <v>230</v>
      </c>
      <c r="S105" s="191" t="s">
        <v>230</v>
      </c>
    </row>
    <row r="106" spans="1:19">
      <c r="A106" s="191" t="s">
        <v>279</v>
      </c>
      <c r="B106" s="191" t="s">
        <v>340</v>
      </c>
      <c r="C106" s="191" t="s">
        <v>256</v>
      </c>
      <c r="D106" s="191" t="s">
        <v>256</v>
      </c>
      <c r="E106" s="191" t="s">
        <v>257</v>
      </c>
      <c r="F106" s="191" t="s">
        <v>228</v>
      </c>
      <c r="G106" s="191" t="s">
        <v>229</v>
      </c>
      <c r="H106" s="191" t="s">
        <v>228</v>
      </c>
      <c r="I106" s="192">
        <v>16660000</v>
      </c>
      <c r="J106" s="192">
        <v>16660000</v>
      </c>
      <c r="K106" s="191" t="s">
        <v>230</v>
      </c>
      <c r="L106" s="191" t="s">
        <v>228</v>
      </c>
      <c r="M106" s="193"/>
      <c r="N106" s="191" t="s">
        <v>410</v>
      </c>
      <c r="O106" s="191" t="s">
        <v>411</v>
      </c>
      <c r="P106" s="191" t="s">
        <v>233</v>
      </c>
      <c r="Q106" s="191" t="s">
        <v>234</v>
      </c>
      <c r="R106" s="191" t="s">
        <v>230</v>
      </c>
      <c r="S106" s="191" t="s">
        <v>230</v>
      </c>
    </row>
    <row r="107" spans="1:19">
      <c r="A107" s="191" t="s">
        <v>424</v>
      </c>
      <c r="B107" s="191" t="s">
        <v>425</v>
      </c>
      <c r="C107" s="191" t="s">
        <v>256</v>
      </c>
      <c r="D107" s="191" t="s">
        <v>256</v>
      </c>
      <c r="E107" s="191" t="s">
        <v>334</v>
      </c>
      <c r="F107" s="191" t="s">
        <v>228</v>
      </c>
      <c r="G107" s="191" t="s">
        <v>229</v>
      </c>
      <c r="H107" s="191" t="s">
        <v>228</v>
      </c>
      <c r="I107" s="192">
        <v>1755250</v>
      </c>
      <c r="J107" s="192">
        <v>1755250</v>
      </c>
      <c r="K107" s="191" t="s">
        <v>230</v>
      </c>
      <c r="L107" s="191" t="s">
        <v>228</v>
      </c>
      <c r="M107" s="193"/>
      <c r="N107" s="191" t="s">
        <v>410</v>
      </c>
      <c r="O107" s="191" t="s">
        <v>411</v>
      </c>
      <c r="P107" s="191" t="s">
        <v>233</v>
      </c>
      <c r="Q107" s="191" t="s">
        <v>234</v>
      </c>
      <c r="R107" s="191" t="s">
        <v>230</v>
      </c>
      <c r="S107" s="191" t="s">
        <v>230</v>
      </c>
    </row>
    <row r="108" spans="1:19">
      <c r="A108" s="191" t="s">
        <v>364</v>
      </c>
      <c r="B108" s="191" t="s">
        <v>426</v>
      </c>
      <c r="C108" s="191" t="s">
        <v>334</v>
      </c>
      <c r="D108" s="191" t="s">
        <v>334</v>
      </c>
      <c r="E108" s="191" t="s">
        <v>334</v>
      </c>
      <c r="F108" s="191" t="s">
        <v>228</v>
      </c>
      <c r="G108" s="191" t="s">
        <v>229</v>
      </c>
      <c r="H108" s="191" t="s">
        <v>228</v>
      </c>
      <c r="I108" s="192">
        <v>595000</v>
      </c>
      <c r="J108" s="192">
        <v>595000</v>
      </c>
      <c r="K108" s="191" t="s">
        <v>230</v>
      </c>
      <c r="L108" s="191" t="s">
        <v>228</v>
      </c>
      <c r="M108" s="193"/>
      <c r="N108" s="191" t="s">
        <v>410</v>
      </c>
      <c r="O108" s="191" t="s">
        <v>427</v>
      </c>
      <c r="P108" s="191" t="s">
        <v>233</v>
      </c>
      <c r="Q108" s="191" t="s">
        <v>234</v>
      </c>
      <c r="R108" s="191" t="s">
        <v>230</v>
      </c>
      <c r="S108" s="191" t="s">
        <v>230</v>
      </c>
    </row>
    <row r="109" spans="1:19">
      <c r="A109" s="191" t="s">
        <v>428</v>
      </c>
      <c r="B109" s="191" t="s">
        <v>429</v>
      </c>
      <c r="C109" s="191" t="s">
        <v>256</v>
      </c>
      <c r="D109" s="191" t="s">
        <v>256</v>
      </c>
      <c r="E109" s="191" t="s">
        <v>430</v>
      </c>
      <c r="F109" s="191" t="s">
        <v>228</v>
      </c>
      <c r="G109" s="191" t="s">
        <v>229</v>
      </c>
      <c r="H109" s="191" t="s">
        <v>228</v>
      </c>
      <c r="I109" s="192">
        <v>2100000</v>
      </c>
      <c r="J109" s="192">
        <v>2100000</v>
      </c>
      <c r="K109" s="191" t="s">
        <v>230</v>
      </c>
      <c r="L109" s="191" t="s">
        <v>228</v>
      </c>
      <c r="M109" s="193"/>
      <c r="N109" s="191" t="s">
        <v>431</v>
      </c>
      <c r="O109" s="191" t="s">
        <v>432</v>
      </c>
      <c r="P109" s="191" t="s">
        <v>233</v>
      </c>
      <c r="Q109" s="191" t="s">
        <v>234</v>
      </c>
      <c r="R109" s="191" t="s">
        <v>230</v>
      </c>
      <c r="S109" s="191" t="s">
        <v>230</v>
      </c>
    </row>
    <row r="110" spans="1:19">
      <c r="A110" s="191" t="s">
        <v>369</v>
      </c>
      <c r="B110" s="191" t="s">
        <v>433</v>
      </c>
      <c r="C110" s="191" t="s">
        <v>226</v>
      </c>
      <c r="D110" s="191" t="s">
        <v>226</v>
      </c>
      <c r="E110" s="191" t="s">
        <v>239</v>
      </c>
      <c r="F110" s="191" t="s">
        <v>228</v>
      </c>
      <c r="G110" s="191" t="s">
        <v>229</v>
      </c>
      <c r="H110" s="191" t="s">
        <v>228</v>
      </c>
      <c r="I110" s="192">
        <v>10000000</v>
      </c>
      <c r="J110" s="192">
        <v>10000000</v>
      </c>
      <c r="K110" s="191" t="s">
        <v>230</v>
      </c>
      <c r="L110" s="191" t="s">
        <v>228</v>
      </c>
      <c r="M110" s="193"/>
      <c r="N110" s="191" t="s">
        <v>431</v>
      </c>
      <c r="O110" s="191" t="s">
        <v>432</v>
      </c>
      <c r="P110" s="191" t="s">
        <v>233</v>
      </c>
      <c r="Q110" s="191" t="s">
        <v>234</v>
      </c>
      <c r="R110" s="191" t="s">
        <v>230</v>
      </c>
      <c r="S110" s="191" t="s">
        <v>230</v>
      </c>
    </row>
    <row r="111" spans="1:19">
      <c r="A111" s="191" t="s">
        <v>240</v>
      </c>
      <c r="B111" s="191" t="s">
        <v>434</v>
      </c>
      <c r="C111" s="191" t="s">
        <v>226</v>
      </c>
      <c r="D111" s="191" t="s">
        <v>226</v>
      </c>
      <c r="E111" s="191" t="s">
        <v>239</v>
      </c>
      <c r="F111" s="191" t="s">
        <v>228</v>
      </c>
      <c r="G111" s="191" t="s">
        <v>229</v>
      </c>
      <c r="H111" s="191" t="s">
        <v>228</v>
      </c>
      <c r="I111" s="192">
        <v>8098440</v>
      </c>
      <c r="J111" s="192">
        <v>8098440</v>
      </c>
      <c r="K111" s="191" t="s">
        <v>230</v>
      </c>
      <c r="L111" s="191" t="s">
        <v>228</v>
      </c>
      <c r="M111" s="193"/>
      <c r="N111" s="191" t="s">
        <v>431</v>
      </c>
      <c r="O111" s="191" t="s">
        <v>432</v>
      </c>
      <c r="P111" s="191" t="s">
        <v>233</v>
      </c>
      <c r="Q111" s="191" t="s">
        <v>234</v>
      </c>
      <c r="R111" s="191" t="s">
        <v>230</v>
      </c>
      <c r="S111" s="191" t="s">
        <v>230</v>
      </c>
    </row>
    <row r="112" spans="1:19">
      <c r="A112" s="191" t="s">
        <v>435</v>
      </c>
      <c r="B112" s="191" t="s">
        <v>436</v>
      </c>
      <c r="C112" s="191" t="s">
        <v>226</v>
      </c>
      <c r="D112" s="191" t="s">
        <v>226</v>
      </c>
      <c r="E112" s="191" t="s">
        <v>343</v>
      </c>
      <c r="F112" s="191" t="s">
        <v>228</v>
      </c>
      <c r="G112" s="191" t="s">
        <v>229</v>
      </c>
      <c r="H112" s="191" t="s">
        <v>228</v>
      </c>
      <c r="I112" s="192">
        <v>1011500</v>
      </c>
      <c r="J112" s="192">
        <v>1011500</v>
      </c>
      <c r="K112" s="191" t="s">
        <v>230</v>
      </c>
      <c r="L112" s="191" t="s">
        <v>228</v>
      </c>
      <c r="M112" s="193"/>
      <c r="N112" s="191" t="s">
        <v>431</v>
      </c>
      <c r="O112" s="191" t="s">
        <v>432</v>
      </c>
      <c r="P112" s="191" t="s">
        <v>233</v>
      </c>
      <c r="Q112" s="191" t="s">
        <v>234</v>
      </c>
      <c r="R112" s="191" t="s">
        <v>230</v>
      </c>
      <c r="S112" s="191" t="s">
        <v>230</v>
      </c>
    </row>
    <row r="113" spans="1:19">
      <c r="A113" s="191" t="s">
        <v>235</v>
      </c>
      <c r="B113" s="191" t="s">
        <v>437</v>
      </c>
      <c r="C113" s="191" t="s">
        <v>226</v>
      </c>
      <c r="D113" s="191" t="s">
        <v>226</v>
      </c>
      <c r="E113" s="191" t="s">
        <v>343</v>
      </c>
      <c r="F113" s="191" t="s">
        <v>228</v>
      </c>
      <c r="G113" s="191" t="s">
        <v>229</v>
      </c>
      <c r="H113" s="191" t="s">
        <v>228</v>
      </c>
      <c r="I113" s="192">
        <v>3570000</v>
      </c>
      <c r="J113" s="192">
        <v>3570000</v>
      </c>
      <c r="K113" s="191" t="s">
        <v>230</v>
      </c>
      <c r="L113" s="191" t="s">
        <v>228</v>
      </c>
      <c r="M113" s="193"/>
      <c r="N113" s="191" t="s">
        <v>431</v>
      </c>
      <c r="O113" s="191" t="s">
        <v>432</v>
      </c>
      <c r="P113" s="191" t="s">
        <v>233</v>
      </c>
      <c r="Q113" s="191" t="s">
        <v>234</v>
      </c>
      <c r="R113" s="191" t="s">
        <v>230</v>
      </c>
      <c r="S113" s="191" t="s">
        <v>230</v>
      </c>
    </row>
    <row r="114" spans="1:19">
      <c r="A114" s="191" t="s">
        <v>438</v>
      </c>
      <c r="B114" s="191" t="s">
        <v>439</v>
      </c>
      <c r="C114" s="191" t="s">
        <v>226</v>
      </c>
      <c r="D114" s="191" t="s">
        <v>226</v>
      </c>
      <c r="E114" s="191" t="s">
        <v>343</v>
      </c>
      <c r="F114" s="191" t="s">
        <v>228</v>
      </c>
      <c r="G114" s="191" t="s">
        <v>229</v>
      </c>
      <c r="H114" s="191" t="s">
        <v>228</v>
      </c>
      <c r="I114" s="192">
        <v>3332000</v>
      </c>
      <c r="J114" s="192">
        <v>3332000</v>
      </c>
      <c r="K114" s="191" t="s">
        <v>230</v>
      </c>
      <c r="L114" s="191" t="s">
        <v>228</v>
      </c>
      <c r="M114" s="193"/>
      <c r="N114" s="191" t="s">
        <v>431</v>
      </c>
      <c r="O114" s="191" t="s">
        <v>432</v>
      </c>
      <c r="P114" s="191" t="s">
        <v>233</v>
      </c>
      <c r="Q114" s="191" t="s">
        <v>234</v>
      </c>
      <c r="R114" s="191" t="s">
        <v>230</v>
      </c>
      <c r="S114" s="191" t="s">
        <v>230</v>
      </c>
    </row>
    <row r="115" spans="1:19">
      <c r="A115" s="191" t="s">
        <v>440</v>
      </c>
      <c r="B115" s="191" t="s">
        <v>441</v>
      </c>
      <c r="C115" s="191" t="s">
        <v>226</v>
      </c>
      <c r="D115" s="191" t="s">
        <v>226</v>
      </c>
      <c r="E115" s="191" t="s">
        <v>283</v>
      </c>
      <c r="F115" s="191" t="s">
        <v>228</v>
      </c>
      <c r="G115" s="191" t="s">
        <v>229</v>
      </c>
      <c r="H115" s="191" t="s">
        <v>228</v>
      </c>
      <c r="I115" s="192">
        <v>40000000</v>
      </c>
      <c r="J115" s="192">
        <v>40000000</v>
      </c>
      <c r="K115" s="191" t="s">
        <v>230</v>
      </c>
      <c r="L115" s="191" t="s">
        <v>228</v>
      </c>
      <c r="M115" s="193"/>
      <c r="N115" s="191" t="s">
        <v>431</v>
      </c>
      <c r="O115" s="191" t="s">
        <v>432</v>
      </c>
      <c r="P115" s="191" t="s">
        <v>233</v>
      </c>
      <c r="Q115" s="191" t="s">
        <v>234</v>
      </c>
      <c r="R115" s="191" t="s">
        <v>230</v>
      </c>
      <c r="S115" s="191" t="s">
        <v>230</v>
      </c>
    </row>
    <row r="116" spans="1:19">
      <c r="A116" s="191" t="s">
        <v>369</v>
      </c>
      <c r="B116" s="191" t="s">
        <v>442</v>
      </c>
      <c r="C116" s="191" t="s">
        <v>226</v>
      </c>
      <c r="D116" s="191" t="s">
        <v>226</v>
      </c>
      <c r="E116" s="191" t="s">
        <v>443</v>
      </c>
      <c r="F116" s="191" t="s">
        <v>228</v>
      </c>
      <c r="G116" s="191" t="s">
        <v>229</v>
      </c>
      <c r="H116" s="191" t="s">
        <v>228</v>
      </c>
      <c r="I116" s="192">
        <v>1620000</v>
      </c>
      <c r="J116" s="192">
        <v>1620000</v>
      </c>
      <c r="K116" s="191" t="s">
        <v>230</v>
      </c>
      <c r="L116" s="191" t="s">
        <v>228</v>
      </c>
      <c r="M116" s="193"/>
      <c r="N116" s="191" t="s">
        <v>444</v>
      </c>
      <c r="O116" s="191" t="s">
        <v>445</v>
      </c>
      <c r="P116" s="191" t="s">
        <v>233</v>
      </c>
      <c r="Q116" s="191" t="s">
        <v>234</v>
      </c>
      <c r="R116" s="191" t="s">
        <v>230</v>
      </c>
      <c r="S116" s="191" t="s">
        <v>230</v>
      </c>
    </row>
    <row r="117" spans="1:19">
      <c r="A117" s="191" t="s">
        <v>237</v>
      </c>
      <c r="B117" s="191" t="s">
        <v>446</v>
      </c>
      <c r="C117" s="191" t="s">
        <v>226</v>
      </c>
      <c r="D117" s="191" t="s">
        <v>226</v>
      </c>
      <c r="E117" s="191" t="s">
        <v>447</v>
      </c>
      <c r="F117" s="191" t="s">
        <v>228</v>
      </c>
      <c r="G117" s="191" t="s">
        <v>229</v>
      </c>
      <c r="H117" s="191" t="s">
        <v>228</v>
      </c>
      <c r="I117" s="192">
        <v>2967847</v>
      </c>
      <c r="J117" s="192">
        <v>2967847</v>
      </c>
      <c r="K117" s="191" t="s">
        <v>230</v>
      </c>
      <c r="L117" s="191" t="s">
        <v>228</v>
      </c>
      <c r="M117" s="193"/>
      <c r="N117" s="191" t="s">
        <v>444</v>
      </c>
      <c r="O117" s="191" t="s">
        <v>445</v>
      </c>
      <c r="P117" s="191" t="s">
        <v>233</v>
      </c>
      <c r="Q117" s="191" t="s">
        <v>234</v>
      </c>
      <c r="R117" s="191" t="s">
        <v>230</v>
      </c>
      <c r="S117" s="191" t="s">
        <v>230</v>
      </c>
    </row>
    <row r="118" spans="1:19">
      <c r="A118" s="191" t="s">
        <v>448</v>
      </c>
      <c r="B118" s="191" t="s">
        <v>449</v>
      </c>
      <c r="C118" s="191" t="s">
        <v>267</v>
      </c>
      <c r="D118" s="191" t="s">
        <v>267</v>
      </c>
      <c r="E118" s="191" t="s">
        <v>227</v>
      </c>
      <c r="F118" s="191" t="s">
        <v>228</v>
      </c>
      <c r="G118" s="191" t="s">
        <v>229</v>
      </c>
      <c r="H118" s="191" t="s">
        <v>228</v>
      </c>
      <c r="I118" s="192">
        <v>2335124</v>
      </c>
      <c r="J118" s="192">
        <v>2335124</v>
      </c>
      <c r="K118" s="191" t="s">
        <v>230</v>
      </c>
      <c r="L118" s="191" t="s">
        <v>228</v>
      </c>
      <c r="M118" s="193"/>
      <c r="N118" s="191" t="s">
        <v>444</v>
      </c>
      <c r="O118" s="191" t="s">
        <v>445</v>
      </c>
      <c r="P118" s="191" t="s">
        <v>233</v>
      </c>
      <c r="Q118" s="191" t="s">
        <v>234</v>
      </c>
      <c r="R118" s="191" t="s">
        <v>230</v>
      </c>
      <c r="S118" s="191" t="s">
        <v>230</v>
      </c>
    </row>
    <row r="119" spans="1:19">
      <c r="A119" s="191" t="s">
        <v>237</v>
      </c>
      <c r="B119" s="191" t="s">
        <v>450</v>
      </c>
      <c r="C119" s="191" t="s">
        <v>226</v>
      </c>
      <c r="D119" s="191" t="s">
        <v>226</v>
      </c>
      <c r="E119" s="191" t="s">
        <v>451</v>
      </c>
      <c r="F119" s="191" t="s">
        <v>228</v>
      </c>
      <c r="G119" s="191" t="s">
        <v>229</v>
      </c>
      <c r="H119" s="191" t="s">
        <v>228</v>
      </c>
      <c r="I119" s="192">
        <v>11260970</v>
      </c>
      <c r="J119" s="192">
        <v>11260970</v>
      </c>
      <c r="K119" s="191" t="s">
        <v>230</v>
      </c>
      <c r="L119" s="191" t="s">
        <v>228</v>
      </c>
      <c r="M119" s="193"/>
      <c r="N119" s="191" t="s">
        <v>452</v>
      </c>
      <c r="O119" s="191" t="s">
        <v>453</v>
      </c>
      <c r="P119" s="191" t="s">
        <v>233</v>
      </c>
      <c r="Q119" s="191" t="s">
        <v>234</v>
      </c>
      <c r="R119" s="191" t="s">
        <v>230</v>
      </c>
      <c r="S119" s="191" t="s">
        <v>230</v>
      </c>
    </row>
    <row r="120" spans="1:19">
      <c r="A120" s="191" t="s">
        <v>454</v>
      </c>
      <c r="B120" s="191" t="s">
        <v>455</v>
      </c>
      <c r="C120" s="191" t="s">
        <v>226</v>
      </c>
      <c r="D120" s="191" t="s">
        <v>226</v>
      </c>
      <c r="E120" s="191" t="s">
        <v>451</v>
      </c>
      <c r="F120" s="191" t="s">
        <v>228</v>
      </c>
      <c r="G120" s="191" t="s">
        <v>229</v>
      </c>
      <c r="H120" s="191" t="s">
        <v>228</v>
      </c>
      <c r="I120" s="192">
        <v>7140000</v>
      </c>
      <c r="J120" s="192">
        <v>7140000</v>
      </c>
      <c r="K120" s="191" t="s">
        <v>230</v>
      </c>
      <c r="L120" s="191" t="s">
        <v>228</v>
      </c>
      <c r="M120" s="193"/>
      <c r="N120" s="191" t="s">
        <v>452</v>
      </c>
      <c r="O120" s="191" t="s">
        <v>453</v>
      </c>
      <c r="P120" s="191" t="s">
        <v>233</v>
      </c>
      <c r="Q120" s="191" t="s">
        <v>234</v>
      </c>
      <c r="R120" s="191" t="s">
        <v>230</v>
      </c>
      <c r="S120" s="191" t="s">
        <v>230</v>
      </c>
    </row>
    <row r="121" spans="1:19">
      <c r="A121" s="191" t="s">
        <v>456</v>
      </c>
      <c r="B121" s="191" t="s">
        <v>457</v>
      </c>
      <c r="C121" s="191" t="s">
        <v>226</v>
      </c>
      <c r="D121" s="191" t="s">
        <v>226</v>
      </c>
      <c r="E121" s="191" t="s">
        <v>257</v>
      </c>
      <c r="F121" s="191" t="s">
        <v>228</v>
      </c>
      <c r="G121" s="191" t="s">
        <v>229</v>
      </c>
      <c r="H121" s="191" t="s">
        <v>228</v>
      </c>
      <c r="I121" s="192">
        <v>1071000</v>
      </c>
      <c r="J121" s="192">
        <v>1071000</v>
      </c>
      <c r="K121" s="191" t="s">
        <v>230</v>
      </c>
      <c r="L121" s="191" t="s">
        <v>228</v>
      </c>
      <c r="M121" s="193"/>
      <c r="N121" s="191" t="s">
        <v>452</v>
      </c>
      <c r="O121" s="191" t="s">
        <v>453</v>
      </c>
      <c r="P121" s="191" t="s">
        <v>233</v>
      </c>
      <c r="Q121" s="191" t="s">
        <v>234</v>
      </c>
      <c r="R121" s="191" t="s">
        <v>230</v>
      </c>
      <c r="S121" s="191" t="s">
        <v>230</v>
      </c>
    </row>
    <row r="122" spans="1:19">
      <c r="A122" s="191" t="s">
        <v>275</v>
      </c>
      <c r="B122" s="191" t="s">
        <v>458</v>
      </c>
      <c r="C122" s="191" t="s">
        <v>366</v>
      </c>
      <c r="D122" s="191" t="s">
        <v>366</v>
      </c>
      <c r="E122" s="191" t="s">
        <v>257</v>
      </c>
      <c r="F122" s="191" t="s">
        <v>228</v>
      </c>
      <c r="G122" s="191" t="s">
        <v>229</v>
      </c>
      <c r="H122" s="191" t="s">
        <v>228</v>
      </c>
      <c r="I122" s="192">
        <v>4165000</v>
      </c>
      <c r="J122" s="192">
        <v>4165000</v>
      </c>
      <c r="K122" s="191" t="s">
        <v>230</v>
      </c>
      <c r="L122" s="191" t="s">
        <v>228</v>
      </c>
      <c r="M122" s="193"/>
      <c r="N122" s="191" t="s">
        <v>452</v>
      </c>
      <c r="O122" s="191" t="s">
        <v>453</v>
      </c>
      <c r="P122" s="191" t="s">
        <v>233</v>
      </c>
      <c r="Q122" s="191" t="s">
        <v>234</v>
      </c>
      <c r="R122" s="191" t="s">
        <v>230</v>
      </c>
      <c r="S122" s="191" t="s">
        <v>230</v>
      </c>
    </row>
    <row r="123" spans="1:19">
      <c r="A123" s="191" t="s">
        <v>265</v>
      </c>
      <c r="B123" s="191" t="s">
        <v>459</v>
      </c>
      <c r="C123" s="191" t="s">
        <v>256</v>
      </c>
      <c r="D123" s="191" t="s">
        <v>256</v>
      </c>
      <c r="E123" s="191" t="s">
        <v>257</v>
      </c>
      <c r="F123" s="191" t="s">
        <v>228</v>
      </c>
      <c r="G123" s="191" t="s">
        <v>229</v>
      </c>
      <c r="H123" s="191" t="s">
        <v>228</v>
      </c>
      <c r="I123" s="192">
        <v>1190000</v>
      </c>
      <c r="J123" s="192">
        <v>1190000</v>
      </c>
      <c r="K123" s="191" t="s">
        <v>230</v>
      </c>
      <c r="L123" s="191" t="s">
        <v>228</v>
      </c>
      <c r="M123" s="193"/>
      <c r="N123" s="191" t="s">
        <v>452</v>
      </c>
      <c r="O123" s="191" t="s">
        <v>453</v>
      </c>
      <c r="P123" s="191" t="s">
        <v>233</v>
      </c>
      <c r="Q123" s="191" t="s">
        <v>234</v>
      </c>
      <c r="R123" s="191" t="s">
        <v>230</v>
      </c>
      <c r="S123" s="191" t="s">
        <v>230</v>
      </c>
    </row>
    <row r="124" spans="1:19">
      <c r="A124" s="191" t="s">
        <v>460</v>
      </c>
      <c r="B124" s="191" t="s">
        <v>461</v>
      </c>
      <c r="C124" s="191" t="s">
        <v>256</v>
      </c>
      <c r="D124" s="191" t="s">
        <v>256</v>
      </c>
      <c r="E124" s="191" t="s">
        <v>257</v>
      </c>
      <c r="F124" s="191" t="s">
        <v>228</v>
      </c>
      <c r="G124" s="191" t="s">
        <v>229</v>
      </c>
      <c r="H124" s="191" t="s">
        <v>228</v>
      </c>
      <c r="I124" s="192">
        <v>833000</v>
      </c>
      <c r="J124" s="192">
        <v>833000</v>
      </c>
      <c r="K124" s="191" t="s">
        <v>230</v>
      </c>
      <c r="L124" s="191" t="s">
        <v>228</v>
      </c>
      <c r="M124" s="193"/>
      <c r="N124" s="191" t="s">
        <v>452</v>
      </c>
      <c r="O124" s="191" t="s">
        <v>453</v>
      </c>
      <c r="P124" s="191" t="s">
        <v>233</v>
      </c>
      <c r="Q124" s="191" t="s">
        <v>234</v>
      </c>
      <c r="R124" s="191" t="s">
        <v>230</v>
      </c>
      <c r="S124" s="191" t="s">
        <v>230</v>
      </c>
    </row>
    <row r="125" spans="1:19">
      <c r="A125" s="191" t="s">
        <v>369</v>
      </c>
      <c r="B125" s="191" t="s">
        <v>462</v>
      </c>
      <c r="C125" s="191" t="s">
        <v>226</v>
      </c>
      <c r="D125" s="191" t="s">
        <v>226</v>
      </c>
      <c r="E125" s="191" t="s">
        <v>463</v>
      </c>
      <c r="F125" s="191" t="s">
        <v>228</v>
      </c>
      <c r="G125" s="191" t="s">
        <v>229</v>
      </c>
      <c r="H125" s="191" t="s">
        <v>228</v>
      </c>
      <c r="I125" s="192">
        <v>3084480</v>
      </c>
      <c r="J125" s="192">
        <v>3084480</v>
      </c>
      <c r="K125" s="191" t="s">
        <v>230</v>
      </c>
      <c r="L125" s="191" t="s">
        <v>228</v>
      </c>
      <c r="M125" s="193"/>
      <c r="N125" s="191" t="s">
        <v>452</v>
      </c>
      <c r="O125" s="191" t="s">
        <v>453</v>
      </c>
      <c r="P125" s="191" t="s">
        <v>233</v>
      </c>
      <c r="Q125" s="191" t="s">
        <v>234</v>
      </c>
      <c r="R125" s="191" t="s">
        <v>230</v>
      </c>
      <c r="S125" s="191" t="s">
        <v>230</v>
      </c>
    </row>
    <row r="126" spans="1:19">
      <c r="A126" s="191" t="s">
        <v>258</v>
      </c>
      <c r="B126" s="191" t="s">
        <v>464</v>
      </c>
      <c r="C126" s="191" t="s">
        <v>256</v>
      </c>
      <c r="D126" s="191" t="s">
        <v>256</v>
      </c>
      <c r="E126" s="191" t="s">
        <v>385</v>
      </c>
      <c r="F126" s="191" t="s">
        <v>228</v>
      </c>
      <c r="G126" s="191" t="s">
        <v>229</v>
      </c>
      <c r="H126" s="191" t="s">
        <v>228</v>
      </c>
      <c r="I126" s="192">
        <v>22610000</v>
      </c>
      <c r="J126" s="192">
        <v>22610000</v>
      </c>
      <c r="K126" s="191" t="s">
        <v>230</v>
      </c>
      <c r="L126" s="191" t="s">
        <v>228</v>
      </c>
      <c r="M126" s="193"/>
      <c r="N126" s="191" t="s">
        <v>452</v>
      </c>
      <c r="O126" s="191" t="s">
        <v>453</v>
      </c>
      <c r="P126" s="191" t="s">
        <v>233</v>
      </c>
      <c r="Q126" s="191" t="s">
        <v>234</v>
      </c>
      <c r="R126" s="191" t="s">
        <v>230</v>
      </c>
      <c r="S126" s="191" t="s">
        <v>230</v>
      </c>
    </row>
    <row r="127" spans="1:19">
      <c r="A127" s="191" t="s">
        <v>277</v>
      </c>
      <c r="B127" s="191" t="s">
        <v>465</v>
      </c>
      <c r="C127" s="191" t="s">
        <v>256</v>
      </c>
      <c r="D127" s="191" t="s">
        <v>256</v>
      </c>
      <c r="E127" s="191" t="s">
        <v>385</v>
      </c>
      <c r="F127" s="191" t="s">
        <v>228</v>
      </c>
      <c r="G127" s="191" t="s">
        <v>229</v>
      </c>
      <c r="H127" s="191" t="s">
        <v>228</v>
      </c>
      <c r="I127" s="192">
        <v>7140000</v>
      </c>
      <c r="J127" s="192">
        <v>7140000</v>
      </c>
      <c r="K127" s="191" t="s">
        <v>230</v>
      </c>
      <c r="L127" s="191" t="s">
        <v>228</v>
      </c>
      <c r="M127" s="193"/>
      <c r="N127" s="191" t="s">
        <v>466</v>
      </c>
      <c r="O127" s="191" t="s">
        <v>453</v>
      </c>
      <c r="P127" s="191" t="s">
        <v>233</v>
      </c>
      <c r="Q127" s="191" t="s">
        <v>234</v>
      </c>
      <c r="R127" s="191" t="s">
        <v>230</v>
      </c>
      <c r="S127" s="191" t="s">
        <v>230</v>
      </c>
    </row>
    <row r="128" spans="1:19">
      <c r="A128" s="191" t="s">
        <v>237</v>
      </c>
      <c r="B128" s="191" t="s">
        <v>465</v>
      </c>
      <c r="C128" s="191" t="s">
        <v>256</v>
      </c>
      <c r="D128" s="191" t="s">
        <v>256</v>
      </c>
      <c r="E128" s="191" t="s">
        <v>385</v>
      </c>
      <c r="F128" s="191" t="s">
        <v>228</v>
      </c>
      <c r="G128" s="191" t="s">
        <v>229</v>
      </c>
      <c r="H128" s="191" t="s">
        <v>228</v>
      </c>
      <c r="I128" s="192">
        <v>5950000</v>
      </c>
      <c r="J128" s="192">
        <v>5950000</v>
      </c>
      <c r="K128" s="191" t="s">
        <v>230</v>
      </c>
      <c r="L128" s="191" t="s">
        <v>228</v>
      </c>
      <c r="M128" s="193"/>
      <c r="N128" s="191" t="s">
        <v>466</v>
      </c>
      <c r="O128" s="191" t="s">
        <v>453</v>
      </c>
      <c r="P128" s="191" t="s">
        <v>233</v>
      </c>
      <c r="Q128" s="191" t="s">
        <v>234</v>
      </c>
      <c r="R128" s="191" t="s">
        <v>230</v>
      </c>
      <c r="S128" s="191" t="s">
        <v>230</v>
      </c>
    </row>
    <row r="129" spans="1:19">
      <c r="A129" s="191" t="s">
        <v>467</v>
      </c>
      <c r="B129" s="191" t="s">
        <v>468</v>
      </c>
      <c r="C129" s="191" t="s">
        <v>226</v>
      </c>
      <c r="D129" s="191" t="s">
        <v>226</v>
      </c>
      <c r="E129" s="191" t="s">
        <v>463</v>
      </c>
      <c r="F129" s="191" t="s">
        <v>228</v>
      </c>
      <c r="G129" s="191" t="s">
        <v>229</v>
      </c>
      <c r="H129" s="191" t="s">
        <v>228</v>
      </c>
      <c r="I129" s="192">
        <v>7400000</v>
      </c>
      <c r="J129" s="192">
        <v>7400000</v>
      </c>
      <c r="K129" s="191" t="s">
        <v>230</v>
      </c>
      <c r="L129" s="191" t="s">
        <v>228</v>
      </c>
      <c r="M129" s="193"/>
      <c r="N129" s="191" t="s">
        <v>469</v>
      </c>
      <c r="O129" s="191" t="s">
        <v>470</v>
      </c>
      <c r="P129" s="191" t="s">
        <v>233</v>
      </c>
      <c r="Q129" s="191" t="s">
        <v>234</v>
      </c>
      <c r="R129" s="191" t="s">
        <v>230</v>
      </c>
      <c r="S129" s="191" t="s">
        <v>230</v>
      </c>
    </row>
    <row r="130" spans="1:19">
      <c r="A130" s="191" t="s">
        <v>471</v>
      </c>
      <c r="B130" s="191" t="s">
        <v>472</v>
      </c>
      <c r="C130" s="191" t="s">
        <v>226</v>
      </c>
      <c r="D130" s="191" t="s">
        <v>226</v>
      </c>
      <c r="E130" s="191" t="s">
        <v>463</v>
      </c>
      <c r="F130" s="191" t="s">
        <v>228</v>
      </c>
      <c r="G130" s="191" t="s">
        <v>229</v>
      </c>
      <c r="H130" s="191" t="s">
        <v>228</v>
      </c>
      <c r="I130" s="192">
        <v>1175000</v>
      </c>
      <c r="J130" s="192">
        <v>1175000</v>
      </c>
      <c r="K130" s="191" t="s">
        <v>230</v>
      </c>
      <c r="L130" s="191" t="s">
        <v>228</v>
      </c>
      <c r="M130" s="193"/>
      <c r="N130" s="191" t="s">
        <v>469</v>
      </c>
      <c r="O130" s="191" t="s">
        <v>470</v>
      </c>
      <c r="P130" s="191" t="s">
        <v>233</v>
      </c>
      <c r="Q130" s="191" t="s">
        <v>234</v>
      </c>
      <c r="R130" s="191" t="s">
        <v>230</v>
      </c>
      <c r="S130" s="191" t="s">
        <v>230</v>
      </c>
    </row>
    <row r="131" spans="1:19">
      <c r="A131" s="191" t="s">
        <v>277</v>
      </c>
      <c r="B131" s="191" t="s">
        <v>473</v>
      </c>
      <c r="C131" s="191" t="s">
        <v>256</v>
      </c>
      <c r="D131" s="191" t="s">
        <v>256</v>
      </c>
      <c r="E131" s="191" t="s">
        <v>474</v>
      </c>
      <c r="F131" s="191" t="s">
        <v>228</v>
      </c>
      <c r="G131" s="191" t="s">
        <v>229</v>
      </c>
      <c r="H131" s="191" t="s">
        <v>228</v>
      </c>
      <c r="I131" s="192">
        <v>1050000</v>
      </c>
      <c r="J131" s="192">
        <v>1050000</v>
      </c>
      <c r="K131" s="191" t="s">
        <v>230</v>
      </c>
      <c r="L131" s="191" t="s">
        <v>228</v>
      </c>
      <c r="M131" s="193"/>
      <c r="N131" s="191" t="s">
        <v>469</v>
      </c>
      <c r="O131" s="191" t="s">
        <v>470</v>
      </c>
      <c r="P131" s="191" t="s">
        <v>233</v>
      </c>
      <c r="Q131" s="191" t="s">
        <v>234</v>
      </c>
      <c r="R131" s="191" t="s">
        <v>230</v>
      </c>
      <c r="S131" s="191" t="s">
        <v>230</v>
      </c>
    </row>
    <row r="132" spans="1:19">
      <c r="A132" s="191" t="s">
        <v>475</v>
      </c>
      <c r="B132" s="191" t="s">
        <v>476</v>
      </c>
      <c r="C132" s="191" t="s">
        <v>256</v>
      </c>
      <c r="D132" s="191" t="s">
        <v>256</v>
      </c>
      <c r="E132" s="191" t="s">
        <v>474</v>
      </c>
      <c r="F132" s="191" t="s">
        <v>228</v>
      </c>
      <c r="G132" s="191" t="s">
        <v>229</v>
      </c>
      <c r="H132" s="191" t="s">
        <v>228</v>
      </c>
      <c r="I132" s="192">
        <v>870000</v>
      </c>
      <c r="J132" s="192">
        <v>870000</v>
      </c>
      <c r="K132" s="191" t="s">
        <v>230</v>
      </c>
      <c r="L132" s="191" t="s">
        <v>228</v>
      </c>
      <c r="M132" s="193"/>
      <c r="N132" s="191" t="s">
        <v>469</v>
      </c>
      <c r="O132" s="191" t="s">
        <v>470</v>
      </c>
      <c r="P132" s="191" t="s">
        <v>233</v>
      </c>
      <c r="Q132" s="191" t="s">
        <v>234</v>
      </c>
      <c r="R132" s="191" t="s">
        <v>230</v>
      </c>
      <c r="S132" s="191" t="s">
        <v>230</v>
      </c>
    </row>
    <row r="133" spans="1:19">
      <c r="A133" s="191" t="s">
        <v>237</v>
      </c>
      <c r="B133" s="191" t="s">
        <v>477</v>
      </c>
      <c r="C133" s="191" t="s">
        <v>226</v>
      </c>
      <c r="D133" s="191" t="s">
        <v>226</v>
      </c>
      <c r="E133" s="191" t="s">
        <v>478</v>
      </c>
      <c r="F133" s="191" t="s">
        <v>228</v>
      </c>
      <c r="G133" s="191" t="s">
        <v>229</v>
      </c>
      <c r="H133" s="191" t="s">
        <v>228</v>
      </c>
      <c r="I133" s="192">
        <v>4353686</v>
      </c>
      <c r="J133" s="192">
        <v>4353686</v>
      </c>
      <c r="K133" s="191" t="s">
        <v>230</v>
      </c>
      <c r="L133" s="191" t="s">
        <v>228</v>
      </c>
      <c r="M133" s="193"/>
      <c r="N133" s="191" t="s">
        <v>479</v>
      </c>
      <c r="O133" s="191" t="s">
        <v>480</v>
      </c>
      <c r="P133" s="191" t="s">
        <v>233</v>
      </c>
      <c r="Q133" s="191" t="s">
        <v>234</v>
      </c>
      <c r="R133" s="191" t="s">
        <v>230</v>
      </c>
      <c r="S133" s="191" t="s">
        <v>230</v>
      </c>
    </row>
    <row r="134" spans="1:19">
      <c r="A134" s="191" t="s">
        <v>481</v>
      </c>
      <c r="B134" s="191" t="s">
        <v>482</v>
      </c>
      <c r="C134" s="191" t="s">
        <v>256</v>
      </c>
      <c r="D134" s="191" t="s">
        <v>256</v>
      </c>
      <c r="E134" s="191" t="s">
        <v>257</v>
      </c>
      <c r="F134" s="191" t="s">
        <v>228</v>
      </c>
      <c r="G134" s="191" t="s">
        <v>229</v>
      </c>
      <c r="H134" s="191" t="s">
        <v>228</v>
      </c>
      <c r="I134" s="192">
        <v>700000</v>
      </c>
      <c r="J134" s="192">
        <v>700000</v>
      </c>
      <c r="K134" s="191" t="s">
        <v>230</v>
      </c>
      <c r="L134" s="191" t="s">
        <v>228</v>
      </c>
      <c r="M134" s="193"/>
      <c r="N134" s="191" t="s">
        <v>479</v>
      </c>
      <c r="O134" s="191" t="s">
        <v>480</v>
      </c>
      <c r="P134" s="191" t="s">
        <v>233</v>
      </c>
      <c r="Q134" s="191" t="s">
        <v>234</v>
      </c>
      <c r="R134" s="191" t="s">
        <v>230</v>
      </c>
      <c r="S134" s="191" t="s">
        <v>230</v>
      </c>
    </row>
    <row r="135" spans="1:19">
      <c r="A135" s="191" t="s">
        <v>279</v>
      </c>
      <c r="B135" s="191" t="s">
        <v>483</v>
      </c>
      <c r="C135" s="191" t="s">
        <v>226</v>
      </c>
      <c r="D135" s="191" t="s">
        <v>226</v>
      </c>
      <c r="E135" s="191" t="s">
        <v>430</v>
      </c>
      <c r="F135" s="191" t="s">
        <v>228</v>
      </c>
      <c r="G135" s="191" t="s">
        <v>229</v>
      </c>
      <c r="H135" s="191" t="s">
        <v>228</v>
      </c>
      <c r="I135" s="192">
        <v>50000</v>
      </c>
      <c r="J135" s="192">
        <v>50000</v>
      </c>
      <c r="K135" s="191" t="s">
        <v>230</v>
      </c>
      <c r="L135" s="191" t="s">
        <v>228</v>
      </c>
      <c r="M135" s="193"/>
      <c r="N135" s="191" t="s">
        <v>479</v>
      </c>
      <c r="O135" s="191" t="s">
        <v>480</v>
      </c>
      <c r="P135" s="191" t="s">
        <v>233</v>
      </c>
      <c r="Q135" s="191" t="s">
        <v>234</v>
      </c>
      <c r="R135" s="191" t="s">
        <v>230</v>
      </c>
      <c r="S135" s="191" t="s">
        <v>230</v>
      </c>
    </row>
    <row r="136" spans="1:19">
      <c r="A136" s="191" t="s">
        <v>237</v>
      </c>
      <c r="B136" s="191" t="s">
        <v>484</v>
      </c>
      <c r="C136" s="191" t="s">
        <v>226</v>
      </c>
      <c r="D136" s="191" t="s">
        <v>226</v>
      </c>
      <c r="E136" s="191" t="s">
        <v>339</v>
      </c>
      <c r="F136" s="191" t="s">
        <v>228</v>
      </c>
      <c r="G136" s="191" t="s">
        <v>229</v>
      </c>
      <c r="H136" s="191" t="s">
        <v>228</v>
      </c>
      <c r="I136" s="192">
        <v>2380000</v>
      </c>
      <c r="J136" s="192">
        <v>2380000</v>
      </c>
      <c r="K136" s="191" t="s">
        <v>230</v>
      </c>
      <c r="L136" s="191" t="s">
        <v>228</v>
      </c>
      <c r="M136" s="193"/>
      <c r="N136" s="191" t="s">
        <v>485</v>
      </c>
      <c r="O136" s="191" t="s">
        <v>486</v>
      </c>
      <c r="P136" s="191" t="s">
        <v>233</v>
      </c>
      <c r="Q136" s="191" t="s">
        <v>234</v>
      </c>
      <c r="R136" s="191" t="s">
        <v>230</v>
      </c>
      <c r="S136" s="191" t="s">
        <v>230</v>
      </c>
    </row>
    <row r="137" spans="1:19">
      <c r="A137" s="191" t="s">
        <v>271</v>
      </c>
      <c r="B137" s="191" t="s">
        <v>487</v>
      </c>
      <c r="C137" s="191" t="s">
        <v>226</v>
      </c>
      <c r="D137" s="191" t="s">
        <v>226</v>
      </c>
      <c r="E137" s="191" t="s">
        <v>339</v>
      </c>
      <c r="F137" s="191" t="s">
        <v>228</v>
      </c>
      <c r="G137" s="191" t="s">
        <v>229</v>
      </c>
      <c r="H137" s="191" t="s">
        <v>228</v>
      </c>
      <c r="I137" s="192">
        <v>1785000</v>
      </c>
      <c r="J137" s="192">
        <v>1785000</v>
      </c>
      <c r="K137" s="191" t="s">
        <v>230</v>
      </c>
      <c r="L137" s="191" t="s">
        <v>228</v>
      </c>
      <c r="M137" s="193"/>
      <c r="N137" s="191" t="s">
        <v>485</v>
      </c>
      <c r="O137" s="191" t="s">
        <v>486</v>
      </c>
      <c r="P137" s="191" t="s">
        <v>233</v>
      </c>
      <c r="Q137" s="191" t="s">
        <v>234</v>
      </c>
      <c r="R137" s="191" t="s">
        <v>230</v>
      </c>
      <c r="S137" s="191" t="s">
        <v>230</v>
      </c>
    </row>
    <row r="138" spans="1:19">
      <c r="A138" s="191" t="s">
        <v>488</v>
      </c>
      <c r="B138" s="191" t="s">
        <v>489</v>
      </c>
      <c r="C138" s="191" t="s">
        <v>226</v>
      </c>
      <c r="D138" s="191" t="s">
        <v>226</v>
      </c>
      <c r="E138" s="191" t="s">
        <v>339</v>
      </c>
      <c r="F138" s="191" t="s">
        <v>228</v>
      </c>
      <c r="G138" s="191" t="s">
        <v>229</v>
      </c>
      <c r="H138" s="191" t="s">
        <v>228</v>
      </c>
      <c r="I138" s="192">
        <v>862750</v>
      </c>
      <c r="J138" s="192">
        <v>862750</v>
      </c>
      <c r="K138" s="191" t="s">
        <v>230</v>
      </c>
      <c r="L138" s="191" t="s">
        <v>228</v>
      </c>
      <c r="M138" s="193"/>
      <c r="N138" s="191" t="s">
        <v>485</v>
      </c>
      <c r="O138" s="191" t="s">
        <v>486</v>
      </c>
      <c r="P138" s="191" t="s">
        <v>233</v>
      </c>
      <c r="Q138" s="191" t="s">
        <v>234</v>
      </c>
      <c r="R138" s="191" t="s">
        <v>230</v>
      </c>
      <c r="S138" s="191" t="s">
        <v>230</v>
      </c>
    </row>
    <row r="139" spans="1:19">
      <c r="A139" s="191" t="s">
        <v>235</v>
      </c>
      <c r="B139" s="191" t="s">
        <v>490</v>
      </c>
      <c r="C139" s="191" t="s">
        <v>226</v>
      </c>
      <c r="D139" s="191" t="s">
        <v>226</v>
      </c>
      <c r="E139" s="191" t="s">
        <v>239</v>
      </c>
      <c r="F139" s="191" t="s">
        <v>228</v>
      </c>
      <c r="G139" s="191" t="s">
        <v>229</v>
      </c>
      <c r="H139" s="191" t="s">
        <v>228</v>
      </c>
      <c r="I139" s="192">
        <v>7140000</v>
      </c>
      <c r="J139" s="192">
        <v>7140000</v>
      </c>
      <c r="K139" s="191" t="s">
        <v>230</v>
      </c>
      <c r="L139" s="191" t="s">
        <v>228</v>
      </c>
      <c r="M139" s="193"/>
      <c r="N139" s="191" t="s">
        <v>485</v>
      </c>
      <c r="O139" s="191" t="s">
        <v>486</v>
      </c>
      <c r="P139" s="191" t="s">
        <v>233</v>
      </c>
      <c r="Q139" s="191" t="s">
        <v>234</v>
      </c>
      <c r="R139" s="191" t="s">
        <v>230</v>
      </c>
      <c r="S139" s="191" t="s">
        <v>230</v>
      </c>
    </row>
    <row r="140" spans="1:19">
      <c r="A140" s="191" t="s">
        <v>237</v>
      </c>
      <c r="B140" s="191" t="s">
        <v>491</v>
      </c>
      <c r="C140" s="191" t="s">
        <v>226</v>
      </c>
      <c r="D140" s="191" t="s">
        <v>226</v>
      </c>
      <c r="E140" s="191" t="s">
        <v>339</v>
      </c>
      <c r="F140" s="191" t="s">
        <v>228</v>
      </c>
      <c r="G140" s="191" t="s">
        <v>229</v>
      </c>
      <c r="H140" s="191" t="s">
        <v>228</v>
      </c>
      <c r="I140" s="192">
        <v>6664000</v>
      </c>
      <c r="J140" s="192">
        <v>6664000</v>
      </c>
      <c r="K140" s="191" t="s">
        <v>230</v>
      </c>
      <c r="L140" s="191" t="s">
        <v>228</v>
      </c>
      <c r="M140" s="193"/>
      <c r="N140" s="191" t="s">
        <v>492</v>
      </c>
      <c r="O140" s="191" t="s">
        <v>493</v>
      </c>
      <c r="P140" s="191" t="s">
        <v>233</v>
      </c>
      <c r="Q140" s="191" t="s">
        <v>234</v>
      </c>
      <c r="R140" s="191" t="s">
        <v>230</v>
      </c>
      <c r="S140" s="191" t="s">
        <v>230</v>
      </c>
    </row>
    <row r="141" spans="1:19">
      <c r="A141" s="191" t="s">
        <v>258</v>
      </c>
      <c r="B141" s="191" t="s">
        <v>494</v>
      </c>
      <c r="C141" s="191" t="s">
        <v>226</v>
      </c>
      <c r="D141" s="191" t="s">
        <v>226</v>
      </c>
      <c r="E141" s="191" t="s">
        <v>343</v>
      </c>
      <c r="F141" s="191" t="s">
        <v>228</v>
      </c>
      <c r="G141" s="191" t="s">
        <v>229</v>
      </c>
      <c r="H141" s="191" t="s">
        <v>228</v>
      </c>
      <c r="I141" s="192">
        <v>9520000</v>
      </c>
      <c r="J141" s="192">
        <v>9520000</v>
      </c>
      <c r="K141" s="191" t="s">
        <v>230</v>
      </c>
      <c r="L141" s="191" t="s">
        <v>228</v>
      </c>
      <c r="M141" s="193"/>
      <c r="N141" s="191" t="s">
        <v>492</v>
      </c>
      <c r="O141" s="191" t="s">
        <v>493</v>
      </c>
      <c r="P141" s="191" t="s">
        <v>233</v>
      </c>
      <c r="Q141" s="191" t="s">
        <v>234</v>
      </c>
      <c r="R141" s="191" t="s">
        <v>230</v>
      </c>
      <c r="S141" s="191" t="s">
        <v>230</v>
      </c>
    </row>
    <row r="142" spans="1:19">
      <c r="A142" s="191" t="s">
        <v>495</v>
      </c>
      <c r="B142" s="191" t="s">
        <v>496</v>
      </c>
      <c r="C142" s="191" t="s">
        <v>361</v>
      </c>
      <c r="D142" s="191" t="s">
        <v>361</v>
      </c>
      <c r="E142" s="191" t="s">
        <v>343</v>
      </c>
      <c r="F142" s="191" t="s">
        <v>228</v>
      </c>
      <c r="G142" s="191" t="s">
        <v>229</v>
      </c>
      <c r="H142" s="191" t="s">
        <v>228</v>
      </c>
      <c r="I142" s="192">
        <v>2975000</v>
      </c>
      <c r="J142" s="192">
        <v>2975000</v>
      </c>
      <c r="K142" s="191" t="s">
        <v>230</v>
      </c>
      <c r="L142" s="191" t="s">
        <v>228</v>
      </c>
      <c r="M142" s="193"/>
      <c r="N142" s="191" t="s">
        <v>492</v>
      </c>
      <c r="O142" s="191" t="s">
        <v>493</v>
      </c>
      <c r="P142" s="191" t="s">
        <v>233</v>
      </c>
      <c r="Q142" s="191" t="s">
        <v>234</v>
      </c>
      <c r="R142" s="191" t="s">
        <v>230</v>
      </c>
      <c r="S142" s="191" t="s">
        <v>230</v>
      </c>
    </row>
    <row r="143" spans="1:19">
      <c r="A143" s="191" t="s">
        <v>275</v>
      </c>
      <c r="B143" s="191" t="s">
        <v>497</v>
      </c>
      <c r="C143" s="191" t="s">
        <v>226</v>
      </c>
      <c r="D143" s="191" t="s">
        <v>226</v>
      </c>
      <c r="E143" s="191" t="s">
        <v>343</v>
      </c>
      <c r="F143" s="191" t="s">
        <v>228</v>
      </c>
      <c r="G143" s="191" t="s">
        <v>229</v>
      </c>
      <c r="H143" s="191" t="s">
        <v>228</v>
      </c>
      <c r="I143" s="192">
        <v>2618000</v>
      </c>
      <c r="J143" s="192">
        <v>2618000</v>
      </c>
      <c r="K143" s="191" t="s">
        <v>230</v>
      </c>
      <c r="L143" s="191" t="s">
        <v>228</v>
      </c>
      <c r="M143" s="193"/>
      <c r="N143" s="191" t="s">
        <v>492</v>
      </c>
      <c r="O143" s="191" t="s">
        <v>493</v>
      </c>
      <c r="P143" s="191" t="s">
        <v>233</v>
      </c>
      <c r="Q143" s="191" t="s">
        <v>234</v>
      </c>
      <c r="R143" s="191" t="s">
        <v>230</v>
      </c>
      <c r="S143" s="191" t="s">
        <v>230</v>
      </c>
    </row>
    <row r="144" spans="1:19">
      <c r="A144" s="191" t="s">
        <v>498</v>
      </c>
      <c r="B144" s="191" t="s">
        <v>499</v>
      </c>
      <c r="C144" s="191" t="s">
        <v>226</v>
      </c>
      <c r="D144" s="191" t="s">
        <v>226</v>
      </c>
      <c r="E144" s="191" t="s">
        <v>339</v>
      </c>
      <c r="F144" s="191" t="s">
        <v>228</v>
      </c>
      <c r="G144" s="191" t="s">
        <v>229</v>
      </c>
      <c r="H144" s="191" t="s">
        <v>228</v>
      </c>
      <c r="I144" s="192">
        <v>7497000</v>
      </c>
      <c r="J144" s="192">
        <v>7497000</v>
      </c>
      <c r="K144" s="191" t="s">
        <v>230</v>
      </c>
      <c r="L144" s="191" t="s">
        <v>228</v>
      </c>
      <c r="M144" s="193"/>
      <c r="N144" s="191" t="s">
        <v>492</v>
      </c>
      <c r="O144" s="191" t="s">
        <v>493</v>
      </c>
      <c r="P144" s="191" t="s">
        <v>233</v>
      </c>
      <c r="Q144" s="191" t="s">
        <v>234</v>
      </c>
      <c r="R144" s="191" t="s">
        <v>230</v>
      </c>
      <c r="S144" s="191" t="s">
        <v>230</v>
      </c>
    </row>
    <row r="145" spans="1:19">
      <c r="A145" s="191" t="s">
        <v>500</v>
      </c>
      <c r="B145" s="191" t="s">
        <v>501</v>
      </c>
      <c r="C145" s="191" t="s">
        <v>267</v>
      </c>
      <c r="D145" s="191" t="s">
        <v>267</v>
      </c>
      <c r="E145" s="191" t="s">
        <v>257</v>
      </c>
      <c r="F145" s="191" t="s">
        <v>228</v>
      </c>
      <c r="G145" s="191" t="s">
        <v>229</v>
      </c>
      <c r="H145" s="191" t="s">
        <v>228</v>
      </c>
      <c r="I145" s="192">
        <v>2380000</v>
      </c>
      <c r="J145" s="192">
        <v>2380000</v>
      </c>
      <c r="K145" s="191" t="s">
        <v>230</v>
      </c>
      <c r="L145" s="191" t="s">
        <v>228</v>
      </c>
      <c r="M145" s="193"/>
      <c r="N145" s="191" t="s">
        <v>492</v>
      </c>
      <c r="O145" s="191" t="s">
        <v>493</v>
      </c>
      <c r="P145" s="191" t="s">
        <v>233</v>
      </c>
      <c r="Q145" s="191" t="s">
        <v>234</v>
      </c>
      <c r="R145" s="191" t="s">
        <v>230</v>
      </c>
      <c r="S145" s="191" t="s">
        <v>230</v>
      </c>
    </row>
    <row r="146" spans="1:19">
      <c r="A146" s="191" t="s">
        <v>237</v>
      </c>
      <c r="B146" s="191" t="s">
        <v>502</v>
      </c>
      <c r="C146" s="191" t="s">
        <v>226</v>
      </c>
      <c r="D146" s="191" t="s">
        <v>226</v>
      </c>
      <c r="E146" s="191" t="s">
        <v>339</v>
      </c>
      <c r="F146" s="191" t="s">
        <v>228</v>
      </c>
      <c r="G146" s="191" t="s">
        <v>229</v>
      </c>
      <c r="H146" s="191" t="s">
        <v>228</v>
      </c>
      <c r="I146" s="192">
        <v>3909972</v>
      </c>
      <c r="J146" s="192">
        <v>3909972</v>
      </c>
      <c r="K146" s="191" t="s">
        <v>230</v>
      </c>
      <c r="L146" s="191" t="s">
        <v>228</v>
      </c>
      <c r="M146" s="193"/>
      <c r="N146" s="191" t="s">
        <v>503</v>
      </c>
      <c r="O146" s="191" t="s">
        <v>504</v>
      </c>
      <c r="P146" s="191" t="s">
        <v>233</v>
      </c>
      <c r="Q146" s="191" t="s">
        <v>234</v>
      </c>
      <c r="R146" s="191" t="s">
        <v>230</v>
      </c>
      <c r="S146" s="191" t="s">
        <v>230</v>
      </c>
    </row>
    <row r="147" spans="1:19">
      <c r="A147" s="191" t="s">
        <v>281</v>
      </c>
      <c r="B147" s="191" t="s">
        <v>505</v>
      </c>
      <c r="C147" s="191" t="s">
        <v>226</v>
      </c>
      <c r="D147" s="191" t="s">
        <v>226</v>
      </c>
      <c r="E147" s="191" t="s">
        <v>339</v>
      </c>
      <c r="F147" s="191" t="s">
        <v>228</v>
      </c>
      <c r="G147" s="191" t="s">
        <v>229</v>
      </c>
      <c r="H147" s="191" t="s">
        <v>228</v>
      </c>
      <c r="I147" s="192">
        <v>4549809</v>
      </c>
      <c r="J147" s="192">
        <v>4549809</v>
      </c>
      <c r="K147" s="191" t="s">
        <v>230</v>
      </c>
      <c r="L147" s="191" t="s">
        <v>228</v>
      </c>
      <c r="M147" s="193"/>
      <c r="N147" s="191" t="s">
        <v>503</v>
      </c>
      <c r="O147" s="191" t="s">
        <v>504</v>
      </c>
      <c r="P147" s="191" t="s">
        <v>233</v>
      </c>
      <c r="Q147" s="191" t="s">
        <v>234</v>
      </c>
      <c r="R147" s="191" t="s">
        <v>230</v>
      </c>
      <c r="S147" s="191" t="s">
        <v>230</v>
      </c>
    </row>
    <row r="148" spans="1:19">
      <c r="A148" s="191" t="s">
        <v>506</v>
      </c>
      <c r="B148" s="191" t="s">
        <v>507</v>
      </c>
      <c r="C148" s="191" t="s">
        <v>226</v>
      </c>
      <c r="D148" s="191" t="s">
        <v>226</v>
      </c>
      <c r="E148" s="191" t="s">
        <v>339</v>
      </c>
      <c r="F148" s="191" t="s">
        <v>228</v>
      </c>
      <c r="G148" s="191" t="s">
        <v>229</v>
      </c>
      <c r="H148" s="191" t="s">
        <v>228</v>
      </c>
      <c r="I148" s="192">
        <v>15000000</v>
      </c>
      <c r="J148" s="192">
        <v>15000000</v>
      </c>
      <c r="K148" s="191" t="s">
        <v>230</v>
      </c>
      <c r="L148" s="191" t="s">
        <v>228</v>
      </c>
      <c r="M148" s="193"/>
      <c r="N148" s="191" t="s">
        <v>503</v>
      </c>
      <c r="O148" s="191" t="s">
        <v>504</v>
      </c>
      <c r="P148" s="191" t="s">
        <v>233</v>
      </c>
      <c r="Q148" s="191" t="s">
        <v>234</v>
      </c>
      <c r="R148" s="191" t="s">
        <v>230</v>
      </c>
      <c r="S148" s="191" t="s">
        <v>230</v>
      </c>
    </row>
    <row r="149" spans="1:19">
      <c r="A149" s="191" t="s">
        <v>508</v>
      </c>
      <c r="B149" s="191" t="s">
        <v>509</v>
      </c>
      <c r="C149" s="191" t="s">
        <v>226</v>
      </c>
      <c r="D149" s="191" t="s">
        <v>226</v>
      </c>
      <c r="E149" s="191" t="s">
        <v>339</v>
      </c>
      <c r="F149" s="191" t="s">
        <v>228</v>
      </c>
      <c r="G149" s="191" t="s">
        <v>229</v>
      </c>
      <c r="H149" s="191" t="s">
        <v>228</v>
      </c>
      <c r="I149" s="192">
        <v>6563378</v>
      </c>
      <c r="J149" s="192">
        <v>6563378</v>
      </c>
      <c r="K149" s="191" t="s">
        <v>230</v>
      </c>
      <c r="L149" s="191" t="s">
        <v>228</v>
      </c>
      <c r="M149" s="193"/>
      <c r="N149" s="191" t="s">
        <v>503</v>
      </c>
      <c r="O149" s="191" t="s">
        <v>504</v>
      </c>
      <c r="P149" s="191" t="s">
        <v>233</v>
      </c>
      <c r="Q149" s="191" t="s">
        <v>234</v>
      </c>
      <c r="R149" s="191" t="s">
        <v>230</v>
      </c>
      <c r="S149" s="191" t="s">
        <v>230</v>
      </c>
    </row>
    <row r="150" spans="1:19">
      <c r="A150" s="191" t="s">
        <v>364</v>
      </c>
      <c r="B150" s="191" t="s">
        <v>510</v>
      </c>
      <c r="C150" s="191" t="s">
        <v>242</v>
      </c>
      <c r="D150" s="191" t="s">
        <v>242</v>
      </c>
      <c r="E150" s="191" t="s">
        <v>256</v>
      </c>
      <c r="F150" s="191" t="s">
        <v>228</v>
      </c>
      <c r="G150" s="191" t="s">
        <v>229</v>
      </c>
      <c r="H150" s="191" t="s">
        <v>228</v>
      </c>
      <c r="I150" s="192">
        <v>714000</v>
      </c>
      <c r="J150" s="192">
        <v>714000</v>
      </c>
      <c r="K150" s="191" t="s">
        <v>230</v>
      </c>
      <c r="L150" s="191" t="s">
        <v>228</v>
      </c>
      <c r="M150" s="193"/>
      <c r="N150" s="191" t="s">
        <v>503</v>
      </c>
      <c r="O150" s="191" t="s">
        <v>504</v>
      </c>
      <c r="P150" s="191" t="s">
        <v>233</v>
      </c>
      <c r="Q150" s="191" t="s">
        <v>234</v>
      </c>
      <c r="R150" s="191" t="s">
        <v>230</v>
      </c>
      <c r="S150" s="191" t="s">
        <v>230</v>
      </c>
    </row>
    <row r="151" spans="1:19">
      <c r="A151" s="191" t="s">
        <v>359</v>
      </c>
      <c r="B151" s="191" t="s">
        <v>511</v>
      </c>
      <c r="C151" s="191" t="s">
        <v>226</v>
      </c>
      <c r="D151" s="191" t="s">
        <v>226</v>
      </c>
      <c r="E151" s="191" t="s">
        <v>422</v>
      </c>
      <c r="F151" s="191" t="s">
        <v>228</v>
      </c>
      <c r="G151" s="191" t="s">
        <v>229</v>
      </c>
      <c r="H151" s="191" t="s">
        <v>228</v>
      </c>
      <c r="I151" s="192">
        <v>5000000</v>
      </c>
      <c r="J151" s="192">
        <v>5000000</v>
      </c>
      <c r="K151" s="191" t="s">
        <v>230</v>
      </c>
      <c r="L151" s="191" t="s">
        <v>228</v>
      </c>
      <c r="M151" s="193"/>
      <c r="N151" s="191" t="s">
        <v>512</v>
      </c>
      <c r="O151" s="191" t="s">
        <v>513</v>
      </c>
      <c r="P151" s="191" t="s">
        <v>233</v>
      </c>
      <c r="Q151" s="191" t="s">
        <v>234</v>
      </c>
      <c r="R151" s="191" t="s">
        <v>230</v>
      </c>
      <c r="S151" s="191" t="s">
        <v>230</v>
      </c>
    </row>
    <row r="152" spans="1:19">
      <c r="A152" s="191" t="s">
        <v>475</v>
      </c>
      <c r="B152" s="191" t="s">
        <v>514</v>
      </c>
      <c r="C152" s="191" t="s">
        <v>361</v>
      </c>
      <c r="D152" s="191" t="s">
        <v>361</v>
      </c>
      <c r="E152" s="191" t="s">
        <v>422</v>
      </c>
      <c r="F152" s="191" t="s">
        <v>228</v>
      </c>
      <c r="G152" s="191" t="s">
        <v>229</v>
      </c>
      <c r="H152" s="191" t="s">
        <v>228</v>
      </c>
      <c r="I152" s="192">
        <v>1758000</v>
      </c>
      <c r="J152" s="192">
        <v>1758000</v>
      </c>
      <c r="K152" s="191" t="s">
        <v>230</v>
      </c>
      <c r="L152" s="191" t="s">
        <v>228</v>
      </c>
      <c r="M152" s="193"/>
      <c r="N152" s="191" t="s">
        <v>512</v>
      </c>
      <c r="O152" s="191" t="s">
        <v>513</v>
      </c>
      <c r="P152" s="191" t="s">
        <v>233</v>
      </c>
      <c r="Q152" s="191" t="s">
        <v>234</v>
      </c>
      <c r="R152" s="191" t="s">
        <v>230</v>
      </c>
      <c r="S152" s="191" t="s">
        <v>230</v>
      </c>
    </row>
    <row r="153" spans="1:19">
      <c r="A153" s="191" t="s">
        <v>237</v>
      </c>
      <c r="B153" s="191" t="s">
        <v>502</v>
      </c>
      <c r="C153" s="191" t="s">
        <v>361</v>
      </c>
      <c r="D153" s="191" t="s">
        <v>361</v>
      </c>
      <c r="E153" s="191" t="s">
        <v>227</v>
      </c>
      <c r="F153" s="191" t="s">
        <v>228</v>
      </c>
      <c r="G153" s="191" t="s">
        <v>229</v>
      </c>
      <c r="H153" s="191" t="s">
        <v>228</v>
      </c>
      <c r="I153" s="192">
        <v>1357000</v>
      </c>
      <c r="J153" s="192">
        <v>1357000</v>
      </c>
      <c r="K153" s="191" t="s">
        <v>230</v>
      </c>
      <c r="L153" s="191" t="s">
        <v>228</v>
      </c>
      <c r="M153" s="193"/>
      <c r="N153" s="191" t="s">
        <v>512</v>
      </c>
      <c r="O153" s="191" t="s">
        <v>513</v>
      </c>
      <c r="P153" s="191" t="s">
        <v>233</v>
      </c>
      <c r="Q153" s="191" t="s">
        <v>234</v>
      </c>
      <c r="R153" s="191" t="s">
        <v>230</v>
      </c>
      <c r="S153" s="191" t="s">
        <v>230</v>
      </c>
    </row>
    <row r="154" spans="1:19">
      <c r="A154" s="191" t="s">
        <v>364</v>
      </c>
      <c r="B154" s="191" t="s">
        <v>515</v>
      </c>
      <c r="C154" s="191" t="s">
        <v>361</v>
      </c>
      <c r="D154" s="191" t="s">
        <v>361</v>
      </c>
      <c r="E154" s="191" t="s">
        <v>267</v>
      </c>
      <c r="F154" s="191" t="s">
        <v>228</v>
      </c>
      <c r="G154" s="191" t="s">
        <v>229</v>
      </c>
      <c r="H154" s="191" t="s">
        <v>228</v>
      </c>
      <c r="I154" s="192">
        <v>319299</v>
      </c>
      <c r="J154" s="192">
        <v>319299</v>
      </c>
      <c r="K154" s="191" t="s">
        <v>230</v>
      </c>
      <c r="L154" s="191" t="s">
        <v>228</v>
      </c>
      <c r="M154" s="193"/>
      <c r="N154" s="191" t="s">
        <v>512</v>
      </c>
      <c r="O154" s="191" t="s">
        <v>513</v>
      </c>
      <c r="P154" s="191" t="s">
        <v>233</v>
      </c>
      <c r="Q154" s="191" t="s">
        <v>234</v>
      </c>
      <c r="R154" s="191" t="s">
        <v>230</v>
      </c>
      <c r="S154" s="191" t="s">
        <v>230</v>
      </c>
    </row>
    <row r="155" spans="1:19">
      <c r="A155" s="191" t="s">
        <v>271</v>
      </c>
      <c r="B155" s="191" t="s">
        <v>487</v>
      </c>
      <c r="C155" s="191" t="s">
        <v>361</v>
      </c>
      <c r="D155" s="191" t="s">
        <v>361</v>
      </c>
      <c r="E155" s="191" t="s">
        <v>422</v>
      </c>
      <c r="F155" s="191" t="s">
        <v>228</v>
      </c>
      <c r="G155" s="191" t="s">
        <v>229</v>
      </c>
      <c r="H155" s="191" t="s">
        <v>228</v>
      </c>
      <c r="I155" s="192">
        <v>623150</v>
      </c>
      <c r="J155" s="192">
        <v>623150</v>
      </c>
      <c r="K155" s="191" t="s">
        <v>230</v>
      </c>
      <c r="L155" s="191" t="s">
        <v>228</v>
      </c>
      <c r="M155" s="193"/>
      <c r="N155" s="191" t="s">
        <v>512</v>
      </c>
      <c r="O155" s="191" t="s">
        <v>513</v>
      </c>
      <c r="P155" s="191" t="s">
        <v>233</v>
      </c>
      <c r="Q155" s="191" t="s">
        <v>234</v>
      </c>
      <c r="R155" s="191" t="s">
        <v>230</v>
      </c>
      <c r="S155" s="191" t="s">
        <v>230</v>
      </c>
    </row>
    <row r="156" spans="1:19">
      <c r="A156" s="191" t="s">
        <v>516</v>
      </c>
      <c r="B156" s="191" t="s">
        <v>517</v>
      </c>
      <c r="C156" s="191" t="s">
        <v>417</v>
      </c>
      <c r="D156" s="191" t="s">
        <v>417</v>
      </c>
      <c r="E156" s="191" t="s">
        <v>239</v>
      </c>
      <c r="F156" s="191" t="s">
        <v>228</v>
      </c>
      <c r="G156" s="191" t="s">
        <v>229</v>
      </c>
      <c r="H156" s="191" t="s">
        <v>228</v>
      </c>
      <c r="I156" s="192">
        <v>7385614163</v>
      </c>
      <c r="J156" s="192">
        <v>7737310075</v>
      </c>
      <c r="K156" s="191" t="s">
        <v>230</v>
      </c>
      <c r="L156" s="191" t="s">
        <v>228</v>
      </c>
      <c r="M156" s="193"/>
      <c r="N156" s="191" t="s">
        <v>284</v>
      </c>
      <c r="O156" s="191" t="s">
        <v>518</v>
      </c>
      <c r="P156" s="191" t="s">
        <v>233</v>
      </c>
      <c r="Q156" s="191" t="s">
        <v>234</v>
      </c>
      <c r="R156" s="191" t="s">
        <v>230</v>
      </c>
      <c r="S156" s="191" t="s">
        <v>230</v>
      </c>
    </row>
    <row r="157" spans="1:19">
      <c r="A157" s="191" t="s">
        <v>519</v>
      </c>
      <c r="B157" s="191" t="s">
        <v>520</v>
      </c>
      <c r="C157" s="191" t="s">
        <v>417</v>
      </c>
      <c r="D157" s="191" t="s">
        <v>417</v>
      </c>
      <c r="E157" s="191" t="s">
        <v>239</v>
      </c>
      <c r="F157" s="191" t="s">
        <v>228</v>
      </c>
      <c r="G157" s="191" t="s">
        <v>229</v>
      </c>
      <c r="H157" s="191" t="s">
        <v>228</v>
      </c>
      <c r="I157" s="192">
        <v>1114987083</v>
      </c>
      <c r="J157" s="192">
        <v>1114987083</v>
      </c>
      <c r="K157" s="191" t="s">
        <v>230</v>
      </c>
      <c r="L157" s="191" t="s">
        <v>228</v>
      </c>
      <c r="M157" s="193"/>
      <c r="N157" s="191" t="s">
        <v>284</v>
      </c>
      <c r="O157" s="191" t="s">
        <v>518</v>
      </c>
      <c r="P157" s="191" t="s">
        <v>233</v>
      </c>
      <c r="Q157" s="191" t="s">
        <v>234</v>
      </c>
      <c r="R157" s="191" t="s">
        <v>230</v>
      </c>
      <c r="S157" s="191" t="s">
        <v>230</v>
      </c>
    </row>
    <row r="158" spans="1:19">
      <c r="A158" s="191" t="s">
        <v>521</v>
      </c>
      <c r="B158" s="191" t="s">
        <v>522</v>
      </c>
      <c r="C158" s="191" t="s">
        <v>417</v>
      </c>
      <c r="D158" s="191" t="s">
        <v>417</v>
      </c>
      <c r="E158" s="191" t="s">
        <v>239</v>
      </c>
      <c r="F158" s="191" t="s">
        <v>228</v>
      </c>
      <c r="G158" s="191" t="s">
        <v>229</v>
      </c>
      <c r="H158" s="191" t="s">
        <v>228</v>
      </c>
      <c r="I158" s="192">
        <v>64345081</v>
      </c>
      <c r="J158" s="192">
        <v>64345081</v>
      </c>
      <c r="K158" s="191" t="s">
        <v>230</v>
      </c>
      <c r="L158" s="191" t="s">
        <v>228</v>
      </c>
      <c r="M158" s="193"/>
      <c r="N158" s="191" t="s">
        <v>284</v>
      </c>
      <c r="O158" s="191" t="s">
        <v>518</v>
      </c>
      <c r="P158" s="191" t="s">
        <v>233</v>
      </c>
      <c r="Q158" s="191" t="s">
        <v>234</v>
      </c>
      <c r="R158" s="191" t="s">
        <v>230</v>
      </c>
      <c r="S158" s="191" t="s">
        <v>230</v>
      </c>
    </row>
    <row r="159" spans="1:19">
      <c r="A159" s="191" t="s">
        <v>519</v>
      </c>
      <c r="B159" s="191" t="s">
        <v>523</v>
      </c>
      <c r="C159" s="191" t="s">
        <v>417</v>
      </c>
      <c r="D159" s="191" t="s">
        <v>417</v>
      </c>
      <c r="E159" s="191" t="s">
        <v>239</v>
      </c>
      <c r="F159" s="191" t="s">
        <v>228</v>
      </c>
      <c r="G159" s="191" t="s">
        <v>229</v>
      </c>
      <c r="H159" s="191" t="s">
        <v>228</v>
      </c>
      <c r="I159" s="192">
        <v>73727825</v>
      </c>
      <c r="J159" s="192">
        <v>73727825</v>
      </c>
      <c r="K159" s="191" t="s">
        <v>230</v>
      </c>
      <c r="L159" s="191" t="s">
        <v>228</v>
      </c>
      <c r="M159" s="193"/>
      <c r="N159" s="191" t="s">
        <v>284</v>
      </c>
      <c r="O159" s="191" t="s">
        <v>518</v>
      </c>
      <c r="P159" s="191" t="s">
        <v>233</v>
      </c>
      <c r="Q159" s="191" t="s">
        <v>234</v>
      </c>
      <c r="R159" s="191" t="s">
        <v>230</v>
      </c>
      <c r="S159" s="191" t="s">
        <v>230</v>
      </c>
    </row>
    <row r="160" spans="1:19">
      <c r="A160" s="191" t="s">
        <v>524</v>
      </c>
      <c r="B160" s="191" t="s">
        <v>525</v>
      </c>
      <c r="C160" s="191" t="s">
        <v>417</v>
      </c>
      <c r="D160" s="191" t="s">
        <v>417</v>
      </c>
      <c r="E160" s="191" t="s">
        <v>397</v>
      </c>
      <c r="F160" s="191" t="s">
        <v>228</v>
      </c>
      <c r="G160" s="191" t="s">
        <v>229</v>
      </c>
      <c r="H160" s="191" t="s">
        <v>228</v>
      </c>
      <c r="I160" s="192">
        <v>0</v>
      </c>
      <c r="J160" s="192">
        <v>0</v>
      </c>
      <c r="K160" s="191" t="s">
        <v>230</v>
      </c>
      <c r="L160" s="191" t="s">
        <v>228</v>
      </c>
      <c r="M160" s="193"/>
      <c r="N160" s="191" t="s">
        <v>284</v>
      </c>
      <c r="O160" s="191" t="s">
        <v>518</v>
      </c>
      <c r="P160" s="191" t="s">
        <v>233</v>
      </c>
      <c r="Q160" s="191" t="s">
        <v>234</v>
      </c>
      <c r="R160" s="191" t="s">
        <v>230</v>
      </c>
      <c r="S160" s="191" t="s">
        <v>230</v>
      </c>
    </row>
    <row r="161" spans="1:19">
      <c r="A161" s="191" t="s">
        <v>526</v>
      </c>
      <c r="B161" s="191" t="s">
        <v>527</v>
      </c>
      <c r="C161" s="191" t="s">
        <v>230</v>
      </c>
      <c r="D161" s="191" t="s">
        <v>230</v>
      </c>
      <c r="E161" s="191" t="s">
        <v>528</v>
      </c>
      <c r="F161" s="191" t="s">
        <v>228</v>
      </c>
      <c r="G161" s="191" t="s">
        <v>229</v>
      </c>
      <c r="H161" s="191" t="s">
        <v>228</v>
      </c>
      <c r="I161" s="192">
        <v>2629494771</v>
      </c>
      <c r="J161" s="192">
        <v>1275527082</v>
      </c>
      <c r="K161" s="191" t="s">
        <v>230</v>
      </c>
      <c r="L161" s="191" t="s">
        <v>230</v>
      </c>
      <c r="M161" s="193"/>
      <c r="N161" s="191" t="s">
        <v>284</v>
      </c>
      <c r="O161" s="191" t="s">
        <v>529</v>
      </c>
      <c r="P161" s="191" t="s">
        <v>233</v>
      </c>
      <c r="Q161" s="191" t="s">
        <v>234</v>
      </c>
      <c r="R161" s="191" t="s">
        <v>230</v>
      </c>
      <c r="S161" s="191" t="s">
        <v>230</v>
      </c>
    </row>
    <row r="162" spans="1:19">
      <c r="A162" s="191" t="s">
        <v>530</v>
      </c>
      <c r="B162" s="191" t="s">
        <v>531</v>
      </c>
      <c r="C162" s="191" t="s">
        <v>256</v>
      </c>
      <c r="D162" s="191" t="s">
        <v>256</v>
      </c>
      <c r="E162" s="191" t="s">
        <v>528</v>
      </c>
      <c r="F162" s="191" t="s">
        <v>228</v>
      </c>
      <c r="G162" s="191" t="s">
        <v>229</v>
      </c>
      <c r="H162" s="191" t="s">
        <v>228</v>
      </c>
      <c r="I162" s="192">
        <v>4010213341</v>
      </c>
      <c r="J162" s="192">
        <v>2226572635</v>
      </c>
      <c r="K162" s="191" t="s">
        <v>230</v>
      </c>
      <c r="L162" s="191" t="s">
        <v>230</v>
      </c>
      <c r="M162" s="193"/>
      <c r="N162" s="191" t="s">
        <v>284</v>
      </c>
      <c r="O162" s="191" t="s">
        <v>529</v>
      </c>
      <c r="P162" s="191" t="s">
        <v>233</v>
      </c>
      <c r="Q162" s="191" t="s">
        <v>234</v>
      </c>
      <c r="R162" s="191" t="s">
        <v>230</v>
      </c>
      <c r="S162" s="191" t="s">
        <v>230</v>
      </c>
    </row>
    <row r="163" spans="1:19">
      <c r="A163" s="191" t="s">
        <v>532</v>
      </c>
      <c r="B163" s="191" t="s">
        <v>533</v>
      </c>
      <c r="C163" s="191" t="s">
        <v>230</v>
      </c>
      <c r="D163" s="191" t="s">
        <v>230</v>
      </c>
      <c r="E163" s="191" t="s">
        <v>528</v>
      </c>
      <c r="F163" s="191" t="s">
        <v>228</v>
      </c>
      <c r="G163" s="191" t="s">
        <v>229</v>
      </c>
      <c r="H163" s="191" t="s">
        <v>228</v>
      </c>
      <c r="I163" s="192">
        <v>306046618</v>
      </c>
      <c r="J163" s="192">
        <v>149272585</v>
      </c>
      <c r="K163" s="191" t="s">
        <v>230</v>
      </c>
      <c r="L163" s="191" t="s">
        <v>230</v>
      </c>
      <c r="M163" s="193"/>
      <c r="N163" s="191" t="s">
        <v>284</v>
      </c>
      <c r="O163" s="191" t="s">
        <v>529</v>
      </c>
      <c r="P163" s="191" t="s">
        <v>233</v>
      </c>
      <c r="Q163" s="191" t="s">
        <v>234</v>
      </c>
      <c r="R163" s="191" t="s">
        <v>230</v>
      </c>
      <c r="S163" s="191" t="s">
        <v>230</v>
      </c>
    </row>
    <row r="164" spans="1:19">
      <c r="A164" s="191" t="s">
        <v>532</v>
      </c>
      <c r="B164" s="191" t="s">
        <v>534</v>
      </c>
      <c r="C164" s="191" t="s">
        <v>267</v>
      </c>
      <c r="D164" s="191" t="s">
        <v>267</v>
      </c>
      <c r="E164" s="191" t="s">
        <v>535</v>
      </c>
      <c r="F164" s="191" t="s">
        <v>228</v>
      </c>
      <c r="G164" s="191" t="s">
        <v>229</v>
      </c>
      <c r="H164" s="191" t="s">
        <v>228</v>
      </c>
      <c r="I164" s="192">
        <v>214200000</v>
      </c>
      <c r="J164" s="192">
        <v>214200000</v>
      </c>
      <c r="K164" s="191" t="s">
        <v>230</v>
      </c>
      <c r="L164" s="191" t="s">
        <v>228</v>
      </c>
      <c r="M164" s="193"/>
      <c r="N164" s="191" t="s">
        <v>284</v>
      </c>
      <c r="O164" s="191" t="s">
        <v>529</v>
      </c>
      <c r="P164" s="191" t="s">
        <v>233</v>
      </c>
      <c r="Q164" s="191" t="s">
        <v>234</v>
      </c>
      <c r="R164" s="191" t="s">
        <v>230</v>
      </c>
      <c r="S164" s="191" t="s">
        <v>230</v>
      </c>
    </row>
    <row r="165" spans="1:19">
      <c r="A165" s="191" t="s">
        <v>519</v>
      </c>
      <c r="B165" s="191" t="s">
        <v>536</v>
      </c>
      <c r="C165" s="191" t="s">
        <v>226</v>
      </c>
      <c r="D165" s="191" t="s">
        <v>226</v>
      </c>
      <c r="E165" s="191" t="s">
        <v>339</v>
      </c>
      <c r="F165" s="191" t="s">
        <v>228</v>
      </c>
      <c r="G165" s="191" t="s">
        <v>229</v>
      </c>
      <c r="H165" s="191" t="s">
        <v>228</v>
      </c>
      <c r="I165" s="192">
        <v>71948283</v>
      </c>
      <c r="J165" s="192">
        <v>71948283</v>
      </c>
      <c r="K165" s="191" t="s">
        <v>230</v>
      </c>
      <c r="L165" s="191" t="s">
        <v>228</v>
      </c>
      <c r="M165" s="193"/>
      <c r="N165" s="191" t="s">
        <v>284</v>
      </c>
      <c r="O165" s="191" t="s">
        <v>529</v>
      </c>
      <c r="P165" s="191" t="s">
        <v>233</v>
      </c>
      <c r="Q165" s="191" t="s">
        <v>234</v>
      </c>
      <c r="R165" s="191" t="s">
        <v>230</v>
      </c>
      <c r="S165" s="191" t="s">
        <v>230</v>
      </c>
    </row>
    <row r="166" spans="1:19">
      <c r="A166" s="191" t="s">
        <v>537</v>
      </c>
      <c r="B166" s="191" t="s">
        <v>538</v>
      </c>
      <c r="C166" s="191" t="s">
        <v>256</v>
      </c>
      <c r="D166" s="191" t="s">
        <v>256</v>
      </c>
      <c r="E166" s="191" t="s">
        <v>343</v>
      </c>
      <c r="F166" s="191" t="s">
        <v>228</v>
      </c>
      <c r="G166" s="191" t="s">
        <v>229</v>
      </c>
      <c r="H166" s="191" t="s">
        <v>228</v>
      </c>
      <c r="I166" s="192">
        <v>20230000</v>
      </c>
      <c r="J166" s="192">
        <v>20230000</v>
      </c>
      <c r="K166" s="191" t="s">
        <v>230</v>
      </c>
      <c r="L166" s="191" t="s">
        <v>228</v>
      </c>
      <c r="M166" s="193"/>
      <c r="N166" s="191" t="s">
        <v>284</v>
      </c>
      <c r="O166" s="191" t="s">
        <v>529</v>
      </c>
      <c r="P166" s="191" t="s">
        <v>233</v>
      </c>
      <c r="Q166" s="191" t="s">
        <v>234</v>
      </c>
      <c r="R166" s="191" t="s">
        <v>230</v>
      </c>
      <c r="S166" s="191" t="s">
        <v>230</v>
      </c>
    </row>
    <row r="167" spans="1:19">
      <c r="A167" s="191" t="s">
        <v>537</v>
      </c>
      <c r="B167" s="191" t="s">
        <v>539</v>
      </c>
      <c r="C167" s="191" t="s">
        <v>256</v>
      </c>
      <c r="D167" s="191" t="s">
        <v>256</v>
      </c>
      <c r="E167" s="191" t="s">
        <v>339</v>
      </c>
      <c r="F167" s="191" t="s">
        <v>228</v>
      </c>
      <c r="G167" s="191" t="s">
        <v>229</v>
      </c>
      <c r="H167" s="191" t="s">
        <v>228</v>
      </c>
      <c r="I167" s="192">
        <v>5000000</v>
      </c>
      <c r="J167" s="192">
        <v>5000000</v>
      </c>
      <c r="K167" s="191" t="s">
        <v>230</v>
      </c>
      <c r="L167" s="191" t="s">
        <v>228</v>
      </c>
      <c r="M167" s="193"/>
      <c r="N167" s="191" t="s">
        <v>284</v>
      </c>
      <c r="O167" s="191" t="s">
        <v>529</v>
      </c>
      <c r="P167" s="191" t="s">
        <v>233</v>
      </c>
      <c r="Q167" s="191" t="s">
        <v>234</v>
      </c>
      <c r="R167" s="191" t="s">
        <v>230</v>
      </c>
      <c r="S167" s="191" t="s">
        <v>230</v>
      </c>
    </row>
    <row r="168" spans="1:19">
      <c r="A168" s="191" t="s">
        <v>540</v>
      </c>
      <c r="B168" s="191" t="s">
        <v>541</v>
      </c>
      <c r="C168" s="191" t="s">
        <v>226</v>
      </c>
      <c r="D168" s="191" t="s">
        <v>226</v>
      </c>
      <c r="E168" s="191" t="s">
        <v>239</v>
      </c>
      <c r="F168" s="191" t="s">
        <v>228</v>
      </c>
      <c r="G168" s="191" t="s">
        <v>229</v>
      </c>
      <c r="H168" s="191" t="s">
        <v>228</v>
      </c>
      <c r="I168" s="192">
        <v>547685651</v>
      </c>
      <c r="J168" s="192">
        <v>547685651</v>
      </c>
      <c r="K168" s="191" t="s">
        <v>230</v>
      </c>
      <c r="L168" s="191" t="s">
        <v>228</v>
      </c>
      <c r="M168" s="193"/>
      <c r="N168" s="191" t="s">
        <v>284</v>
      </c>
      <c r="O168" s="191" t="s">
        <v>529</v>
      </c>
      <c r="P168" s="191" t="s">
        <v>233</v>
      </c>
      <c r="Q168" s="191" t="s">
        <v>234</v>
      </c>
      <c r="R168" s="191" t="s">
        <v>230</v>
      </c>
      <c r="S168" s="191" t="s">
        <v>230</v>
      </c>
    </row>
    <row r="169" spans="1:19">
      <c r="A169" s="191" t="s">
        <v>542</v>
      </c>
      <c r="B169" s="191" t="s">
        <v>543</v>
      </c>
      <c r="C169" s="191" t="s">
        <v>230</v>
      </c>
      <c r="D169" s="191" t="s">
        <v>230</v>
      </c>
      <c r="E169" s="191" t="s">
        <v>239</v>
      </c>
      <c r="F169" s="191" t="s">
        <v>228</v>
      </c>
      <c r="G169" s="191" t="s">
        <v>229</v>
      </c>
      <c r="H169" s="191" t="s">
        <v>228</v>
      </c>
      <c r="I169" s="192">
        <v>153991541</v>
      </c>
      <c r="J169" s="192">
        <v>153991541</v>
      </c>
      <c r="K169" s="191" t="s">
        <v>230</v>
      </c>
      <c r="L169" s="191" t="s">
        <v>228</v>
      </c>
      <c r="M169" s="193"/>
      <c r="N169" s="191" t="s">
        <v>284</v>
      </c>
      <c r="O169" s="191" t="s">
        <v>529</v>
      </c>
      <c r="P169" s="191" t="s">
        <v>233</v>
      </c>
      <c r="Q169" s="191" t="s">
        <v>234</v>
      </c>
      <c r="R169" s="191" t="s">
        <v>230</v>
      </c>
      <c r="S169" s="191" t="s">
        <v>230</v>
      </c>
    </row>
    <row r="170" spans="1:19">
      <c r="A170" s="191" t="s">
        <v>544</v>
      </c>
      <c r="B170" s="191" t="s">
        <v>545</v>
      </c>
      <c r="C170" s="191" t="s">
        <v>546</v>
      </c>
      <c r="D170" s="191" t="s">
        <v>546</v>
      </c>
      <c r="E170" s="191" t="s">
        <v>239</v>
      </c>
      <c r="F170" s="191" t="s">
        <v>228</v>
      </c>
      <c r="G170" s="191" t="s">
        <v>229</v>
      </c>
      <c r="H170" s="191" t="s">
        <v>228</v>
      </c>
      <c r="I170" s="192">
        <v>50000000</v>
      </c>
      <c r="J170" s="192">
        <v>50000000</v>
      </c>
      <c r="K170" s="191" t="s">
        <v>230</v>
      </c>
      <c r="L170" s="191" t="s">
        <v>228</v>
      </c>
      <c r="M170" s="193"/>
      <c r="N170" s="191" t="s">
        <v>284</v>
      </c>
      <c r="O170" s="191" t="s">
        <v>547</v>
      </c>
      <c r="P170" s="191" t="s">
        <v>233</v>
      </c>
      <c r="Q170" s="191" t="s">
        <v>234</v>
      </c>
      <c r="R170" s="191" t="s">
        <v>230</v>
      </c>
      <c r="S170" s="191" t="s">
        <v>230</v>
      </c>
    </row>
    <row r="171" spans="1:19">
      <c r="A171" s="191" t="s">
        <v>544</v>
      </c>
      <c r="B171" s="191" t="s">
        <v>548</v>
      </c>
      <c r="C171" s="191" t="s">
        <v>366</v>
      </c>
      <c r="D171" s="191" t="s">
        <v>366</v>
      </c>
      <c r="E171" s="191" t="s">
        <v>239</v>
      </c>
      <c r="F171" s="191" t="s">
        <v>228</v>
      </c>
      <c r="G171" s="191" t="s">
        <v>229</v>
      </c>
      <c r="H171" s="191" t="s">
        <v>228</v>
      </c>
      <c r="I171" s="192">
        <v>1190000</v>
      </c>
      <c r="J171" s="192">
        <v>1190000</v>
      </c>
      <c r="K171" s="191" t="s">
        <v>230</v>
      </c>
      <c r="L171" s="191" t="s">
        <v>228</v>
      </c>
      <c r="M171" s="193"/>
      <c r="N171" s="191" t="s">
        <v>284</v>
      </c>
      <c r="O171" s="191" t="s">
        <v>547</v>
      </c>
      <c r="P171" s="191" t="s">
        <v>233</v>
      </c>
      <c r="Q171" s="191" t="s">
        <v>234</v>
      </c>
      <c r="R171" s="191" t="s">
        <v>230</v>
      </c>
      <c r="S171" s="191" t="s">
        <v>230</v>
      </c>
    </row>
    <row r="172" spans="1:19">
      <c r="A172" s="191" t="s">
        <v>544</v>
      </c>
      <c r="B172" s="191" t="s">
        <v>549</v>
      </c>
      <c r="C172" s="191" t="s">
        <v>366</v>
      </c>
      <c r="D172" s="191" t="s">
        <v>366</v>
      </c>
      <c r="E172" s="191" t="s">
        <v>239</v>
      </c>
      <c r="F172" s="191" t="s">
        <v>228</v>
      </c>
      <c r="G172" s="191" t="s">
        <v>229</v>
      </c>
      <c r="H172" s="191" t="s">
        <v>228</v>
      </c>
      <c r="I172" s="192">
        <v>18361921</v>
      </c>
      <c r="J172" s="192">
        <v>18361921</v>
      </c>
      <c r="K172" s="191" t="s">
        <v>230</v>
      </c>
      <c r="L172" s="191" t="s">
        <v>228</v>
      </c>
      <c r="M172" s="193"/>
      <c r="N172" s="191" t="s">
        <v>284</v>
      </c>
      <c r="O172" s="191" t="s">
        <v>547</v>
      </c>
      <c r="P172" s="191" t="s">
        <v>233</v>
      </c>
      <c r="Q172" s="191" t="s">
        <v>234</v>
      </c>
      <c r="R172" s="191" t="s">
        <v>230</v>
      </c>
      <c r="S172" s="191" t="s">
        <v>230</v>
      </c>
    </row>
    <row r="173" spans="1:19">
      <c r="A173" s="191" t="s">
        <v>550</v>
      </c>
      <c r="B173" s="191" t="s">
        <v>551</v>
      </c>
      <c r="C173" s="191" t="s">
        <v>546</v>
      </c>
      <c r="D173" s="191" t="s">
        <v>546</v>
      </c>
      <c r="E173" s="191" t="s">
        <v>390</v>
      </c>
      <c r="F173" s="191" t="s">
        <v>228</v>
      </c>
      <c r="G173" s="191" t="s">
        <v>229</v>
      </c>
      <c r="H173" s="191" t="s">
        <v>228</v>
      </c>
      <c r="I173" s="192">
        <v>23800000</v>
      </c>
      <c r="J173" s="192">
        <v>13800000</v>
      </c>
      <c r="K173" s="191" t="s">
        <v>230</v>
      </c>
      <c r="L173" s="191" t="s">
        <v>230</v>
      </c>
      <c r="M173" s="193"/>
      <c r="N173" s="191" t="s">
        <v>284</v>
      </c>
      <c r="O173" s="191" t="s">
        <v>547</v>
      </c>
      <c r="P173" s="191" t="s">
        <v>233</v>
      </c>
      <c r="Q173" s="191" t="s">
        <v>234</v>
      </c>
      <c r="R173" s="191" t="s">
        <v>230</v>
      </c>
      <c r="S173" s="191" t="s">
        <v>230</v>
      </c>
    </row>
    <row r="174" spans="1:19">
      <c r="A174" s="191" t="s">
        <v>552</v>
      </c>
      <c r="B174" s="191" t="s">
        <v>553</v>
      </c>
      <c r="C174" s="191" t="s">
        <v>248</v>
      </c>
      <c r="D174" s="191" t="s">
        <v>248</v>
      </c>
      <c r="E174" s="191" t="s">
        <v>239</v>
      </c>
      <c r="F174" s="191" t="s">
        <v>228</v>
      </c>
      <c r="G174" s="191" t="s">
        <v>229</v>
      </c>
      <c r="H174" s="191" t="s">
        <v>228</v>
      </c>
      <c r="I174" s="192">
        <v>67000000</v>
      </c>
      <c r="J174" s="192">
        <v>33500000</v>
      </c>
      <c r="K174" s="191" t="s">
        <v>230</v>
      </c>
      <c r="L174" s="191" t="s">
        <v>230</v>
      </c>
      <c r="M174" s="193"/>
      <c r="N174" s="191" t="s">
        <v>284</v>
      </c>
      <c r="O174" s="191" t="s">
        <v>547</v>
      </c>
      <c r="P174" s="191" t="s">
        <v>233</v>
      </c>
      <c r="Q174" s="191" t="s">
        <v>234</v>
      </c>
      <c r="R174" s="191" t="s">
        <v>230</v>
      </c>
      <c r="S174" s="191" t="s">
        <v>230</v>
      </c>
    </row>
    <row r="175" spans="1:19">
      <c r="A175" s="191" t="s">
        <v>554</v>
      </c>
      <c r="B175" s="191" t="s">
        <v>555</v>
      </c>
      <c r="C175" s="191" t="s">
        <v>546</v>
      </c>
      <c r="D175" s="191" t="s">
        <v>546</v>
      </c>
      <c r="E175" s="191" t="s">
        <v>239</v>
      </c>
      <c r="F175" s="191" t="s">
        <v>228</v>
      </c>
      <c r="G175" s="191" t="s">
        <v>229</v>
      </c>
      <c r="H175" s="191" t="s">
        <v>228</v>
      </c>
      <c r="I175" s="192">
        <v>148750000</v>
      </c>
      <c r="J175" s="192">
        <v>148750000</v>
      </c>
      <c r="K175" s="191" t="s">
        <v>230</v>
      </c>
      <c r="L175" s="191" t="s">
        <v>228</v>
      </c>
      <c r="M175" s="193"/>
      <c r="N175" s="191" t="s">
        <v>284</v>
      </c>
      <c r="O175" s="191" t="s">
        <v>547</v>
      </c>
      <c r="P175" s="191" t="s">
        <v>233</v>
      </c>
      <c r="Q175" s="191" t="s">
        <v>234</v>
      </c>
      <c r="R175" s="191" t="s">
        <v>230</v>
      </c>
      <c r="S175" s="191" t="s">
        <v>230</v>
      </c>
    </row>
    <row r="176" spans="1:19">
      <c r="A176" s="191" t="s">
        <v>556</v>
      </c>
      <c r="B176" s="191" t="s">
        <v>557</v>
      </c>
      <c r="C176" s="191" t="s">
        <v>546</v>
      </c>
      <c r="D176" s="191" t="s">
        <v>546</v>
      </c>
      <c r="E176" s="191" t="s">
        <v>239</v>
      </c>
      <c r="F176" s="191" t="s">
        <v>228</v>
      </c>
      <c r="G176" s="191" t="s">
        <v>229</v>
      </c>
      <c r="H176" s="191" t="s">
        <v>228</v>
      </c>
      <c r="I176" s="192">
        <v>470000000</v>
      </c>
      <c r="J176" s="192">
        <v>370000000</v>
      </c>
      <c r="K176" s="191" t="s">
        <v>230</v>
      </c>
      <c r="L176" s="191" t="s">
        <v>230</v>
      </c>
      <c r="M176" s="193"/>
      <c r="N176" s="191" t="s">
        <v>284</v>
      </c>
      <c r="O176" s="191" t="s">
        <v>547</v>
      </c>
      <c r="P176" s="191" t="s">
        <v>233</v>
      </c>
      <c r="Q176" s="191" t="s">
        <v>234</v>
      </c>
      <c r="R176" s="191" t="s">
        <v>230</v>
      </c>
      <c r="S176" s="191" t="s">
        <v>230</v>
      </c>
    </row>
    <row r="177" spans="1:19">
      <c r="A177" s="191" t="s">
        <v>556</v>
      </c>
      <c r="B177" s="191" t="s">
        <v>558</v>
      </c>
      <c r="C177" s="191" t="s">
        <v>546</v>
      </c>
      <c r="D177" s="191" t="s">
        <v>546</v>
      </c>
      <c r="E177" s="191" t="s">
        <v>239</v>
      </c>
      <c r="F177" s="191" t="s">
        <v>228</v>
      </c>
      <c r="G177" s="191" t="s">
        <v>229</v>
      </c>
      <c r="H177" s="191" t="s">
        <v>228</v>
      </c>
      <c r="I177" s="192">
        <v>20000000</v>
      </c>
      <c r="J177" s="192">
        <v>20000000</v>
      </c>
      <c r="K177" s="191" t="s">
        <v>230</v>
      </c>
      <c r="L177" s="191" t="s">
        <v>228</v>
      </c>
      <c r="M177" s="193"/>
      <c r="N177" s="191" t="s">
        <v>284</v>
      </c>
      <c r="O177" s="191" t="s">
        <v>547</v>
      </c>
      <c r="P177" s="191" t="s">
        <v>233</v>
      </c>
      <c r="Q177" s="191" t="s">
        <v>234</v>
      </c>
      <c r="R177" s="191" t="s">
        <v>230</v>
      </c>
      <c r="S177" s="191" t="s">
        <v>230</v>
      </c>
    </row>
    <row r="178" spans="1:19">
      <c r="A178" s="191" t="s">
        <v>556</v>
      </c>
      <c r="B178" s="191" t="s">
        <v>559</v>
      </c>
      <c r="C178" s="191" t="s">
        <v>226</v>
      </c>
      <c r="D178" s="191" t="s">
        <v>226</v>
      </c>
      <c r="E178" s="191" t="s">
        <v>239</v>
      </c>
      <c r="F178" s="191" t="s">
        <v>228</v>
      </c>
      <c r="G178" s="191" t="s">
        <v>229</v>
      </c>
      <c r="H178" s="191" t="s">
        <v>228</v>
      </c>
      <c r="I178" s="192">
        <v>52473336</v>
      </c>
      <c r="J178" s="192">
        <v>52473336</v>
      </c>
      <c r="K178" s="191" t="s">
        <v>230</v>
      </c>
      <c r="L178" s="191" t="s">
        <v>228</v>
      </c>
      <c r="M178" s="193"/>
      <c r="N178" s="191" t="s">
        <v>284</v>
      </c>
      <c r="O178" s="191" t="s">
        <v>547</v>
      </c>
      <c r="P178" s="191" t="s">
        <v>233</v>
      </c>
      <c r="Q178" s="191" t="s">
        <v>234</v>
      </c>
      <c r="R178" s="191" t="s">
        <v>230</v>
      </c>
      <c r="S178" s="191" t="s">
        <v>230</v>
      </c>
    </row>
    <row r="179" spans="1:19">
      <c r="A179" s="191" t="s">
        <v>556</v>
      </c>
      <c r="B179" s="191" t="s">
        <v>560</v>
      </c>
      <c r="C179" s="191" t="s">
        <v>226</v>
      </c>
      <c r="D179" s="191" t="s">
        <v>226</v>
      </c>
      <c r="E179" s="191" t="s">
        <v>239</v>
      </c>
      <c r="F179" s="191" t="s">
        <v>228</v>
      </c>
      <c r="G179" s="191" t="s">
        <v>229</v>
      </c>
      <c r="H179" s="191" t="s">
        <v>228</v>
      </c>
      <c r="I179" s="192">
        <v>126390701</v>
      </c>
      <c r="J179" s="192">
        <v>126390701</v>
      </c>
      <c r="K179" s="191" t="s">
        <v>230</v>
      </c>
      <c r="L179" s="191" t="s">
        <v>228</v>
      </c>
      <c r="M179" s="193"/>
      <c r="N179" s="191" t="s">
        <v>284</v>
      </c>
      <c r="O179" s="191" t="s">
        <v>547</v>
      </c>
      <c r="P179" s="191" t="s">
        <v>233</v>
      </c>
      <c r="Q179" s="191" t="s">
        <v>234</v>
      </c>
      <c r="R179" s="191" t="s">
        <v>230</v>
      </c>
      <c r="S179" s="191" t="s">
        <v>230</v>
      </c>
    </row>
    <row r="180" spans="1:19">
      <c r="A180" s="191" t="s">
        <v>556</v>
      </c>
      <c r="B180" s="191" t="s">
        <v>561</v>
      </c>
      <c r="C180" s="191" t="s">
        <v>546</v>
      </c>
      <c r="D180" s="191" t="s">
        <v>546</v>
      </c>
      <c r="E180" s="191" t="s">
        <v>239</v>
      </c>
      <c r="F180" s="191" t="s">
        <v>228</v>
      </c>
      <c r="G180" s="191" t="s">
        <v>229</v>
      </c>
      <c r="H180" s="191" t="s">
        <v>228</v>
      </c>
      <c r="I180" s="192">
        <v>133248911</v>
      </c>
      <c r="J180" s="192">
        <v>133248911</v>
      </c>
      <c r="K180" s="191" t="s">
        <v>230</v>
      </c>
      <c r="L180" s="191" t="s">
        <v>228</v>
      </c>
      <c r="M180" s="193"/>
      <c r="N180" s="191" t="s">
        <v>284</v>
      </c>
      <c r="O180" s="191" t="s">
        <v>547</v>
      </c>
      <c r="P180" s="191" t="s">
        <v>233</v>
      </c>
      <c r="Q180" s="191" t="s">
        <v>234</v>
      </c>
      <c r="R180" s="191" t="s">
        <v>230</v>
      </c>
      <c r="S180" s="191" t="s">
        <v>230</v>
      </c>
    </row>
    <row r="181" spans="1:19">
      <c r="A181" s="191" t="s">
        <v>240</v>
      </c>
      <c r="B181" s="191" t="s">
        <v>562</v>
      </c>
      <c r="C181" s="191" t="s">
        <v>389</v>
      </c>
      <c r="D181" s="191" t="s">
        <v>389</v>
      </c>
      <c r="E181" s="191" t="s">
        <v>239</v>
      </c>
      <c r="F181" s="191" t="s">
        <v>228</v>
      </c>
      <c r="G181" s="191" t="s">
        <v>229</v>
      </c>
      <c r="H181" s="191" t="s">
        <v>228</v>
      </c>
      <c r="I181" s="192">
        <v>34012357</v>
      </c>
      <c r="J181" s="192">
        <v>34012357</v>
      </c>
      <c r="K181" s="191" t="s">
        <v>230</v>
      </c>
      <c r="L181" s="191" t="s">
        <v>228</v>
      </c>
      <c r="M181" s="193"/>
      <c r="N181" s="191" t="s">
        <v>284</v>
      </c>
      <c r="O181" s="191" t="s">
        <v>563</v>
      </c>
      <c r="P181" s="191" t="s">
        <v>233</v>
      </c>
      <c r="Q181" s="191" t="s">
        <v>234</v>
      </c>
      <c r="R181" s="191" t="s">
        <v>230</v>
      </c>
      <c r="S181" s="191" t="s">
        <v>230</v>
      </c>
    </row>
    <row r="182" spans="1:19">
      <c r="A182" s="191" t="s">
        <v>564</v>
      </c>
      <c r="B182" s="191" t="s">
        <v>565</v>
      </c>
      <c r="C182" s="191" t="s">
        <v>334</v>
      </c>
      <c r="D182" s="191" t="s">
        <v>334</v>
      </c>
      <c r="E182" s="191" t="s">
        <v>566</v>
      </c>
      <c r="F182" s="191" t="s">
        <v>228</v>
      </c>
      <c r="G182" s="191" t="s">
        <v>229</v>
      </c>
      <c r="H182" s="191" t="s">
        <v>228</v>
      </c>
      <c r="I182" s="192">
        <v>40671225</v>
      </c>
      <c r="J182" s="192">
        <v>3588637</v>
      </c>
      <c r="K182" s="191" t="s">
        <v>230</v>
      </c>
      <c r="L182" s="191" t="s">
        <v>230</v>
      </c>
      <c r="M182" s="193"/>
      <c r="N182" s="191" t="s">
        <v>284</v>
      </c>
      <c r="O182" s="191" t="s">
        <v>563</v>
      </c>
      <c r="P182" s="191" t="s">
        <v>233</v>
      </c>
      <c r="Q182" s="191" t="s">
        <v>234</v>
      </c>
      <c r="R182" s="191" t="s">
        <v>230</v>
      </c>
      <c r="S182" s="191" t="s">
        <v>230</v>
      </c>
    </row>
    <row r="183" spans="1:19">
      <c r="A183" s="191" t="s">
        <v>240</v>
      </c>
      <c r="B183" s="191" t="s">
        <v>567</v>
      </c>
      <c r="C183" s="191" t="s">
        <v>242</v>
      </c>
      <c r="D183" s="191" t="s">
        <v>242</v>
      </c>
      <c r="E183" s="191" t="s">
        <v>239</v>
      </c>
      <c r="F183" s="191" t="s">
        <v>228</v>
      </c>
      <c r="G183" s="191" t="s">
        <v>229</v>
      </c>
      <c r="H183" s="191" t="s">
        <v>228</v>
      </c>
      <c r="I183" s="192">
        <v>23232264</v>
      </c>
      <c r="J183" s="192">
        <v>15488176</v>
      </c>
      <c r="K183" s="191" t="s">
        <v>230</v>
      </c>
      <c r="L183" s="191" t="s">
        <v>230</v>
      </c>
      <c r="M183" s="193"/>
      <c r="N183" s="191" t="s">
        <v>284</v>
      </c>
      <c r="O183" s="191" t="s">
        <v>563</v>
      </c>
      <c r="P183" s="191" t="s">
        <v>233</v>
      </c>
      <c r="Q183" s="191" t="s">
        <v>234</v>
      </c>
      <c r="R183" s="191" t="s">
        <v>230</v>
      </c>
      <c r="S183" s="191" t="s">
        <v>230</v>
      </c>
    </row>
    <row r="184" spans="1:19">
      <c r="A184" s="191" t="s">
        <v>240</v>
      </c>
      <c r="B184" s="191" t="s">
        <v>568</v>
      </c>
      <c r="C184" s="191" t="s">
        <v>242</v>
      </c>
      <c r="D184" s="191" t="s">
        <v>242</v>
      </c>
      <c r="E184" s="191" t="s">
        <v>239</v>
      </c>
      <c r="F184" s="191" t="s">
        <v>228</v>
      </c>
      <c r="G184" s="191" t="s">
        <v>229</v>
      </c>
      <c r="H184" s="191" t="s">
        <v>228</v>
      </c>
      <c r="I184" s="192">
        <v>17774580</v>
      </c>
      <c r="J184" s="192">
        <v>2962430</v>
      </c>
      <c r="K184" s="191" t="s">
        <v>230</v>
      </c>
      <c r="L184" s="191" t="s">
        <v>230</v>
      </c>
      <c r="M184" s="193"/>
      <c r="N184" s="191" t="s">
        <v>284</v>
      </c>
      <c r="O184" s="191" t="s">
        <v>563</v>
      </c>
      <c r="P184" s="191" t="s">
        <v>233</v>
      </c>
      <c r="Q184" s="191" t="s">
        <v>234</v>
      </c>
      <c r="R184" s="191" t="s">
        <v>230</v>
      </c>
      <c r="S184" s="191" t="s">
        <v>230</v>
      </c>
    </row>
    <row r="185" spans="1:19">
      <c r="A185" s="191" t="s">
        <v>240</v>
      </c>
      <c r="B185" s="191" t="s">
        <v>569</v>
      </c>
      <c r="C185" s="191" t="s">
        <v>334</v>
      </c>
      <c r="D185" s="191" t="s">
        <v>334</v>
      </c>
      <c r="E185" s="191" t="s">
        <v>239</v>
      </c>
      <c r="F185" s="191" t="s">
        <v>228</v>
      </c>
      <c r="G185" s="191" t="s">
        <v>229</v>
      </c>
      <c r="H185" s="191" t="s">
        <v>228</v>
      </c>
      <c r="I185" s="192">
        <v>47108735</v>
      </c>
      <c r="J185" s="192">
        <v>25264472</v>
      </c>
      <c r="K185" s="191" t="s">
        <v>230</v>
      </c>
      <c r="L185" s="191" t="s">
        <v>230</v>
      </c>
      <c r="M185" s="193"/>
      <c r="N185" s="191" t="s">
        <v>284</v>
      </c>
      <c r="O185" s="191" t="s">
        <v>563</v>
      </c>
      <c r="P185" s="191" t="s">
        <v>233</v>
      </c>
      <c r="Q185" s="191" t="s">
        <v>234</v>
      </c>
      <c r="R185" s="191" t="s">
        <v>230</v>
      </c>
      <c r="S185" s="191" t="s">
        <v>230</v>
      </c>
    </row>
    <row r="186" spans="1:19">
      <c r="A186" s="191" t="s">
        <v>240</v>
      </c>
      <c r="B186" s="191" t="s">
        <v>570</v>
      </c>
      <c r="C186" s="191" t="s">
        <v>334</v>
      </c>
      <c r="D186" s="191" t="s">
        <v>334</v>
      </c>
      <c r="E186" s="191" t="s">
        <v>239</v>
      </c>
      <c r="F186" s="191" t="s">
        <v>228</v>
      </c>
      <c r="G186" s="191" t="s">
        <v>229</v>
      </c>
      <c r="H186" s="191" t="s">
        <v>228</v>
      </c>
      <c r="I186" s="192">
        <v>38873024</v>
      </c>
      <c r="J186" s="192">
        <v>12957674</v>
      </c>
      <c r="K186" s="191" t="s">
        <v>230</v>
      </c>
      <c r="L186" s="191" t="s">
        <v>230</v>
      </c>
      <c r="M186" s="193"/>
      <c r="N186" s="191" t="s">
        <v>284</v>
      </c>
      <c r="O186" s="191" t="s">
        <v>563</v>
      </c>
      <c r="P186" s="191" t="s">
        <v>233</v>
      </c>
      <c r="Q186" s="191" t="s">
        <v>234</v>
      </c>
      <c r="R186" s="191" t="s">
        <v>230</v>
      </c>
      <c r="S186" s="191" t="s">
        <v>230</v>
      </c>
    </row>
    <row r="187" spans="1:19">
      <c r="A187" s="191" t="s">
        <v>240</v>
      </c>
      <c r="B187" s="191" t="s">
        <v>571</v>
      </c>
      <c r="C187" s="191" t="s">
        <v>334</v>
      </c>
      <c r="D187" s="191" t="s">
        <v>334</v>
      </c>
      <c r="E187" s="191" t="s">
        <v>239</v>
      </c>
      <c r="F187" s="191" t="s">
        <v>228</v>
      </c>
      <c r="G187" s="191" t="s">
        <v>229</v>
      </c>
      <c r="H187" s="191" t="s">
        <v>228</v>
      </c>
      <c r="I187" s="192">
        <v>60430974</v>
      </c>
      <c r="J187" s="192">
        <v>20143658</v>
      </c>
      <c r="K187" s="191" t="s">
        <v>230</v>
      </c>
      <c r="L187" s="191" t="s">
        <v>230</v>
      </c>
      <c r="M187" s="193"/>
      <c r="N187" s="191" t="s">
        <v>284</v>
      </c>
      <c r="O187" s="191" t="s">
        <v>563</v>
      </c>
      <c r="P187" s="191" t="s">
        <v>233</v>
      </c>
      <c r="Q187" s="191" t="s">
        <v>234</v>
      </c>
      <c r="R187" s="191" t="s">
        <v>230</v>
      </c>
      <c r="S187" s="191" t="s">
        <v>230</v>
      </c>
    </row>
    <row r="188" spans="1:19">
      <c r="A188" s="191" t="s">
        <v>240</v>
      </c>
      <c r="B188" s="191" t="s">
        <v>572</v>
      </c>
      <c r="C188" s="191" t="s">
        <v>334</v>
      </c>
      <c r="D188" s="191" t="s">
        <v>334</v>
      </c>
      <c r="E188" s="191" t="s">
        <v>239</v>
      </c>
      <c r="F188" s="191" t="s">
        <v>228</v>
      </c>
      <c r="G188" s="191" t="s">
        <v>229</v>
      </c>
      <c r="H188" s="191" t="s">
        <v>228</v>
      </c>
      <c r="I188" s="192">
        <v>19436526</v>
      </c>
      <c r="J188" s="192">
        <v>6478842</v>
      </c>
      <c r="K188" s="191" t="s">
        <v>230</v>
      </c>
      <c r="L188" s="191" t="s">
        <v>230</v>
      </c>
      <c r="M188" s="193"/>
      <c r="N188" s="191" t="s">
        <v>284</v>
      </c>
      <c r="O188" s="191" t="s">
        <v>563</v>
      </c>
      <c r="P188" s="191" t="s">
        <v>233</v>
      </c>
      <c r="Q188" s="191" t="s">
        <v>234</v>
      </c>
      <c r="R188" s="191" t="s">
        <v>230</v>
      </c>
      <c r="S188" s="191" t="s">
        <v>230</v>
      </c>
    </row>
    <row r="189" spans="1:19">
      <c r="A189" s="191" t="s">
        <v>240</v>
      </c>
      <c r="B189" s="191" t="s">
        <v>573</v>
      </c>
      <c r="C189" s="191" t="s">
        <v>417</v>
      </c>
      <c r="D189" s="191" t="s">
        <v>417</v>
      </c>
      <c r="E189" s="191" t="s">
        <v>239</v>
      </c>
      <c r="F189" s="191" t="s">
        <v>228</v>
      </c>
      <c r="G189" s="191" t="s">
        <v>229</v>
      </c>
      <c r="H189" s="191" t="s">
        <v>228</v>
      </c>
      <c r="I189" s="192">
        <v>35095228</v>
      </c>
      <c r="J189" s="192">
        <v>10518738</v>
      </c>
      <c r="K189" s="191" t="s">
        <v>230</v>
      </c>
      <c r="L189" s="191" t="s">
        <v>230</v>
      </c>
      <c r="M189" s="193"/>
      <c r="N189" s="191" t="s">
        <v>284</v>
      </c>
      <c r="O189" s="191" t="s">
        <v>563</v>
      </c>
      <c r="P189" s="191" t="s">
        <v>233</v>
      </c>
      <c r="Q189" s="191" t="s">
        <v>234</v>
      </c>
      <c r="R189" s="191" t="s">
        <v>230</v>
      </c>
      <c r="S189" s="191" t="s">
        <v>230</v>
      </c>
    </row>
    <row r="190" spans="1:19">
      <c r="A190" s="191" t="s">
        <v>574</v>
      </c>
      <c r="B190" s="191" t="s">
        <v>575</v>
      </c>
      <c r="C190" s="191" t="s">
        <v>226</v>
      </c>
      <c r="D190" s="191" t="s">
        <v>226</v>
      </c>
      <c r="E190" s="191" t="s">
        <v>576</v>
      </c>
      <c r="F190" s="191" t="s">
        <v>228</v>
      </c>
      <c r="G190" s="191" t="s">
        <v>229</v>
      </c>
      <c r="H190" s="191" t="s">
        <v>228</v>
      </c>
      <c r="I190" s="192">
        <v>11620350</v>
      </c>
      <c r="J190" s="192">
        <v>11620350</v>
      </c>
      <c r="K190" s="191" t="s">
        <v>230</v>
      </c>
      <c r="L190" s="191" t="s">
        <v>228</v>
      </c>
      <c r="M190" s="193"/>
      <c r="N190" s="191" t="s">
        <v>284</v>
      </c>
      <c r="O190" s="191" t="s">
        <v>577</v>
      </c>
      <c r="P190" s="191" t="s">
        <v>233</v>
      </c>
      <c r="Q190" s="191" t="s">
        <v>234</v>
      </c>
      <c r="R190" s="191" t="s">
        <v>230</v>
      </c>
      <c r="S190" s="191" t="s">
        <v>230</v>
      </c>
    </row>
    <row r="191" spans="1:19">
      <c r="A191" s="191" t="s">
        <v>578</v>
      </c>
      <c r="B191" s="191" t="s">
        <v>579</v>
      </c>
      <c r="C191" s="191" t="s">
        <v>226</v>
      </c>
      <c r="D191" s="191" t="s">
        <v>226</v>
      </c>
      <c r="E191" s="191" t="s">
        <v>239</v>
      </c>
      <c r="F191" s="191" t="s">
        <v>228</v>
      </c>
      <c r="G191" s="191" t="s">
        <v>229</v>
      </c>
      <c r="H191" s="191" t="s">
        <v>228</v>
      </c>
      <c r="I191" s="192">
        <v>13078704</v>
      </c>
      <c r="J191" s="192">
        <v>13078704</v>
      </c>
      <c r="K191" s="191" t="s">
        <v>230</v>
      </c>
      <c r="L191" s="191" t="s">
        <v>228</v>
      </c>
      <c r="M191" s="193"/>
      <c r="N191" s="191" t="s">
        <v>284</v>
      </c>
      <c r="O191" s="191" t="s">
        <v>580</v>
      </c>
      <c r="P191" s="191" t="s">
        <v>233</v>
      </c>
      <c r="Q191" s="191" t="s">
        <v>234</v>
      </c>
      <c r="R191" s="191" t="s">
        <v>230</v>
      </c>
      <c r="S191" s="191" t="s">
        <v>230</v>
      </c>
    </row>
    <row r="192" spans="1:19">
      <c r="A192" s="191" t="s">
        <v>581</v>
      </c>
      <c r="B192" s="191" t="s">
        <v>582</v>
      </c>
      <c r="C192" s="191" t="s">
        <v>366</v>
      </c>
      <c r="D192" s="191" t="s">
        <v>366</v>
      </c>
      <c r="E192" s="191" t="s">
        <v>239</v>
      </c>
      <c r="F192" s="191" t="s">
        <v>228</v>
      </c>
      <c r="G192" s="191" t="s">
        <v>229</v>
      </c>
      <c r="H192" s="191" t="s">
        <v>228</v>
      </c>
      <c r="I192" s="192">
        <v>29992243</v>
      </c>
      <c r="J192" s="192">
        <v>29992243</v>
      </c>
      <c r="K192" s="191" t="s">
        <v>230</v>
      </c>
      <c r="L192" s="191" t="s">
        <v>228</v>
      </c>
      <c r="M192" s="193"/>
      <c r="N192" s="191" t="s">
        <v>284</v>
      </c>
      <c r="O192" s="191" t="s">
        <v>580</v>
      </c>
      <c r="P192" s="191" t="s">
        <v>233</v>
      </c>
      <c r="Q192" s="191" t="s">
        <v>234</v>
      </c>
      <c r="R192" s="191" t="s">
        <v>230</v>
      </c>
      <c r="S192" s="191" t="s">
        <v>230</v>
      </c>
    </row>
    <row r="193" spans="1:19">
      <c r="A193" s="191" t="s">
        <v>488</v>
      </c>
      <c r="B193" s="191" t="s">
        <v>583</v>
      </c>
      <c r="C193" s="191" t="s">
        <v>366</v>
      </c>
      <c r="D193" s="191" t="s">
        <v>366</v>
      </c>
      <c r="E193" s="191" t="s">
        <v>239</v>
      </c>
      <c r="F193" s="191" t="s">
        <v>228</v>
      </c>
      <c r="G193" s="191" t="s">
        <v>229</v>
      </c>
      <c r="H193" s="191" t="s">
        <v>228</v>
      </c>
      <c r="I193" s="192">
        <v>14474513</v>
      </c>
      <c r="J193" s="192">
        <v>14474513</v>
      </c>
      <c r="K193" s="191" t="s">
        <v>230</v>
      </c>
      <c r="L193" s="191" t="s">
        <v>228</v>
      </c>
      <c r="M193" s="193"/>
      <c r="N193" s="191" t="s">
        <v>284</v>
      </c>
      <c r="O193" s="191" t="s">
        <v>580</v>
      </c>
      <c r="P193" s="191" t="s">
        <v>233</v>
      </c>
      <c r="Q193" s="191" t="s">
        <v>234</v>
      </c>
      <c r="R193" s="191" t="s">
        <v>230</v>
      </c>
      <c r="S193" s="191" t="s">
        <v>230</v>
      </c>
    </row>
    <row r="194" spans="1:19">
      <c r="A194" s="191" t="s">
        <v>584</v>
      </c>
      <c r="B194" s="191" t="s">
        <v>585</v>
      </c>
      <c r="C194" s="191" t="s">
        <v>242</v>
      </c>
      <c r="D194" s="191" t="s">
        <v>242</v>
      </c>
      <c r="E194" s="191" t="s">
        <v>239</v>
      </c>
      <c r="F194" s="191" t="s">
        <v>228</v>
      </c>
      <c r="G194" s="191" t="s">
        <v>229</v>
      </c>
      <c r="H194" s="191" t="s">
        <v>228</v>
      </c>
      <c r="I194" s="192">
        <v>8237698</v>
      </c>
      <c r="J194" s="192">
        <v>8237698</v>
      </c>
      <c r="K194" s="191" t="s">
        <v>230</v>
      </c>
      <c r="L194" s="191" t="s">
        <v>228</v>
      </c>
      <c r="M194" s="193"/>
      <c r="N194" s="191" t="s">
        <v>284</v>
      </c>
      <c r="O194" s="191" t="s">
        <v>580</v>
      </c>
      <c r="P194" s="191" t="s">
        <v>233</v>
      </c>
      <c r="Q194" s="191" t="s">
        <v>234</v>
      </c>
      <c r="R194" s="191" t="s">
        <v>230</v>
      </c>
      <c r="S194" s="191" t="s">
        <v>230</v>
      </c>
    </row>
    <row r="195" spans="1:19">
      <c r="A195" s="191" t="s">
        <v>586</v>
      </c>
      <c r="B195" s="191" t="s">
        <v>587</v>
      </c>
      <c r="C195" s="191" t="s">
        <v>230</v>
      </c>
      <c r="D195" s="191" t="s">
        <v>230</v>
      </c>
      <c r="E195" s="191" t="s">
        <v>239</v>
      </c>
      <c r="F195" s="191" t="s">
        <v>228</v>
      </c>
      <c r="G195" s="191" t="s">
        <v>229</v>
      </c>
      <c r="H195" s="191" t="s">
        <v>228</v>
      </c>
      <c r="I195" s="192">
        <v>45264749</v>
      </c>
      <c r="J195" s="192">
        <v>45264749</v>
      </c>
      <c r="K195" s="191" t="s">
        <v>230</v>
      </c>
      <c r="L195" s="191" t="s">
        <v>228</v>
      </c>
      <c r="M195" s="193"/>
      <c r="N195" s="191" t="s">
        <v>284</v>
      </c>
      <c r="O195" s="191" t="s">
        <v>580</v>
      </c>
      <c r="P195" s="191" t="s">
        <v>233</v>
      </c>
      <c r="Q195" s="191" t="s">
        <v>234</v>
      </c>
      <c r="R195" s="191" t="s">
        <v>230</v>
      </c>
      <c r="S195" s="191" t="s">
        <v>230</v>
      </c>
    </row>
    <row r="196" spans="1:19">
      <c r="A196" s="191" t="s">
        <v>588</v>
      </c>
      <c r="B196" s="191" t="s">
        <v>589</v>
      </c>
      <c r="C196" s="191" t="s">
        <v>417</v>
      </c>
      <c r="D196" s="191" t="s">
        <v>417</v>
      </c>
      <c r="E196" s="191" t="s">
        <v>239</v>
      </c>
      <c r="F196" s="191" t="s">
        <v>228</v>
      </c>
      <c r="G196" s="191" t="s">
        <v>229</v>
      </c>
      <c r="H196" s="191" t="s">
        <v>228</v>
      </c>
      <c r="I196" s="192">
        <v>47875842</v>
      </c>
      <c r="J196" s="192">
        <v>47875842</v>
      </c>
      <c r="K196" s="191" t="s">
        <v>230</v>
      </c>
      <c r="L196" s="191" t="s">
        <v>228</v>
      </c>
      <c r="M196" s="193"/>
      <c r="N196" s="191" t="s">
        <v>284</v>
      </c>
      <c r="O196" s="191" t="s">
        <v>580</v>
      </c>
      <c r="P196" s="191" t="s">
        <v>233</v>
      </c>
      <c r="Q196" s="191" t="s">
        <v>234</v>
      </c>
      <c r="R196" s="191" t="s">
        <v>230</v>
      </c>
      <c r="S196" s="191" t="s">
        <v>230</v>
      </c>
    </row>
    <row r="197" spans="1:19">
      <c r="A197" s="191" t="s">
        <v>590</v>
      </c>
      <c r="B197" s="191" t="s">
        <v>591</v>
      </c>
      <c r="C197" s="191" t="s">
        <v>366</v>
      </c>
      <c r="D197" s="191" t="s">
        <v>366</v>
      </c>
      <c r="E197" s="191" t="s">
        <v>239</v>
      </c>
      <c r="F197" s="191" t="s">
        <v>228</v>
      </c>
      <c r="G197" s="191" t="s">
        <v>229</v>
      </c>
      <c r="H197" s="191" t="s">
        <v>228</v>
      </c>
      <c r="I197" s="192">
        <v>21704539</v>
      </c>
      <c r="J197" s="192">
        <v>21704539</v>
      </c>
      <c r="K197" s="191" t="s">
        <v>230</v>
      </c>
      <c r="L197" s="191" t="s">
        <v>228</v>
      </c>
      <c r="M197" s="193"/>
      <c r="N197" s="191" t="s">
        <v>284</v>
      </c>
      <c r="O197" s="191" t="s">
        <v>580</v>
      </c>
      <c r="P197" s="191" t="s">
        <v>233</v>
      </c>
      <c r="Q197" s="191" t="s">
        <v>234</v>
      </c>
      <c r="R197" s="191" t="s">
        <v>230</v>
      </c>
      <c r="S197" s="191" t="s">
        <v>230</v>
      </c>
    </row>
    <row r="198" spans="1:19">
      <c r="A198" s="191" t="s">
        <v>592</v>
      </c>
      <c r="B198" s="191" t="s">
        <v>593</v>
      </c>
      <c r="C198" s="191" t="s">
        <v>366</v>
      </c>
      <c r="D198" s="191" t="s">
        <v>366</v>
      </c>
      <c r="E198" s="191" t="s">
        <v>239</v>
      </c>
      <c r="F198" s="191" t="s">
        <v>228</v>
      </c>
      <c r="G198" s="191" t="s">
        <v>229</v>
      </c>
      <c r="H198" s="191" t="s">
        <v>228</v>
      </c>
      <c r="I198" s="192">
        <v>6915399</v>
      </c>
      <c r="J198" s="192">
        <v>6915399</v>
      </c>
      <c r="K198" s="191" t="s">
        <v>230</v>
      </c>
      <c r="L198" s="191" t="s">
        <v>228</v>
      </c>
      <c r="M198" s="193"/>
      <c r="N198" s="191" t="s">
        <v>284</v>
      </c>
      <c r="O198" s="191" t="s">
        <v>580</v>
      </c>
      <c r="P198" s="191" t="s">
        <v>233</v>
      </c>
      <c r="Q198" s="191" t="s">
        <v>234</v>
      </c>
      <c r="R198" s="191" t="s">
        <v>230</v>
      </c>
      <c r="S198" s="191" t="s">
        <v>230</v>
      </c>
    </row>
    <row r="199" spans="1:19">
      <c r="A199" s="191" t="s">
        <v>594</v>
      </c>
      <c r="B199" s="191" t="s">
        <v>595</v>
      </c>
      <c r="C199" s="191" t="s">
        <v>366</v>
      </c>
      <c r="D199" s="191" t="s">
        <v>366</v>
      </c>
      <c r="E199" s="191" t="s">
        <v>239</v>
      </c>
      <c r="F199" s="191" t="s">
        <v>228</v>
      </c>
      <c r="G199" s="191" t="s">
        <v>229</v>
      </c>
      <c r="H199" s="191" t="s">
        <v>228</v>
      </c>
      <c r="I199" s="192">
        <v>14846422</v>
      </c>
      <c r="J199" s="192">
        <v>14846422</v>
      </c>
      <c r="K199" s="191" t="s">
        <v>230</v>
      </c>
      <c r="L199" s="191" t="s">
        <v>228</v>
      </c>
      <c r="M199" s="193"/>
      <c r="N199" s="191" t="s">
        <v>284</v>
      </c>
      <c r="O199" s="191" t="s">
        <v>580</v>
      </c>
      <c r="P199" s="191" t="s">
        <v>233</v>
      </c>
      <c r="Q199" s="191" t="s">
        <v>234</v>
      </c>
      <c r="R199" s="191" t="s">
        <v>230</v>
      </c>
      <c r="S199" s="191" t="s">
        <v>230</v>
      </c>
    </row>
    <row r="200" spans="1:19">
      <c r="A200" s="191" t="s">
        <v>237</v>
      </c>
      <c r="B200" s="191" t="s">
        <v>596</v>
      </c>
      <c r="C200" s="191" t="s">
        <v>366</v>
      </c>
      <c r="D200" s="191" t="s">
        <v>366</v>
      </c>
      <c r="E200" s="191" t="s">
        <v>239</v>
      </c>
      <c r="F200" s="191" t="s">
        <v>228</v>
      </c>
      <c r="G200" s="191" t="s">
        <v>229</v>
      </c>
      <c r="H200" s="191" t="s">
        <v>228</v>
      </c>
      <c r="I200" s="192">
        <v>78578537</v>
      </c>
      <c r="J200" s="192">
        <v>19578537</v>
      </c>
      <c r="K200" s="191" t="s">
        <v>230</v>
      </c>
      <c r="L200" s="191" t="s">
        <v>230</v>
      </c>
      <c r="M200" s="193"/>
      <c r="N200" s="191" t="s">
        <v>284</v>
      </c>
      <c r="O200" s="191" t="s">
        <v>580</v>
      </c>
      <c r="P200" s="191" t="s">
        <v>233</v>
      </c>
      <c r="Q200" s="191" t="s">
        <v>234</v>
      </c>
      <c r="R200" s="191" t="s">
        <v>230</v>
      </c>
      <c r="S200" s="191" t="s">
        <v>230</v>
      </c>
    </row>
    <row r="201" spans="1:19">
      <c r="A201" s="191" t="s">
        <v>521</v>
      </c>
      <c r="B201" s="191" t="s">
        <v>597</v>
      </c>
      <c r="C201" s="191" t="s">
        <v>242</v>
      </c>
      <c r="D201" s="191" t="s">
        <v>242</v>
      </c>
      <c r="E201" s="191" t="s">
        <v>239</v>
      </c>
      <c r="F201" s="191" t="s">
        <v>228</v>
      </c>
      <c r="G201" s="191" t="s">
        <v>229</v>
      </c>
      <c r="H201" s="191" t="s">
        <v>228</v>
      </c>
      <c r="I201" s="192">
        <v>0</v>
      </c>
      <c r="J201" s="192">
        <v>0</v>
      </c>
      <c r="K201" s="191" t="s">
        <v>230</v>
      </c>
      <c r="L201" s="191" t="s">
        <v>228</v>
      </c>
      <c r="M201" s="193"/>
      <c r="N201" s="191" t="s">
        <v>284</v>
      </c>
      <c r="O201" s="191" t="s">
        <v>580</v>
      </c>
      <c r="P201" s="191" t="s">
        <v>233</v>
      </c>
      <c r="Q201" s="191" t="s">
        <v>234</v>
      </c>
      <c r="R201" s="191" t="s">
        <v>230</v>
      </c>
      <c r="S201" s="191" t="s">
        <v>230</v>
      </c>
    </row>
    <row r="202" spans="1:19">
      <c r="A202" s="191" t="s">
        <v>598</v>
      </c>
      <c r="B202" s="191" t="s">
        <v>599</v>
      </c>
      <c r="C202" s="191" t="s">
        <v>366</v>
      </c>
      <c r="D202" s="191" t="s">
        <v>366</v>
      </c>
      <c r="E202" s="191" t="s">
        <v>239</v>
      </c>
      <c r="F202" s="191" t="s">
        <v>228</v>
      </c>
      <c r="G202" s="191" t="s">
        <v>229</v>
      </c>
      <c r="H202" s="191" t="s">
        <v>228</v>
      </c>
      <c r="I202" s="192">
        <v>16517200</v>
      </c>
      <c r="J202" s="192">
        <v>16517200</v>
      </c>
      <c r="K202" s="191" t="s">
        <v>230</v>
      </c>
      <c r="L202" s="191" t="s">
        <v>228</v>
      </c>
      <c r="M202" s="193"/>
      <c r="N202" s="191" t="s">
        <v>284</v>
      </c>
      <c r="O202" s="191" t="s">
        <v>580</v>
      </c>
      <c r="P202" s="191" t="s">
        <v>233</v>
      </c>
      <c r="Q202" s="191" t="s">
        <v>234</v>
      </c>
      <c r="R202" s="191" t="s">
        <v>230</v>
      </c>
      <c r="S202" s="191" t="s">
        <v>230</v>
      </c>
    </row>
    <row r="203" spans="1:19">
      <c r="A203" s="191" t="s">
        <v>600</v>
      </c>
      <c r="B203" s="191" t="s">
        <v>601</v>
      </c>
      <c r="C203" s="191" t="s">
        <v>242</v>
      </c>
      <c r="D203" s="191" t="s">
        <v>242</v>
      </c>
      <c r="E203" s="191" t="s">
        <v>239</v>
      </c>
      <c r="F203" s="191" t="s">
        <v>228</v>
      </c>
      <c r="G203" s="191" t="s">
        <v>229</v>
      </c>
      <c r="H203" s="191" t="s">
        <v>228</v>
      </c>
      <c r="I203" s="192">
        <v>39974004</v>
      </c>
      <c r="J203" s="192">
        <v>39974004</v>
      </c>
      <c r="K203" s="191" t="s">
        <v>230</v>
      </c>
      <c r="L203" s="191" t="s">
        <v>228</v>
      </c>
      <c r="M203" s="193"/>
      <c r="N203" s="191" t="s">
        <v>284</v>
      </c>
      <c r="O203" s="191" t="s">
        <v>580</v>
      </c>
      <c r="P203" s="191" t="s">
        <v>233</v>
      </c>
      <c r="Q203" s="191" t="s">
        <v>234</v>
      </c>
      <c r="R203" s="191" t="s">
        <v>230</v>
      </c>
      <c r="S203" s="191" t="s">
        <v>230</v>
      </c>
    </row>
    <row r="204" spans="1:19">
      <c r="A204" s="191" t="s">
        <v>602</v>
      </c>
      <c r="B204" s="191" t="s">
        <v>603</v>
      </c>
      <c r="C204" s="191" t="s">
        <v>230</v>
      </c>
      <c r="D204" s="191" t="s">
        <v>230</v>
      </c>
      <c r="E204" s="191" t="s">
        <v>239</v>
      </c>
      <c r="F204" s="191" t="s">
        <v>228</v>
      </c>
      <c r="G204" s="191" t="s">
        <v>229</v>
      </c>
      <c r="H204" s="191" t="s">
        <v>228</v>
      </c>
      <c r="I204" s="192">
        <v>2434220</v>
      </c>
      <c r="J204" s="192">
        <v>2434220</v>
      </c>
      <c r="K204" s="191" t="s">
        <v>230</v>
      </c>
      <c r="L204" s="191" t="s">
        <v>228</v>
      </c>
      <c r="M204" s="193"/>
      <c r="N204" s="191" t="s">
        <v>284</v>
      </c>
      <c r="O204" s="191" t="s">
        <v>580</v>
      </c>
      <c r="P204" s="191" t="s">
        <v>233</v>
      </c>
      <c r="Q204" s="191" t="s">
        <v>234</v>
      </c>
      <c r="R204" s="191" t="s">
        <v>230</v>
      </c>
      <c r="S204" s="191" t="s">
        <v>230</v>
      </c>
    </row>
    <row r="205" spans="1:19">
      <c r="A205" s="191" t="s">
        <v>604</v>
      </c>
      <c r="B205" s="191" t="s">
        <v>605</v>
      </c>
      <c r="C205" s="191" t="s">
        <v>248</v>
      </c>
      <c r="D205" s="191" t="s">
        <v>248</v>
      </c>
      <c r="E205" s="191" t="s">
        <v>397</v>
      </c>
      <c r="F205" s="191" t="s">
        <v>228</v>
      </c>
      <c r="G205" s="191" t="s">
        <v>229</v>
      </c>
      <c r="H205" s="191" t="s">
        <v>228</v>
      </c>
      <c r="I205" s="192">
        <v>40155360</v>
      </c>
      <c r="J205" s="192">
        <v>15341835</v>
      </c>
      <c r="K205" s="191" t="s">
        <v>230</v>
      </c>
      <c r="L205" s="191" t="s">
        <v>230</v>
      </c>
      <c r="M205" s="193"/>
      <c r="N205" s="191" t="s">
        <v>284</v>
      </c>
      <c r="O205" s="191" t="s">
        <v>606</v>
      </c>
      <c r="P205" s="191" t="s">
        <v>233</v>
      </c>
      <c r="Q205" s="191" t="s">
        <v>234</v>
      </c>
      <c r="R205" s="191" t="s">
        <v>230</v>
      </c>
      <c r="S205" s="191" t="s">
        <v>230</v>
      </c>
    </row>
    <row r="206" spans="1:19">
      <c r="A206" s="191" t="s">
        <v>607</v>
      </c>
      <c r="B206" s="191" t="s">
        <v>608</v>
      </c>
      <c r="C206" s="191" t="s">
        <v>226</v>
      </c>
      <c r="D206" s="191" t="s">
        <v>226</v>
      </c>
      <c r="E206" s="191" t="s">
        <v>283</v>
      </c>
      <c r="F206" s="191" t="s">
        <v>228</v>
      </c>
      <c r="G206" s="191" t="s">
        <v>229</v>
      </c>
      <c r="H206" s="191" t="s">
        <v>228</v>
      </c>
      <c r="I206" s="192">
        <v>56644000</v>
      </c>
      <c r="J206" s="192">
        <v>56644000</v>
      </c>
      <c r="K206" s="191" t="s">
        <v>230</v>
      </c>
      <c r="L206" s="191" t="s">
        <v>228</v>
      </c>
      <c r="M206" s="193"/>
      <c r="N206" s="191" t="s">
        <v>284</v>
      </c>
      <c r="O206" s="191" t="s">
        <v>606</v>
      </c>
      <c r="P206" s="191" t="s">
        <v>233</v>
      </c>
      <c r="Q206" s="191" t="s">
        <v>234</v>
      </c>
      <c r="R206" s="191" t="s">
        <v>230</v>
      </c>
      <c r="S206" s="191" t="s">
        <v>230</v>
      </c>
    </row>
    <row r="207" spans="1:19">
      <c r="A207" s="191" t="s">
        <v>609</v>
      </c>
      <c r="B207" s="191" t="s">
        <v>610</v>
      </c>
      <c r="C207" s="191" t="s">
        <v>546</v>
      </c>
      <c r="D207" s="191" t="s">
        <v>546</v>
      </c>
      <c r="E207" s="191" t="s">
        <v>339</v>
      </c>
      <c r="F207" s="191" t="s">
        <v>228</v>
      </c>
      <c r="G207" s="191" t="s">
        <v>229</v>
      </c>
      <c r="H207" s="191" t="s">
        <v>228</v>
      </c>
      <c r="I207" s="192">
        <v>66000000</v>
      </c>
      <c r="J207" s="192">
        <v>66000000</v>
      </c>
      <c r="K207" s="191" t="s">
        <v>230</v>
      </c>
      <c r="L207" s="191" t="s">
        <v>228</v>
      </c>
      <c r="M207" s="193"/>
      <c r="N207" s="191" t="s">
        <v>284</v>
      </c>
      <c r="O207" s="191" t="s">
        <v>611</v>
      </c>
      <c r="P207" s="191" t="s">
        <v>233</v>
      </c>
      <c r="Q207" s="191" t="s">
        <v>234</v>
      </c>
      <c r="R207" s="191" t="s">
        <v>230</v>
      </c>
      <c r="S207" s="191" t="s">
        <v>230</v>
      </c>
    </row>
    <row r="208" spans="1:19">
      <c r="A208" s="191" t="s">
        <v>612</v>
      </c>
      <c r="B208" s="191" t="s">
        <v>613</v>
      </c>
      <c r="C208" s="191" t="s">
        <v>256</v>
      </c>
      <c r="D208" s="191" t="s">
        <v>256</v>
      </c>
      <c r="E208" s="191" t="s">
        <v>239</v>
      </c>
      <c r="F208" s="191" t="s">
        <v>228</v>
      </c>
      <c r="G208" s="191" t="s">
        <v>229</v>
      </c>
      <c r="H208" s="191" t="s">
        <v>228</v>
      </c>
      <c r="I208" s="192">
        <v>508130000</v>
      </c>
      <c r="J208" s="192">
        <v>508130000</v>
      </c>
      <c r="K208" s="191" t="s">
        <v>230</v>
      </c>
      <c r="L208" s="191" t="s">
        <v>228</v>
      </c>
      <c r="M208" s="193"/>
      <c r="N208" s="191" t="s">
        <v>284</v>
      </c>
      <c r="O208" s="191" t="s">
        <v>614</v>
      </c>
      <c r="P208" s="191" t="s">
        <v>233</v>
      </c>
      <c r="Q208" s="191" t="s">
        <v>234</v>
      </c>
      <c r="R208" s="191" t="s">
        <v>230</v>
      </c>
      <c r="S208" s="191" t="s">
        <v>230</v>
      </c>
    </row>
    <row r="209" spans="1:19">
      <c r="A209" s="191" t="s">
        <v>612</v>
      </c>
      <c r="B209" s="191" t="s">
        <v>615</v>
      </c>
      <c r="C209" s="191" t="s">
        <v>256</v>
      </c>
      <c r="D209" s="191" t="s">
        <v>256</v>
      </c>
      <c r="E209" s="191" t="s">
        <v>239</v>
      </c>
      <c r="F209" s="191" t="s">
        <v>228</v>
      </c>
      <c r="G209" s="191" t="s">
        <v>229</v>
      </c>
      <c r="H209" s="191" t="s">
        <v>228</v>
      </c>
      <c r="I209" s="192">
        <v>487900000</v>
      </c>
      <c r="J209" s="192">
        <v>487900000</v>
      </c>
      <c r="K209" s="191" t="s">
        <v>230</v>
      </c>
      <c r="L209" s="191" t="s">
        <v>228</v>
      </c>
      <c r="M209" s="193"/>
      <c r="N209" s="191" t="s">
        <v>284</v>
      </c>
      <c r="O209" s="191" t="s">
        <v>614</v>
      </c>
      <c r="P209" s="191" t="s">
        <v>233</v>
      </c>
      <c r="Q209" s="191" t="s">
        <v>234</v>
      </c>
      <c r="R209" s="191" t="s">
        <v>230</v>
      </c>
      <c r="S209" s="191" t="s">
        <v>230</v>
      </c>
    </row>
    <row r="210" spans="1:19">
      <c r="A210" s="191" t="s">
        <v>616</v>
      </c>
      <c r="B210" s="191" t="s">
        <v>617</v>
      </c>
      <c r="C210" s="191" t="s">
        <v>230</v>
      </c>
      <c r="D210" s="191" t="s">
        <v>230</v>
      </c>
      <c r="E210" s="191" t="s">
        <v>239</v>
      </c>
      <c r="F210" s="191" t="s">
        <v>228</v>
      </c>
      <c r="G210" s="191" t="s">
        <v>229</v>
      </c>
      <c r="H210" s="191" t="s">
        <v>228</v>
      </c>
      <c r="I210" s="192">
        <v>74000000</v>
      </c>
      <c r="J210" s="192">
        <v>74000000</v>
      </c>
      <c r="K210" s="191" t="s">
        <v>230</v>
      </c>
      <c r="L210" s="191" t="s">
        <v>228</v>
      </c>
      <c r="M210" s="193"/>
      <c r="N210" s="191" t="s">
        <v>284</v>
      </c>
      <c r="O210" s="191" t="s">
        <v>618</v>
      </c>
      <c r="P210" s="191" t="s">
        <v>233</v>
      </c>
      <c r="Q210" s="191" t="s">
        <v>234</v>
      </c>
      <c r="R210" s="191" t="s">
        <v>230</v>
      </c>
      <c r="S210" s="191" t="s">
        <v>230</v>
      </c>
    </row>
    <row r="211" spans="1:19">
      <c r="A211" s="191" t="s">
        <v>310</v>
      </c>
      <c r="B211" s="191" t="s">
        <v>619</v>
      </c>
      <c r="C211" s="191" t="s">
        <v>226</v>
      </c>
      <c r="D211" s="191" t="s">
        <v>226</v>
      </c>
      <c r="E211" s="191" t="s">
        <v>239</v>
      </c>
      <c r="F211" s="191" t="s">
        <v>228</v>
      </c>
      <c r="G211" s="191" t="s">
        <v>229</v>
      </c>
      <c r="H211" s="191" t="s">
        <v>228</v>
      </c>
      <c r="I211" s="192">
        <v>59500000</v>
      </c>
      <c r="J211" s="192">
        <v>59500000</v>
      </c>
      <c r="K211" s="191" t="s">
        <v>230</v>
      </c>
      <c r="L211" s="191" t="s">
        <v>228</v>
      </c>
      <c r="M211" s="193"/>
      <c r="N211" s="191" t="s">
        <v>284</v>
      </c>
      <c r="O211" s="191" t="s">
        <v>620</v>
      </c>
      <c r="P211" s="191" t="s">
        <v>233</v>
      </c>
      <c r="Q211" s="191" t="s">
        <v>234</v>
      </c>
      <c r="R211" s="191" t="s">
        <v>230</v>
      </c>
      <c r="S211" s="191" t="s">
        <v>230</v>
      </c>
    </row>
    <row r="212" spans="1:19">
      <c r="A212" s="191" t="s">
        <v>310</v>
      </c>
      <c r="B212" s="191" t="s">
        <v>621</v>
      </c>
      <c r="C212" s="191" t="s">
        <v>226</v>
      </c>
      <c r="D212" s="191" t="s">
        <v>226</v>
      </c>
      <c r="E212" s="191" t="s">
        <v>239</v>
      </c>
      <c r="F212" s="191" t="s">
        <v>228</v>
      </c>
      <c r="G212" s="191" t="s">
        <v>229</v>
      </c>
      <c r="H212" s="191" t="s">
        <v>228</v>
      </c>
      <c r="I212" s="192">
        <v>38080000</v>
      </c>
      <c r="J212" s="192">
        <v>38080000</v>
      </c>
      <c r="K212" s="191" t="s">
        <v>230</v>
      </c>
      <c r="L212" s="191" t="s">
        <v>228</v>
      </c>
      <c r="M212" s="193"/>
      <c r="N212" s="191" t="s">
        <v>284</v>
      </c>
      <c r="O212" s="191" t="s">
        <v>620</v>
      </c>
      <c r="P212" s="191" t="s">
        <v>233</v>
      </c>
      <c r="Q212" s="191" t="s">
        <v>234</v>
      </c>
      <c r="R212" s="191" t="s">
        <v>230</v>
      </c>
      <c r="S212" s="191" t="s">
        <v>230</v>
      </c>
    </row>
    <row r="213" spans="1:19">
      <c r="A213" s="191" t="s">
        <v>310</v>
      </c>
      <c r="B213" s="191" t="s">
        <v>622</v>
      </c>
      <c r="C213" s="191" t="s">
        <v>226</v>
      </c>
      <c r="D213" s="191" t="s">
        <v>226</v>
      </c>
      <c r="E213" s="191" t="s">
        <v>239</v>
      </c>
      <c r="F213" s="191" t="s">
        <v>228</v>
      </c>
      <c r="G213" s="191" t="s">
        <v>229</v>
      </c>
      <c r="H213" s="191" t="s">
        <v>228</v>
      </c>
      <c r="I213" s="192">
        <v>59500000</v>
      </c>
      <c r="J213" s="192">
        <v>59500000</v>
      </c>
      <c r="K213" s="191" t="s">
        <v>230</v>
      </c>
      <c r="L213" s="191" t="s">
        <v>228</v>
      </c>
      <c r="M213" s="193"/>
      <c r="N213" s="191" t="s">
        <v>284</v>
      </c>
      <c r="O213" s="191" t="s">
        <v>620</v>
      </c>
      <c r="P213" s="191" t="s">
        <v>233</v>
      </c>
      <c r="Q213" s="191" t="s">
        <v>234</v>
      </c>
      <c r="R213" s="191" t="s">
        <v>230</v>
      </c>
      <c r="S213" s="191" t="s">
        <v>230</v>
      </c>
    </row>
    <row r="214" spans="1:19">
      <c r="A214" s="191" t="s">
        <v>310</v>
      </c>
      <c r="B214" s="191" t="s">
        <v>623</v>
      </c>
      <c r="C214" s="191" t="s">
        <v>226</v>
      </c>
      <c r="D214" s="191" t="s">
        <v>226</v>
      </c>
      <c r="E214" s="191" t="s">
        <v>239</v>
      </c>
      <c r="F214" s="191" t="s">
        <v>228</v>
      </c>
      <c r="G214" s="191" t="s">
        <v>229</v>
      </c>
      <c r="H214" s="191" t="s">
        <v>228</v>
      </c>
      <c r="I214" s="192">
        <v>39270000</v>
      </c>
      <c r="J214" s="192">
        <v>39270000</v>
      </c>
      <c r="K214" s="191" t="s">
        <v>230</v>
      </c>
      <c r="L214" s="191" t="s">
        <v>228</v>
      </c>
      <c r="M214" s="193"/>
      <c r="N214" s="191" t="s">
        <v>284</v>
      </c>
      <c r="O214" s="191" t="s">
        <v>620</v>
      </c>
      <c r="P214" s="191" t="s">
        <v>233</v>
      </c>
      <c r="Q214" s="191" t="s">
        <v>234</v>
      </c>
      <c r="R214" s="191" t="s">
        <v>230</v>
      </c>
      <c r="S214" s="191" t="s">
        <v>230</v>
      </c>
    </row>
    <row r="215" spans="1:19">
      <c r="A215" s="191" t="s">
        <v>310</v>
      </c>
      <c r="B215" s="191" t="s">
        <v>624</v>
      </c>
      <c r="C215" s="191" t="s">
        <v>226</v>
      </c>
      <c r="D215" s="191" t="s">
        <v>226</v>
      </c>
      <c r="E215" s="191" t="s">
        <v>239</v>
      </c>
      <c r="F215" s="191" t="s">
        <v>228</v>
      </c>
      <c r="G215" s="191" t="s">
        <v>229</v>
      </c>
      <c r="H215" s="191" t="s">
        <v>228</v>
      </c>
      <c r="I215" s="192">
        <v>261075977</v>
      </c>
      <c r="J215" s="192">
        <v>261075977</v>
      </c>
      <c r="K215" s="191" t="s">
        <v>230</v>
      </c>
      <c r="L215" s="191" t="s">
        <v>228</v>
      </c>
      <c r="M215" s="193"/>
      <c r="N215" s="191" t="s">
        <v>284</v>
      </c>
      <c r="O215" s="191" t="s">
        <v>620</v>
      </c>
      <c r="P215" s="191" t="s">
        <v>233</v>
      </c>
      <c r="Q215" s="191" t="s">
        <v>234</v>
      </c>
      <c r="R215" s="191" t="s">
        <v>230</v>
      </c>
      <c r="S215" s="191" t="s">
        <v>230</v>
      </c>
    </row>
    <row r="216" spans="1:19">
      <c r="A216" s="191" t="s">
        <v>310</v>
      </c>
      <c r="B216" s="191" t="s">
        <v>624</v>
      </c>
      <c r="C216" s="191" t="s">
        <v>226</v>
      </c>
      <c r="D216" s="191" t="s">
        <v>226</v>
      </c>
      <c r="E216" s="191" t="s">
        <v>239</v>
      </c>
      <c r="F216" s="191" t="s">
        <v>228</v>
      </c>
      <c r="G216" s="191" t="s">
        <v>229</v>
      </c>
      <c r="H216" s="191" t="s">
        <v>228</v>
      </c>
      <c r="I216" s="192">
        <v>295456770</v>
      </c>
      <c r="J216" s="192">
        <v>295456770</v>
      </c>
      <c r="K216" s="191" t="s">
        <v>230</v>
      </c>
      <c r="L216" s="191" t="s">
        <v>228</v>
      </c>
      <c r="M216" s="193"/>
      <c r="N216" s="191" t="s">
        <v>284</v>
      </c>
      <c r="O216" s="191" t="s">
        <v>620</v>
      </c>
      <c r="P216" s="191" t="s">
        <v>233</v>
      </c>
      <c r="Q216" s="191" t="s">
        <v>234</v>
      </c>
      <c r="R216" s="191" t="s">
        <v>230</v>
      </c>
      <c r="S216" s="191" t="s">
        <v>230</v>
      </c>
    </row>
    <row r="217" spans="1:19">
      <c r="A217" s="191" t="s">
        <v>310</v>
      </c>
      <c r="B217" s="191" t="s">
        <v>624</v>
      </c>
      <c r="C217" s="191" t="s">
        <v>226</v>
      </c>
      <c r="D217" s="191" t="s">
        <v>226</v>
      </c>
      <c r="E217" s="191" t="s">
        <v>239</v>
      </c>
      <c r="F217" s="191" t="s">
        <v>228</v>
      </c>
      <c r="G217" s="191" t="s">
        <v>229</v>
      </c>
      <c r="H217" s="191" t="s">
        <v>228</v>
      </c>
      <c r="I217" s="192">
        <v>195947780</v>
      </c>
      <c r="J217" s="192">
        <v>195947780</v>
      </c>
      <c r="K217" s="191" t="s">
        <v>230</v>
      </c>
      <c r="L217" s="191" t="s">
        <v>228</v>
      </c>
      <c r="M217" s="193"/>
      <c r="N217" s="191" t="s">
        <v>284</v>
      </c>
      <c r="O217" s="191" t="s">
        <v>620</v>
      </c>
      <c r="P217" s="191" t="s">
        <v>233</v>
      </c>
      <c r="Q217" s="191" t="s">
        <v>234</v>
      </c>
      <c r="R217" s="191" t="s">
        <v>230</v>
      </c>
      <c r="S217" s="191" t="s">
        <v>230</v>
      </c>
    </row>
    <row r="218" spans="1:19">
      <c r="A218" s="191" t="s">
        <v>310</v>
      </c>
      <c r="B218" s="191" t="s">
        <v>624</v>
      </c>
      <c r="C218" s="191" t="s">
        <v>226</v>
      </c>
      <c r="D218" s="191" t="s">
        <v>226</v>
      </c>
      <c r="E218" s="191" t="s">
        <v>239</v>
      </c>
      <c r="F218" s="191" t="s">
        <v>228</v>
      </c>
      <c r="G218" s="191" t="s">
        <v>229</v>
      </c>
      <c r="H218" s="191" t="s">
        <v>228</v>
      </c>
      <c r="I218" s="192">
        <v>280378280</v>
      </c>
      <c r="J218" s="192">
        <v>280378280</v>
      </c>
      <c r="K218" s="191" t="s">
        <v>230</v>
      </c>
      <c r="L218" s="191" t="s">
        <v>228</v>
      </c>
      <c r="M218" s="193"/>
      <c r="N218" s="191" t="s">
        <v>284</v>
      </c>
      <c r="O218" s="191" t="s">
        <v>620</v>
      </c>
      <c r="P218" s="191" t="s">
        <v>233</v>
      </c>
      <c r="Q218" s="191" t="s">
        <v>234</v>
      </c>
      <c r="R218" s="191" t="s">
        <v>230</v>
      </c>
      <c r="S218" s="191" t="s">
        <v>230</v>
      </c>
    </row>
    <row r="219" spans="1:19">
      <c r="A219" s="191" t="s">
        <v>310</v>
      </c>
      <c r="B219" s="191" t="s">
        <v>624</v>
      </c>
      <c r="C219" s="191" t="s">
        <v>226</v>
      </c>
      <c r="D219" s="191" t="s">
        <v>226</v>
      </c>
      <c r="E219" s="191" t="s">
        <v>239</v>
      </c>
      <c r="F219" s="191" t="s">
        <v>228</v>
      </c>
      <c r="G219" s="191" t="s">
        <v>229</v>
      </c>
      <c r="H219" s="191" t="s">
        <v>228</v>
      </c>
      <c r="I219" s="192">
        <v>321636532</v>
      </c>
      <c r="J219" s="192">
        <v>321636532</v>
      </c>
      <c r="K219" s="191" t="s">
        <v>230</v>
      </c>
      <c r="L219" s="191" t="s">
        <v>228</v>
      </c>
      <c r="M219" s="193"/>
      <c r="N219" s="191" t="s">
        <v>284</v>
      </c>
      <c r="O219" s="191" t="s">
        <v>620</v>
      </c>
      <c r="P219" s="191" t="s">
        <v>233</v>
      </c>
      <c r="Q219" s="191" t="s">
        <v>234</v>
      </c>
      <c r="R219" s="191" t="s">
        <v>230</v>
      </c>
      <c r="S219" s="191" t="s">
        <v>230</v>
      </c>
    </row>
    <row r="220" spans="1:19">
      <c r="A220" s="191" t="s">
        <v>310</v>
      </c>
      <c r="B220" s="191" t="s">
        <v>624</v>
      </c>
      <c r="C220" s="191" t="s">
        <v>226</v>
      </c>
      <c r="D220" s="191" t="s">
        <v>226</v>
      </c>
      <c r="E220" s="191" t="s">
        <v>239</v>
      </c>
      <c r="F220" s="191" t="s">
        <v>228</v>
      </c>
      <c r="G220" s="191" t="s">
        <v>229</v>
      </c>
      <c r="H220" s="191" t="s">
        <v>228</v>
      </c>
      <c r="I220" s="192">
        <v>260696632</v>
      </c>
      <c r="J220" s="192">
        <v>260696632</v>
      </c>
      <c r="K220" s="191" t="s">
        <v>230</v>
      </c>
      <c r="L220" s="191" t="s">
        <v>228</v>
      </c>
      <c r="M220" s="193"/>
      <c r="N220" s="191" t="s">
        <v>284</v>
      </c>
      <c r="O220" s="191" t="s">
        <v>620</v>
      </c>
      <c r="P220" s="191" t="s">
        <v>233</v>
      </c>
      <c r="Q220" s="191" t="s">
        <v>234</v>
      </c>
      <c r="R220" s="191" t="s">
        <v>230</v>
      </c>
      <c r="S220" s="191" t="s">
        <v>230</v>
      </c>
    </row>
    <row r="221" spans="1:19">
      <c r="A221" s="191" t="s">
        <v>625</v>
      </c>
      <c r="B221" s="191" t="s">
        <v>626</v>
      </c>
      <c r="C221" s="191" t="s">
        <v>389</v>
      </c>
      <c r="D221" s="191" t="s">
        <v>389</v>
      </c>
      <c r="E221" s="191" t="s">
        <v>239</v>
      </c>
      <c r="F221" s="191" t="s">
        <v>228</v>
      </c>
      <c r="G221" s="191" t="s">
        <v>229</v>
      </c>
      <c r="H221" s="191" t="s">
        <v>228</v>
      </c>
      <c r="I221" s="192">
        <v>485520000</v>
      </c>
      <c r="J221" s="192">
        <v>44472000</v>
      </c>
      <c r="K221" s="191" t="s">
        <v>230</v>
      </c>
      <c r="L221" s="191" t="s">
        <v>230</v>
      </c>
      <c r="M221" s="193"/>
      <c r="N221" s="191" t="s">
        <v>284</v>
      </c>
      <c r="O221" s="191" t="s">
        <v>627</v>
      </c>
      <c r="P221" s="191" t="s">
        <v>233</v>
      </c>
      <c r="Q221" s="191" t="s">
        <v>234</v>
      </c>
      <c r="R221" s="191" t="s">
        <v>230</v>
      </c>
      <c r="S221" s="191" t="s">
        <v>230</v>
      </c>
    </row>
    <row r="222" spans="1:19">
      <c r="A222" s="191" t="s">
        <v>628</v>
      </c>
      <c r="B222" s="191" t="s">
        <v>629</v>
      </c>
      <c r="C222" s="191" t="s">
        <v>546</v>
      </c>
      <c r="D222" s="191" t="s">
        <v>546</v>
      </c>
      <c r="E222" s="191" t="s">
        <v>239</v>
      </c>
      <c r="F222" s="191" t="s">
        <v>228</v>
      </c>
      <c r="G222" s="191" t="s">
        <v>229</v>
      </c>
      <c r="H222" s="191" t="s">
        <v>228</v>
      </c>
      <c r="I222" s="192">
        <v>48287443</v>
      </c>
      <c r="J222" s="192">
        <v>48287443</v>
      </c>
      <c r="K222" s="191" t="s">
        <v>230</v>
      </c>
      <c r="L222" s="191" t="s">
        <v>228</v>
      </c>
      <c r="M222" s="193"/>
      <c r="N222" s="191" t="s">
        <v>284</v>
      </c>
      <c r="O222" s="191" t="s">
        <v>630</v>
      </c>
      <c r="P222" s="191" t="s">
        <v>233</v>
      </c>
      <c r="Q222" s="191" t="s">
        <v>234</v>
      </c>
      <c r="R222" s="191" t="s">
        <v>230</v>
      </c>
      <c r="S222" s="191" t="s">
        <v>230</v>
      </c>
    </row>
    <row r="223" spans="1:19">
      <c r="A223" s="191" t="s">
        <v>631</v>
      </c>
      <c r="B223" s="191" t="s">
        <v>632</v>
      </c>
      <c r="C223" s="191" t="s">
        <v>230</v>
      </c>
      <c r="D223" s="191" t="s">
        <v>230</v>
      </c>
      <c r="E223" s="191" t="s">
        <v>390</v>
      </c>
      <c r="F223" s="191" t="s">
        <v>228</v>
      </c>
      <c r="G223" s="191" t="s">
        <v>229</v>
      </c>
      <c r="H223" s="191" t="s">
        <v>228</v>
      </c>
      <c r="I223" s="192">
        <v>165285115</v>
      </c>
      <c r="J223" s="192">
        <v>145284228</v>
      </c>
      <c r="K223" s="191" t="s">
        <v>230</v>
      </c>
      <c r="L223" s="191" t="s">
        <v>230</v>
      </c>
      <c r="M223" s="193"/>
      <c r="N223" s="191" t="s">
        <v>284</v>
      </c>
      <c r="O223" s="191" t="s">
        <v>633</v>
      </c>
      <c r="P223" s="191" t="s">
        <v>233</v>
      </c>
      <c r="Q223" s="191" t="s">
        <v>234</v>
      </c>
      <c r="R223" s="191" t="s">
        <v>230</v>
      </c>
      <c r="S223" s="191" t="s">
        <v>230</v>
      </c>
    </row>
    <row r="224" spans="1:19">
      <c r="A224" s="191" t="s">
        <v>387</v>
      </c>
      <c r="B224" s="191" t="s">
        <v>634</v>
      </c>
      <c r="C224" s="191" t="s">
        <v>230</v>
      </c>
      <c r="D224" s="191" t="s">
        <v>230</v>
      </c>
      <c r="E224" s="191" t="s">
        <v>397</v>
      </c>
      <c r="F224" s="191" t="s">
        <v>228</v>
      </c>
      <c r="G224" s="191" t="s">
        <v>229</v>
      </c>
      <c r="H224" s="191" t="s">
        <v>228</v>
      </c>
      <c r="I224" s="192">
        <v>23829388</v>
      </c>
      <c r="J224" s="192">
        <v>2374928</v>
      </c>
      <c r="K224" s="191" t="s">
        <v>230</v>
      </c>
      <c r="L224" s="191" t="s">
        <v>230</v>
      </c>
      <c r="M224" s="193"/>
      <c r="N224" s="191" t="s">
        <v>284</v>
      </c>
      <c r="O224" s="191" t="s">
        <v>633</v>
      </c>
      <c r="P224" s="191" t="s">
        <v>233</v>
      </c>
      <c r="Q224" s="191" t="s">
        <v>234</v>
      </c>
      <c r="R224" s="191" t="s">
        <v>230</v>
      </c>
      <c r="S224" s="191" t="s">
        <v>230</v>
      </c>
    </row>
    <row r="225" spans="1:19">
      <c r="A225" s="191" t="s">
        <v>635</v>
      </c>
      <c r="B225" s="191" t="s">
        <v>636</v>
      </c>
      <c r="C225" s="191" t="s">
        <v>389</v>
      </c>
      <c r="D225" s="191" t="s">
        <v>389</v>
      </c>
      <c r="E225" s="191" t="s">
        <v>637</v>
      </c>
      <c r="F225" s="191" t="s">
        <v>228</v>
      </c>
      <c r="G225" s="191" t="s">
        <v>229</v>
      </c>
      <c r="H225" s="191" t="s">
        <v>228</v>
      </c>
      <c r="I225" s="192">
        <v>168656468</v>
      </c>
      <c r="J225" s="192">
        <v>121413760</v>
      </c>
      <c r="K225" s="191" t="s">
        <v>230</v>
      </c>
      <c r="L225" s="191" t="s">
        <v>230</v>
      </c>
      <c r="M225" s="193"/>
      <c r="N225" s="191" t="s">
        <v>284</v>
      </c>
      <c r="O225" s="191" t="s">
        <v>638</v>
      </c>
      <c r="P225" s="191" t="s">
        <v>233</v>
      </c>
      <c r="Q225" s="191" t="s">
        <v>234</v>
      </c>
      <c r="R225" s="191" t="s">
        <v>230</v>
      </c>
      <c r="S225" s="191" t="s">
        <v>230</v>
      </c>
    </row>
    <row r="226" spans="1:19">
      <c r="A226" s="191" t="s">
        <v>635</v>
      </c>
      <c r="B226" s="191" t="s">
        <v>639</v>
      </c>
      <c r="C226" s="191" t="s">
        <v>242</v>
      </c>
      <c r="D226" s="191" t="s">
        <v>242</v>
      </c>
      <c r="E226" s="191" t="s">
        <v>390</v>
      </c>
      <c r="F226" s="191" t="s">
        <v>228</v>
      </c>
      <c r="G226" s="191" t="s">
        <v>229</v>
      </c>
      <c r="H226" s="191" t="s">
        <v>228</v>
      </c>
      <c r="I226" s="192">
        <v>1412766371</v>
      </c>
      <c r="J226" s="192">
        <v>314496477</v>
      </c>
      <c r="K226" s="191" t="s">
        <v>230</v>
      </c>
      <c r="L226" s="191" t="s">
        <v>230</v>
      </c>
      <c r="M226" s="193"/>
      <c r="N226" s="191" t="s">
        <v>284</v>
      </c>
      <c r="O226" s="191" t="s">
        <v>638</v>
      </c>
      <c r="P226" s="191" t="s">
        <v>233</v>
      </c>
      <c r="Q226" s="191" t="s">
        <v>234</v>
      </c>
      <c r="R226" s="191" t="s">
        <v>230</v>
      </c>
      <c r="S226" s="191" t="s">
        <v>230</v>
      </c>
    </row>
    <row r="227" spans="1:19">
      <c r="A227" s="191" t="s">
        <v>635</v>
      </c>
      <c r="B227" s="191" t="s">
        <v>640</v>
      </c>
      <c r="C227" s="191" t="s">
        <v>366</v>
      </c>
      <c r="D227" s="191" t="s">
        <v>366</v>
      </c>
      <c r="E227" s="191" t="s">
        <v>390</v>
      </c>
      <c r="F227" s="191" t="s">
        <v>228</v>
      </c>
      <c r="G227" s="191" t="s">
        <v>229</v>
      </c>
      <c r="H227" s="191" t="s">
        <v>228</v>
      </c>
      <c r="I227" s="192">
        <v>41888362041</v>
      </c>
      <c r="J227" s="192">
        <v>6688057804</v>
      </c>
      <c r="K227" s="191" t="s">
        <v>230</v>
      </c>
      <c r="L227" s="191" t="s">
        <v>230</v>
      </c>
      <c r="M227" s="193"/>
      <c r="N227" s="191" t="s">
        <v>284</v>
      </c>
      <c r="O227" s="191" t="s">
        <v>638</v>
      </c>
      <c r="P227" s="191" t="s">
        <v>233</v>
      </c>
      <c r="Q227" s="191" t="s">
        <v>234</v>
      </c>
      <c r="R227" s="191" t="s">
        <v>230</v>
      </c>
      <c r="S227" s="191" t="s">
        <v>230</v>
      </c>
    </row>
    <row r="228" spans="1:19">
      <c r="A228" s="191" t="s">
        <v>641</v>
      </c>
      <c r="B228" s="191" t="s">
        <v>642</v>
      </c>
      <c r="C228" s="191" t="s">
        <v>546</v>
      </c>
      <c r="D228" s="191" t="s">
        <v>546</v>
      </c>
      <c r="E228" s="191" t="s">
        <v>239</v>
      </c>
      <c r="F228" s="191" t="s">
        <v>228</v>
      </c>
      <c r="G228" s="191" t="s">
        <v>229</v>
      </c>
      <c r="H228" s="191" t="s">
        <v>228</v>
      </c>
      <c r="I228" s="192">
        <v>29750000</v>
      </c>
      <c r="J228" s="192">
        <v>29750000</v>
      </c>
      <c r="K228" s="191" t="s">
        <v>230</v>
      </c>
      <c r="L228" s="191" t="s">
        <v>228</v>
      </c>
      <c r="M228" s="193"/>
      <c r="N228" s="191" t="s">
        <v>284</v>
      </c>
      <c r="O228" s="191" t="s">
        <v>643</v>
      </c>
      <c r="P228" s="191" t="s">
        <v>233</v>
      </c>
      <c r="Q228" s="191" t="s">
        <v>234</v>
      </c>
      <c r="R228" s="191" t="s">
        <v>230</v>
      </c>
      <c r="S228" s="191" t="s">
        <v>230</v>
      </c>
    </row>
    <row r="229" spans="1:19">
      <c r="A229" s="191" t="s">
        <v>644</v>
      </c>
      <c r="B229" s="191" t="s">
        <v>645</v>
      </c>
      <c r="C229" s="191" t="s">
        <v>546</v>
      </c>
      <c r="D229" s="191" t="s">
        <v>546</v>
      </c>
      <c r="E229" s="191" t="s">
        <v>239</v>
      </c>
      <c r="F229" s="191" t="s">
        <v>228</v>
      </c>
      <c r="G229" s="191" t="s">
        <v>229</v>
      </c>
      <c r="H229" s="191" t="s">
        <v>228</v>
      </c>
      <c r="I229" s="192">
        <v>29750000</v>
      </c>
      <c r="J229" s="192">
        <v>29750000</v>
      </c>
      <c r="K229" s="191" t="s">
        <v>230</v>
      </c>
      <c r="L229" s="191" t="s">
        <v>228</v>
      </c>
      <c r="M229" s="193"/>
      <c r="N229" s="191" t="s">
        <v>284</v>
      </c>
      <c r="O229" s="191" t="s">
        <v>643</v>
      </c>
      <c r="P229" s="191" t="s">
        <v>233</v>
      </c>
      <c r="Q229" s="191" t="s">
        <v>234</v>
      </c>
      <c r="R229" s="191" t="s">
        <v>230</v>
      </c>
      <c r="S229" s="191" t="s">
        <v>230</v>
      </c>
    </row>
    <row r="230" spans="1:19">
      <c r="A230" s="191" t="s">
        <v>646</v>
      </c>
      <c r="B230" s="191" t="s">
        <v>647</v>
      </c>
      <c r="C230" s="191" t="s">
        <v>366</v>
      </c>
      <c r="D230" s="191" t="s">
        <v>366</v>
      </c>
      <c r="E230" s="191" t="s">
        <v>257</v>
      </c>
      <c r="F230" s="191" t="s">
        <v>228</v>
      </c>
      <c r="G230" s="191" t="s">
        <v>229</v>
      </c>
      <c r="H230" s="191" t="s">
        <v>228</v>
      </c>
      <c r="I230" s="192">
        <v>37281956</v>
      </c>
      <c r="J230" s="192">
        <v>37281956</v>
      </c>
      <c r="K230" s="191" t="s">
        <v>230</v>
      </c>
      <c r="L230" s="191" t="s">
        <v>228</v>
      </c>
      <c r="M230" s="193"/>
      <c r="N230" s="191" t="s">
        <v>284</v>
      </c>
      <c r="O230" s="191" t="s">
        <v>648</v>
      </c>
      <c r="P230" s="191" t="s">
        <v>233</v>
      </c>
      <c r="Q230" s="191" t="s">
        <v>234</v>
      </c>
      <c r="R230" s="191" t="s">
        <v>230</v>
      </c>
      <c r="S230" s="191" t="s">
        <v>230</v>
      </c>
    </row>
    <row r="231" spans="1:19">
      <c r="A231" s="191" t="s">
        <v>649</v>
      </c>
      <c r="B231" s="191" t="s">
        <v>650</v>
      </c>
      <c r="C231" s="191" t="s">
        <v>366</v>
      </c>
      <c r="D231" s="191" t="s">
        <v>366</v>
      </c>
      <c r="E231" s="191" t="s">
        <v>239</v>
      </c>
      <c r="F231" s="191" t="s">
        <v>228</v>
      </c>
      <c r="G231" s="191" t="s">
        <v>229</v>
      </c>
      <c r="H231" s="191" t="s">
        <v>228</v>
      </c>
      <c r="I231" s="192">
        <v>129559237</v>
      </c>
      <c r="J231" s="192">
        <v>129559237</v>
      </c>
      <c r="K231" s="191" t="s">
        <v>230</v>
      </c>
      <c r="L231" s="191" t="s">
        <v>228</v>
      </c>
      <c r="M231" s="193"/>
      <c r="N231" s="191" t="s">
        <v>284</v>
      </c>
      <c r="O231" s="191" t="s">
        <v>648</v>
      </c>
      <c r="P231" s="191" t="s">
        <v>233</v>
      </c>
      <c r="Q231" s="191" t="s">
        <v>234</v>
      </c>
      <c r="R231" s="191" t="s">
        <v>230</v>
      </c>
      <c r="S231" s="191" t="s">
        <v>230</v>
      </c>
    </row>
    <row r="232" spans="1:19">
      <c r="A232" s="191" t="s">
        <v>631</v>
      </c>
      <c r="B232" s="191" t="s">
        <v>651</v>
      </c>
      <c r="C232" s="191" t="s">
        <v>267</v>
      </c>
      <c r="D232" s="191" t="s">
        <v>267</v>
      </c>
      <c r="E232" s="191" t="s">
        <v>239</v>
      </c>
      <c r="F232" s="191" t="s">
        <v>228</v>
      </c>
      <c r="G232" s="191" t="s">
        <v>229</v>
      </c>
      <c r="H232" s="191" t="s">
        <v>228</v>
      </c>
      <c r="I232" s="192">
        <v>9007329275</v>
      </c>
      <c r="J232" s="192">
        <v>7714417203</v>
      </c>
      <c r="K232" s="191" t="s">
        <v>230</v>
      </c>
      <c r="L232" s="191" t="s">
        <v>230</v>
      </c>
      <c r="M232" s="193"/>
      <c r="N232" s="191" t="s">
        <v>284</v>
      </c>
      <c r="O232" s="191" t="s">
        <v>627</v>
      </c>
      <c r="P232" s="191" t="s">
        <v>233</v>
      </c>
      <c r="Q232" s="191" t="s">
        <v>234</v>
      </c>
      <c r="R232" s="191" t="s">
        <v>230</v>
      </c>
      <c r="S232" s="191" t="s">
        <v>230</v>
      </c>
    </row>
    <row r="233" spans="1:19">
      <c r="A233" s="191" t="s">
        <v>631</v>
      </c>
      <c r="B233" s="191" t="s">
        <v>652</v>
      </c>
      <c r="C233" s="191" t="s">
        <v>417</v>
      </c>
      <c r="D233" s="191" t="s">
        <v>417</v>
      </c>
      <c r="E233" s="191" t="s">
        <v>239</v>
      </c>
      <c r="F233" s="191" t="s">
        <v>228</v>
      </c>
      <c r="G233" s="191" t="s">
        <v>229</v>
      </c>
      <c r="H233" s="191" t="s">
        <v>228</v>
      </c>
      <c r="I233" s="192">
        <v>248074567</v>
      </c>
      <c r="J233" s="192">
        <v>155068842</v>
      </c>
      <c r="K233" s="191" t="s">
        <v>230</v>
      </c>
      <c r="L233" s="191" t="s">
        <v>230</v>
      </c>
      <c r="M233" s="193"/>
      <c r="N233" s="191" t="s">
        <v>284</v>
      </c>
      <c r="O233" s="191" t="s">
        <v>627</v>
      </c>
      <c r="P233" s="191" t="s">
        <v>233</v>
      </c>
      <c r="Q233" s="191" t="s">
        <v>234</v>
      </c>
      <c r="R233" s="191" t="s">
        <v>230</v>
      </c>
      <c r="S233" s="191" t="s">
        <v>230</v>
      </c>
    </row>
    <row r="234" spans="1:19">
      <c r="A234" s="191" t="s">
        <v>653</v>
      </c>
      <c r="B234" s="191" t="s">
        <v>654</v>
      </c>
      <c r="C234" s="191" t="s">
        <v>226</v>
      </c>
      <c r="D234" s="191" t="s">
        <v>226</v>
      </c>
      <c r="E234" s="191" t="s">
        <v>239</v>
      </c>
      <c r="F234" s="191" t="s">
        <v>228</v>
      </c>
      <c r="G234" s="191" t="s">
        <v>229</v>
      </c>
      <c r="H234" s="191" t="s">
        <v>228</v>
      </c>
      <c r="I234" s="192">
        <v>4170950</v>
      </c>
      <c r="J234" s="192">
        <v>4170950</v>
      </c>
      <c r="K234" s="191" t="s">
        <v>230</v>
      </c>
      <c r="L234" s="191" t="s">
        <v>228</v>
      </c>
      <c r="M234" s="193"/>
      <c r="N234" s="191" t="s">
        <v>284</v>
      </c>
      <c r="O234" s="191" t="s">
        <v>655</v>
      </c>
      <c r="P234" s="191" t="s">
        <v>233</v>
      </c>
      <c r="Q234" s="191" t="s">
        <v>234</v>
      </c>
      <c r="R234" s="191" t="s">
        <v>230</v>
      </c>
      <c r="S234" s="191" t="s">
        <v>230</v>
      </c>
    </row>
    <row r="235" spans="1:19">
      <c r="A235" s="191" t="s">
        <v>656</v>
      </c>
      <c r="B235" s="191" t="s">
        <v>657</v>
      </c>
      <c r="C235" s="191" t="s">
        <v>226</v>
      </c>
      <c r="D235" s="191" t="s">
        <v>226</v>
      </c>
      <c r="E235" s="191" t="s">
        <v>478</v>
      </c>
      <c r="F235" s="191" t="s">
        <v>228</v>
      </c>
      <c r="G235" s="191" t="s">
        <v>229</v>
      </c>
      <c r="H235" s="191" t="s">
        <v>228</v>
      </c>
      <c r="I235" s="192">
        <v>47874890</v>
      </c>
      <c r="J235" s="192">
        <v>47874890</v>
      </c>
      <c r="K235" s="191" t="s">
        <v>230</v>
      </c>
      <c r="L235" s="191" t="s">
        <v>228</v>
      </c>
      <c r="M235" s="193"/>
      <c r="N235" s="191" t="s">
        <v>284</v>
      </c>
      <c r="O235" s="191" t="s">
        <v>658</v>
      </c>
      <c r="P235" s="191" t="s">
        <v>233</v>
      </c>
      <c r="Q235" s="191" t="s">
        <v>234</v>
      </c>
      <c r="R235" s="191" t="s">
        <v>230</v>
      </c>
      <c r="S235" s="191" t="s">
        <v>230</v>
      </c>
    </row>
    <row r="236" spans="1:19">
      <c r="A236" s="191" t="s">
        <v>659</v>
      </c>
      <c r="B236" s="191" t="s">
        <v>660</v>
      </c>
      <c r="C236" s="191" t="s">
        <v>226</v>
      </c>
      <c r="D236" s="191" t="s">
        <v>226</v>
      </c>
      <c r="E236" s="191" t="s">
        <v>478</v>
      </c>
      <c r="F236" s="191" t="s">
        <v>228</v>
      </c>
      <c r="G236" s="191" t="s">
        <v>229</v>
      </c>
      <c r="H236" s="191" t="s">
        <v>228</v>
      </c>
      <c r="I236" s="192">
        <v>85680000</v>
      </c>
      <c r="J236" s="192">
        <v>85680000</v>
      </c>
      <c r="K236" s="191" t="s">
        <v>230</v>
      </c>
      <c r="L236" s="191" t="s">
        <v>230</v>
      </c>
      <c r="M236" s="193"/>
      <c r="N236" s="191" t="s">
        <v>284</v>
      </c>
      <c r="O236" s="191" t="s">
        <v>661</v>
      </c>
      <c r="P236" s="191" t="s">
        <v>233</v>
      </c>
      <c r="Q236" s="191" t="s">
        <v>234</v>
      </c>
      <c r="R236" s="191" t="s">
        <v>230</v>
      </c>
      <c r="S236" s="191" t="s">
        <v>230</v>
      </c>
    </row>
    <row r="237" spans="1:19">
      <c r="A237" s="191" t="s">
        <v>662</v>
      </c>
      <c r="B237" s="191" t="s">
        <v>663</v>
      </c>
      <c r="C237" s="191" t="s">
        <v>226</v>
      </c>
      <c r="D237" s="191" t="s">
        <v>226</v>
      </c>
      <c r="E237" s="191" t="s">
        <v>239</v>
      </c>
      <c r="F237" s="191" t="s">
        <v>228</v>
      </c>
      <c r="G237" s="191" t="s">
        <v>229</v>
      </c>
      <c r="H237" s="191" t="s">
        <v>228</v>
      </c>
      <c r="I237" s="192">
        <v>266463433</v>
      </c>
      <c r="J237" s="192">
        <v>248335391</v>
      </c>
      <c r="K237" s="191" t="s">
        <v>230</v>
      </c>
      <c r="L237" s="191" t="s">
        <v>230</v>
      </c>
      <c r="M237" s="193"/>
      <c r="N237" s="191" t="s">
        <v>284</v>
      </c>
      <c r="O237" s="191" t="s">
        <v>664</v>
      </c>
      <c r="P237" s="191" t="s">
        <v>233</v>
      </c>
      <c r="Q237" s="191" t="s">
        <v>234</v>
      </c>
      <c r="R237" s="191" t="s">
        <v>230</v>
      </c>
      <c r="S237" s="191" t="s">
        <v>230</v>
      </c>
    </row>
    <row r="238" spans="1:19">
      <c r="A238" s="191" t="s">
        <v>665</v>
      </c>
      <c r="B238" s="191" t="s">
        <v>666</v>
      </c>
      <c r="C238" s="191" t="s">
        <v>230</v>
      </c>
      <c r="D238" s="191" t="s">
        <v>230</v>
      </c>
      <c r="E238" s="191" t="s">
        <v>239</v>
      </c>
      <c r="F238" s="191" t="s">
        <v>228</v>
      </c>
      <c r="G238" s="191" t="s">
        <v>229</v>
      </c>
      <c r="H238" s="191" t="s">
        <v>228</v>
      </c>
      <c r="I238" s="192">
        <v>39984000</v>
      </c>
      <c r="J238" s="192">
        <v>39984000</v>
      </c>
      <c r="K238" s="191" t="s">
        <v>230</v>
      </c>
      <c r="L238" s="191" t="s">
        <v>228</v>
      </c>
      <c r="M238" s="193"/>
      <c r="N238" s="191" t="s">
        <v>284</v>
      </c>
      <c r="O238" s="191" t="s">
        <v>664</v>
      </c>
      <c r="P238" s="191" t="s">
        <v>233</v>
      </c>
      <c r="Q238" s="191" t="s">
        <v>234</v>
      </c>
      <c r="R238" s="191" t="s">
        <v>230</v>
      </c>
      <c r="S238" s="191" t="s">
        <v>230</v>
      </c>
    </row>
    <row r="239" spans="1:19">
      <c r="A239" s="191" t="s">
        <v>667</v>
      </c>
      <c r="B239" s="191" t="s">
        <v>668</v>
      </c>
      <c r="C239" s="191" t="s">
        <v>361</v>
      </c>
      <c r="D239" s="191" t="s">
        <v>361</v>
      </c>
      <c r="E239" s="191" t="s">
        <v>535</v>
      </c>
      <c r="F239" s="191" t="s">
        <v>228</v>
      </c>
      <c r="G239" s="191" t="s">
        <v>229</v>
      </c>
      <c r="H239" s="191" t="s">
        <v>228</v>
      </c>
      <c r="I239" s="192">
        <v>74196233</v>
      </c>
      <c r="J239" s="192">
        <v>74196233</v>
      </c>
      <c r="K239" s="191" t="s">
        <v>230</v>
      </c>
      <c r="L239" s="191" t="s">
        <v>228</v>
      </c>
      <c r="M239" s="193"/>
      <c r="N239" s="191" t="s">
        <v>284</v>
      </c>
      <c r="O239" s="191" t="s">
        <v>664</v>
      </c>
      <c r="P239" s="191" t="s">
        <v>233</v>
      </c>
      <c r="Q239" s="191" t="s">
        <v>234</v>
      </c>
      <c r="R239" s="191" t="s">
        <v>230</v>
      </c>
      <c r="S239" s="191" t="s">
        <v>230</v>
      </c>
    </row>
    <row r="240" spans="1:19">
      <c r="A240" s="191" t="s">
        <v>669</v>
      </c>
      <c r="B240" s="191" t="s">
        <v>670</v>
      </c>
      <c r="C240" s="191" t="s">
        <v>361</v>
      </c>
      <c r="D240" s="191" t="s">
        <v>361</v>
      </c>
      <c r="E240" s="191" t="s">
        <v>535</v>
      </c>
      <c r="F240" s="191" t="s">
        <v>228</v>
      </c>
      <c r="G240" s="191" t="s">
        <v>229</v>
      </c>
      <c r="H240" s="191" t="s">
        <v>228</v>
      </c>
      <c r="I240" s="192">
        <v>23800000</v>
      </c>
      <c r="J240" s="192">
        <v>23800000</v>
      </c>
      <c r="K240" s="191" t="s">
        <v>230</v>
      </c>
      <c r="L240" s="191" t="s">
        <v>228</v>
      </c>
      <c r="M240" s="193"/>
      <c r="N240" s="191" t="s">
        <v>284</v>
      </c>
      <c r="O240" s="191" t="s">
        <v>664</v>
      </c>
      <c r="P240" s="191" t="s">
        <v>233</v>
      </c>
      <c r="Q240" s="191" t="s">
        <v>234</v>
      </c>
      <c r="R240" s="191" t="s">
        <v>230</v>
      </c>
      <c r="S240" s="191" t="s">
        <v>230</v>
      </c>
    </row>
    <row r="241" spans="1:19">
      <c r="A241" s="191" t="s">
        <v>667</v>
      </c>
      <c r="B241" s="191" t="s">
        <v>671</v>
      </c>
      <c r="C241" s="191" t="s">
        <v>226</v>
      </c>
      <c r="D241" s="191" t="s">
        <v>226</v>
      </c>
      <c r="E241" s="191" t="s">
        <v>239</v>
      </c>
      <c r="F241" s="191" t="s">
        <v>228</v>
      </c>
      <c r="G241" s="191" t="s">
        <v>229</v>
      </c>
      <c r="H241" s="191" t="s">
        <v>228</v>
      </c>
      <c r="I241" s="192">
        <v>59500000</v>
      </c>
      <c r="J241" s="192">
        <v>59500000</v>
      </c>
      <c r="K241" s="191" t="s">
        <v>230</v>
      </c>
      <c r="L241" s="191" t="s">
        <v>228</v>
      </c>
      <c r="M241" s="193"/>
      <c r="N241" s="191" t="s">
        <v>284</v>
      </c>
      <c r="O241" s="191" t="s">
        <v>655</v>
      </c>
      <c r="P241" s="191" t="s">
        <v>233</v>
      </c>
      <c r="Q241" s="191" t="s">
        <v>234</v>
      </c>
      <c r="R241" s="191" t="s">
        <v>230</v>
      </c>
      <c r="S241" s="191" t="s">
        <v>230</v>
      </c>
    </row>
    <row r="242" spans="1:19">
      <c r="A242" s="191" t="s">
        <v>667</v>
      </c>
      <c r="B242" s="191" t="s">
        <v>672</v>
      </c>
      <c r="C242" s="191" t="s">
        <v>226</v>
      </c>
      <c r="D242" s="191" t="s">
        <v>226</v>
      </c>
      <c r="E242" s="191" t="s">
        <v>239</v>
      </c>
      <c r="F242" s="191" t="s">
        <v>228</v>
      </c>
      <c r="G242" s="191" t="s">
        <v>229</v>
      </c>
      <c r="H242" s="191" t="s">
        <v>228</v>
      </c>
      <c r="I242" s="192">
        <v>59500000</v>
      </c>
      <c r="J242" s="192">
        <v>59500000</v>
      </c>
      <c r="K242" s="191" t="s">
        <v>230</v>
      </c>
      <c r="L242" s="191" t="s">
        <v>228</v>
      </c>
      <c r="M242" s="193"/>
      <c r="N242" s="191" t="s">
        <v>284</v>
      </c>
      <c r="O242" s="191" t="s">
        <v>655</v>
      </c>
      <c r="P242" s="191" t="s">
        <v>233</v>
      </c>
      <c r="Q242" s="191" t="s">
        <v>234</v>
      </c>
      <c r="R242" s="191" t="s">
        <v>230</v>
      </c>
      <c r="S242" s="191" t="s">
        <v>230</v>
      </c>
    </row>
    <row r="243" spans="1:19">
      <c r="A243" s="191" t="s">
        <v>667</v>
      </c>
      <c r="B243" s="191" t="s">
        <v>673</v>
      </c>
      <c r="C243" s="191" t="s">
        <v>226</v>
      </c>
      <c r="D243" s="191" t="s">
        <v>226</v>
      </c>
      <c r="E243" s="191" t="s">
        <v>478</v>
      </c>
      <c r="F243" s="191" t="s">
        <v>228</v>
      </c>
      <c r="G243" s="191" t="s">
        <v>229</v>
      </c>
      <c r="H243" s="191" t="s">
        <v>228</v>
      </c>
      <c r="I243" s="192">
        <v>595000000</v>
      </c>
      <c r="J243" s="192">
        <v>595000000</v>
      </c>
      <c r="K243" s="191" t="s">
        <v>230</v>
      </c>
      <c r="L243" s="191" t="s">
        <v>228</v>
      </c>
      <c r="M243" s="193"/>
      <c r="N243" s="191" t="s">
        <v>284</v>
      </c>
      <c r="O243" s="191" t="s">
        <v>655</v>
      </c>
      <c r="P243" s="191" t="s">
        <v>233</v>
      </c>
      <c r="Q243" s="191" t="s">
        <v>234</v>
      </c>
      <c r="R243" s="191" t="s">
        <v>230</v>
      </c>
      <c r="S243" s="191" t="s">
        <v>230</v>
      </c>
    </row>
    <row r="244" spans="1:19">
      <c r="A244" s="191" t="s">
        <v>667</v>
      </c>
      <c r="B244" s="191" t="s">
        <v>673</v>
      </c>
      <c r="C244" s="191" t="s">
        <v>248</v>
      </c>
      <c r="D244" s="191" t="s">
        <v>248</v>
      </c>
      <c r="E244" s="191" t="s">
        <v>239</v>
      </c>
      <c r="F244" s="191" t="s">
        <v>228</v>
      </c>
      <c r="G244" s="191" t="s">
        <v>229</v>
      </c>
      <c r="H244" s="191" t="s">
        <v>228</v>
      </c>
      <c r="I244" s="192">
        <v>119000000</v>
      </c>
      <c r="J244" s="192">
        <v>119000000</v>
      </c>
      <c r="K244" s="191" t="s">
        <v>230</v>
      </c>
      <c r="L244" s="191" t="s">
        <v>228</v>
      </c>
      <c r="M244" s="193"/>
      <c r="N244" s="191" t="s">
        <v>284</v>
      </c>
      <c r="O244" s="191" t="s">
        <v>655</v>
      </c>
      <c r="P244" s="191" t="s">
        <v>233</v>
      </c>
      <c r="Q244" s="191" t="s">
        <v>234</v>
      </c>
      <c r="R244" s="191" t="s">
        <v>230</v>
      </c>
      <c r="S244" s="191" t="s">
        <v>230</v>
      </c>
    </row>
    <row r="245" spans="1:19">
      <c r="A245" s="191" t="s">
        <v>667</v>
      </c>
      <c r="B245" s="191" t="s">
        <v>673</v>
      </c>
      <c r="C245" s="191" t="s">
        <v>417</v>
      </c>
      <c r="D245" s="191" t="s">
        <v>417</v>
      </c>
      <c r="E245" s="191" t="s">
        <v>239</v>
      </c>
      <c r="F245" s="191" t="s">
        <v>228</v>
      </c>
      <c r="G245" s="191" t="s">
        <v>229</v>
      </c>
      <c r="H245" s="191" t="s">
        <v>228</v>
      </c>
      <c r="I245" s="192">
        <v>178500000</v>
      </c>
      <c r="J245" s="192">
        <v>178500000</v>
      </c>
      <c r="K245" s="191" t="s">
        <v>230</v>
      </c>
      <c r="L245" s="191" t="s">
        <v>228</v>
      </c>
      <c r="M245" s="193"/>
      <c r="N245" s="191" t="s">
        <v>284</v>
      </c>
      <c r="O245" s="191" t="s">
        <v>655</v>
      </c>
      <c r="P245" s="191" t="s">
        <v>233</v>
      </c>
      <c r="Q245" s="191" t="s">
        <v>234</v>
      </c>
      <c r="R245" s="191" t="s">
        <v>230</v>
      </c>
      <c r="S245" s="191" t="s">
        <v>230</v>
      </c>
    </row>
    <row r="246" spans="1:19">
      <c r="A246" s="191" t="s">
        <v>667</v>
      </c>
      <c r="B246" s="191" t="s">
        <v>674</v>
      </c>
      <c r="C246" s="191" t="s">
        <v>230</v>
      </c>
      <c r="D246" s="191" t="s">
        <v>230</v>
      </c>
      <c r="E246" s="191" t="s">
        <v>239</v>
      </c>
      <c r="F246" s="191" t="s">
        <v>228</v>
      </c>
      <c r="G246" s="191" t="s">
        <v>229</v>
      </c>
      <c r="H246" s="191" t="s">
        <v>228</v>
      </c>
      <c r="I246" s="192">
        <v>50000000</v>
      </c>
      <c r="J246" s="192">
        <v>50000000</v>
      </c>
      <c r="K246" s="191" t="s">
        <v>230</v>
      </c>
      <c r="L246" s="191" t="s">
        <v>228</v>
      </c>
      <c r="M246" s="193"/>
      <c r="N246" s="191" t="s">
        <v>284</v>
      </c>
      <c r="O246" s="191" t="s">
        <v>675</v>
      </c>
      <c r="P246" s="191" t="s">
        <v>233</v>
      </c>
      <c r="Q246" s="191" t="s">
        <v>234</v>
      </c>
      <c r="R246" s="191" t="s">
        <v>230</v>
      </c>
      <c r="S246" s="191" t="s">
        <v>230</v>
      </c>
    </row>
    <row r="247" spans="1:19">
      <c r="A247" s="191" t="s">
        <v>676</v>
      </c>
      <c r="B247" s="191" t="s">
        <v>677</v>
      </c>
      <c r="C247" s="191" t="s">
        <v>226</v>
      </c>
      <c r="D247" s="191" t="s">
        <v>226</v>
      </c>
      <c r="E247" s="191" t="s">
        <v>637</v>
      </c>
      <c r="F247" s="191" t="s">
        <v>228</v>
      </c>
      <c r="G247" s="191" t="s">
        <v>229</v>
      </c>
      <c r="H247" s="191" t="s">
        <v>228</v>
      </c>
      <c r="I247" s="192">
        <v>53550000</v>
      </c>
      <c r="J247" s="192">
        <v>12000000</v>
      </c>
      <c r="K247" s="191" t="s">
        <v>230</v>
      </c>
      <c r="L247" s="191" t="s">
        <v>230</v>
      </c>
      <c r="M247" s="193"/>
      <c r="N247" s="191" t="s">
        <v>284</v>
      </c>
      <c r="O247" s="191" t="s">
        <v>678</v>
      </c>
      <c r="P247" s="191" t="s">
        <v>233</v>
      </c>
      <c r="Q247" s="191" t="s">
        <v>234</v>
      </c>
      <c r="R247" s="191" t="s">
        <v>230</v>
      </c>
      <c r="S247" s="191" t="s">
        <v>230</v>
      </c>
    </row>
    <row r="248" spans="1:19">
      <c r="A248" s="191" t="s">
        <v>679</v>
      </c>
      <c r="B248" s="191" t="s">
        <v>680</v>
      </c>
      <c r="C248" s="191" t="s">
        <v>226</v>
      </c>
      <c r="D248" s="191" t="s">
        <v>226</v>
      </c>
      <c r="E248" s="191" t="s">
        <v>637</v>
      </c>
      <c r="F248" s="191" t="s">
        <v>228</v>
      </c>
      <c r="G248" s="191" t="s">
        <v>229</v>
      </c>
      <c r="H248" s="191" t="s">
        <v>228</v>
      </c>
      <c r="I248" s="192">
        <v>7896334089</v>
      </c>
      <c r="J248" s="192">
        <v>1908653053</v>
      </c>
      <c r="K248" s="191" t="s">
        <v>230</v>
      </c>
      <c r="L248" s="191" t="s">
        <v>230</v>
      </c>
      <c r="M248" s="193"/>
      <c r="N248" s="191" t="s">
        <v>284</v>
      </c>
      <c r="O248" s="191" t="s">
        <v>681</v>
      </c>
      <c r="P248" s="191" t="s">
        <v>233</v>
      </c>
      <c r="Q248" s="191" t="s">
        <v>234</v>
      </c>
      <c r="R248" s="191" t="s">
        <v>230</v>
      </c>
      <c r="S248" s="191" t="s">
        <v>230</v>
      </c>
    </row>
    <row r="249" spans="1:19">
      <c r="A249" s="191" t="s">
        <v>682</v>
      </c>
      <c r="B249" s="191" t="s">
        <v>683</v>
      </c>
      <c r="C249" s="191" t="s">
        <v>226</v>
      </c>
      <c r="D249" s="191" t="s">
        <v>226</v>
      </c>
      <c r="E249" s="191" t="s">
        <v>637</v>
      </c>
      <c r="F249" s="191" t="s">
        <v>228</v>
      </c>
      <c r="G249" s="191" t="s">
        <v>229</v>
      </c>
      <c r="H249" s="191" t="s">
        <v>228</v>
      </c>
      <c r="I249" s="192">
        <v>1773389866</v>
      </c>
      <c r="J249" s="192">
        <v>486756786</v>
      </c>
      <c r="K249" s="191" t="s">
        <v>230</v>
      </c>
      <c r="L249" s="191" t="s">
        <v>230</v>
      </c>
      <c r="M249" s="193"/>
      <c r="N249" s="191" t="s">
        <v>284</v>
      </c>
      <c r="O249" s="191" t="s">
        <v>681</v>
      </c>
      <c r="P249" s="191" t="s">
        <v>233</v>
      </c>
      <c r="Q249" s="191" t="s">
        <v>234</v>
      </c>
      <c r="R249" s="191" t="s">
        <v>230</v>
      </c>
      <c r="S249" s="191" t="s">
        <v>230</v>
      </c>
    </row>
    <row r="250" spans="1:19">
      <c r="A250" s="191" t="s">
        <v>684</v>
      </c>
      <c r="B250" s="191" t="s">
        <v>685</v>
      </c>
      <c r="C250" s="191" t="s">
        <v>226</v>
      </c>
      <c r="D250" s="191" t="s">
        <v>226</v>
      </c>
      <c r="E250" s="191" t="s">
        <v>637</v>
      </c>
      <c r="F250" s="191" t="s">
        <v>228</v>
      </c>
      <c r="G250" s="191" t="s">
        <v>229</v>
      </c>
      <c r="H250" s="191" t="s">
        <v>228</v>
      </c>
      <c r="I250" s="192">
        <v>3178575103</v>
      </c>
      <c r="J250" s="192">
        <v>819292888</v>
      </c>
      <c r="K250" s="191" t="s">
        <v>230</v>
      </c>
      <c r="L250" s="191" t="s">
        <v>230</v>
      </c>
      <c r="M250" s="193"/>
      <c r="N250" s="191" t="s">
        <v>284</v>
      </c>
      <c r="O250" s="191" t="s">
        <v>681</v>
      </c>
      <c r="P250" s="191" t="s">
        <v>233</v>
      </c>
      <c r="Q250" s="191" t="s">
        <v>234</v>
      </c>
      <c r="R250" s="191" t="s">
        <v>230</v>
      </c>
      <c r="S250" s="191" t="s">
        <v>230</v>
      </c>
    </row>
    <row r="251" spans="1:19">
      <c r="A251" s="191" t="s">
        <v>686</v>
      </c>
      <c r="B251" s="191" t="s">
        <v>687</v>
      </c>
      <c r="C251" s="191" t="s">
        <v>242</v>
      </c>
      <c r="D251" s="191" t="s">
        <v>242</v>
      </c>
      <c r="E251" s="191" t="s">
        <v>239</v>
      </c>
      <c r="F251" s="191" t="s">
        <v>228</v>
      </c>
      <c r="G251" s="191" t="s">
        <v>229</v>
      </c>
      <c r="H251" s="191" t="s">
        <v>228</v>
      </c>
      <c r="I251" s="192">
        <v>601855790</v>
      </c>
      <c r="J251" s="192">
        <v>601855790</v>
      </c>
      <c r="K251" s="191" t="s">
        <v>230</v>
      </c>
      <c r="L251" s="191" t="s">
        <v>228</v>
      </c>
      <c r="M251" s="193"/>
      <c r="N251" s="191" t="s">
        <v>284</v>
      </c>
      <c r="O251" s="191" t="s">
        <v>688</v>
      </c>
      <c r="P251" s="191" t="s">
        <v>233</v>
      </c>
      <c r="Q251" s="191" t="s">
        <v>234</v>
      </c>
      <c r="R251" s="191" t="s">
        <v>230</v>
      </c>
      <c r="S251" s="191" t="s">
        <v>230</v>
      </c>
    </row>
    <row r="252" spans="1:19">
      <c r="A252" s="191" t="s">
        <v>689</v>
      </c>
      <c r="B252" s="191" t="s">
        <v>690</v>
      </c>
      <c r="C252" s="191" t="s">
        <v>366</v>
      </c>
      <c r="D252" s="191" t="s">
        <v>366</v>
      </c>
      <c r="E252" s="191" t="s">
        <v>390</v>
      </c>
      <c r="F252" s="191" t="s">
        <v>228</v>
      </c>
      <c r="G252" s="191" t="s">
        <v>229</v>
      </c>
      <c r="H252" s="191" t="s">
        <v>228</v>
      </c>
      <c r="I252" s="192">
        <v>1190000000</v>
      </c>
      <c r="J252" s="192">
        <v>190000000</v>
      </c>
      <c r="K252" s="191" t="s">
        <v>230</v>
      </c>
      <c r="L252" s="191" t="s">
        <v>230</v>
      </c>
      <c r="M252" s="193"/>
      <c r="N252" s="191" t="s">
        <v>284</v>
      </c>
      <c r="O252" s="191" t="s">
        <v>691</v>
      </c>
      <c r="P252" s="191" t="s">
        <v>233</v>
      </c>
      <c r="Q252" s="191" t="s">
        <v>234</v>
      </c>
      <c r="R252" s="191" t="s">
        <v>230</v>
      </c>
      <c r="S252" s="191" t="s">
        <v>230</v>
      </c>
    </row>
    <row r="253" spans="1:19">
      <c r="A253" s="191" t="s">
        <v>692</v>
      </c>
      <c r="B253" s="191" t="s">
        <v>693</v>
      </c>
      <c r="C253" s="191" t="s">
        <v>389</v>
      </c>
      <c r="D253" s="191" t="s">
        <v>389</v>
      </c>
      <c r="E253" s="191" t="s">
        <v>239</v>
      </c>
      <c r="F253" s="191" t="s">
        <v>228</v>
      </c>
      <c r="G253" s="191" t="s">
        <v>229</v>
      </c>
      <c r="H253" s="191" t="s">
        <v>228</v>
      </c>
      <c r="I253" s="192">
        <v>33320000</v>
      </c>
      <c r="J253" s="192">
        <v>33320000</v>
      </c>
      <c r="K253" s="191" t="s">
        <v>230</v>
      </c>
      <c r="L253" s="191" t="s">
        <v>230</v>
      </c>
      <c r="M253" s="193"/>
      <c r="N253" s="191" t="s">
        <v>284</v>
      </c>
      <c r="O253" s="191" t="s">
        <v>694</v>
      </c>
      <c r="P253" s="191" t="s">
        <v>233</v>
      </c>
      <c r="Q253" s="191" t="s">
        <v>234</v>
      </c>
      <c r="R253" s="191" t="s">
        <v>230</v>
      </c>
      <c r="S253" s="191" t="s">
        <v>230</v>
      </c>
    </row>
    <row r="254" spans="1:19">
      <c r="A254" s="191" t="s">
        <v>689</v>
      </c>
      <c r="B254" s="191" t="s">
        <v>695</v>
      </c>
      <c r="C254" s="191" t="s">
        <v>366</v>
      </c>
      <c r="D254" s="191" t="s">
        <v>366</v>
      </c>
      <c r="E254" s="191" t="s">
        <v>239</v>
      </c>
      <c r="F254" s="191" t="s">
        <v>228</v>
      </c>
      <c r="G254" s="191" t="s">
        <v>229</v>
      </c>
      <c r="H254" s="191" t="s">
        <v>228</v>
      </c>
      <c r="I254" s="192">
        <v>36890000</v>
      </c>
      <c r="J254" s="192">
        <v>5890000</v>
      </c>
      <c r="K254" s="191" t="s">
        <v>230</v>
      </c>
      <c r="L254" s="191" t="s">
        <v>230</v>
      </c>
      <c r="M254" s="193"/>
      <c r="N254" s="191" t="s">
        <v>284</v>
      </c>
      <c r="O254" s="191" t="s">
        <v>696</v>
      </c>
      <c r="P254" s="191" t="s">
        <v>233</v>
      </c>
      <c r="Q254" s="191" t="s">
        <v>234</v>
      </c>
      <c r="R254" s="191" t="s">
        <v>230</v>
      </c>
      <c r="S254" s="191" t="s">
        <v>230</v>
      </c>
    </row>
    <row r="255" spans="1:19">
      <c r="A255" s="191" t="s">
        <v>697</v>
      </c>
      <c r="B255" s="191" t="s">
        <v>698</v>
      </c>
      <c r="C255" s="191" t="s">
        <v>248</v>
      </c>
      <c r="D255" s="191" t="s">
        <v>248</v>
      </c>
      <c r="E255" s="191" t="s">
        <v>239</v>
      </c>
      <c r="F255" s="191" t="s">
        <v>228</v>
      </c>
      <c r="G255" s="191" t="s">
        <v>229</v>
      </c>
      <c r="H255" s="191" t="s">
        <v>228</v>
      </c>
      <c r="I255" s="192">
        <v>16422000</v>
      </c>
      <c r="J255" s="192">
        <v>2622000</v>
      </c>
      <c r="K255" s="191" t="s">
        <v>230</v>
      </c>
      <c r="L255" s="191" t="s">
        <v>230</v>
      </c>
      <c r="M255" s="193"/>
      <c r="N255" s="191" t="s">
        <v>284</v>
      </c>
      <c r="O255" s="191" t="s">
        <v>699</v>
      </c>
      <c r="P255" s="191" t="s">
        <v>233</v>
      </c>
      <c r="Q255" s="191" t="s">
        <v>234</v>
      </c>
      <c r="R255" s="191" t="s">
        <v>230</v>
      </c>
      <c r="S255" s="191" t="s">
        <v>230</v>
      </c>
    </row>
    <row r="256" spans="1:19">
      <c r="A256" s="191" t="s">
        <v>697</v>
      </c>
      <c r="B256" s="191" t="s">
        <v>700</v>
      </c>
      <c r="C256" s="191" t="s">
        <v>361</v>
      </c>
      <c r="D256" s="191" t="s">
        <v>361</v>
      </c>
      <c r="E256" s="191" t="s">
        <v>239</v>
      </c>
      <c r="F256" s="191" t="s">
        <v>228</v>
      </c>
      <c r="G256" s="191" t="s">
        <v>229</v>
      </c>
      <c r="H256" s="191" t="s">
        <v>228</v>
      </c>
      <c r="I256" s="192">
        <v>1904000</v>
      </c>
      <c r="J256" s="192">
        <v>1904000</v>
      </c>
      <c r="K256" s="191" t="s">
        <v>230</v>
      </c>
      <c r="L256" s="191" t="s">
        <v>228</v>
      </c>
      <c r="M256" s="193"/>
      <c r="N256" s="191" t="s">
        <v>284</v>
      </c>
      <c r="O256" s="191" t="s">
        <v>699</v>
      </c>
      <c r="P256" s="191" t="s">
        <v>233</v>
      </c>
      <c r="Q256" s="191" t="s">
        <v>234</v>
      </c>
      <c r="R256" s="191" t="s">
        <v>230</v>
      </c>
      <c r="S256" s="191" t="s">
        <v>230</v>
      </c>
    </row>
    <row r="257" spans="1:19">
      <c r="A257" s="191" t="s">
        <v>701</v>
      </c>
      <c r="B257" s="191" t="s">
        <v>702</v>
      </c>
      <c r="C257" s="191" t="s">
        <v>226</v>
      </c>
      <c r="D257" s="191" t="s">
        <v>226</v>
      </c>
      <c r="E257" s="191" t="s">
        <v>239</v>
      </c>
      <c r="F257" s="191" t="s">
        <v>228</v>
      </c>
      <c r="G257" s="191" t="s">
        <v>229</v>
      </c>
      <c r="H257" s="191" t="s">
        <v>228</v>
      </c>
      <c r="I257" s="192">
        <v>5000000</v>
      </c>
      <c r="J257" s="192">
        <v>5000000</v>
      </c>
      <c r="K257" s="191" t="s">
        <v>230</v>
      </c>
      <c r="L257" s="191" t="s">
        <v>228</v>
      </c>
      <c r="M257" s="193"/>
      <c r="N257" s="191" t="s">
        <v>284</v>
      </c>
      <c r="O257" s="191" t="s">
        <v>699</v>
      </c>
      <c r="P257" s="191" t="s">
        <v>233</v>
      </c>
      <c r="Q257" s="191" t="s">
        <v>234</v>
      </c>
      <c r="R257" s="191" t="s">
        <v>230</v>
      </c>
      <c r="S257" s="191" t="s">
        <v>230</v>
      </c>
    </row>
    <row r="258" spans="1:19">
      <c r="A258" s="191" t="s">
        <v>703</v>
      </c>
      <c r="B258" s="191" t="s">
        <v>704</v>
      </c>
      <c r="C258" s="191" t="s">
        <v>256</v>
      </c>
      <c r="D258" s="191" t="s">
        <v>256</v>
      </c>
      <c r="E258" s="191" t="s">
        <v>390</v>
      </c>
      <c r="F258" s="191" t="s">
        <v>228</v>
      </c>
      <c r="G258" s="191" t="s">
        <v>229</v>
      </c>
      <c r="H258" s="191" t="s">
        <v>228</v>
      </c>
      <c r="I258" s="192">
        <v>536840738</v>
      </c>
      <c r="J258" s="192">
        <v>156578547</v>
      </c>
      <c r="K258" s="191" t="s">
        <v>230</v>
      </c>
      <c r="L258" s="191" t="s">
        <v>230</v>
      </c>
      <c r="M258" s="193"/>
      <c r="N258" s="191" t="s">
        <v>284</v>
      </c>
      <c r="O258" s="191" t="s">
        <v>699</v>
      </c>
      <c r="P258" s="191" t="s">
        <v>233</v>
      </c>
      <c r="Q258" s="191" t="s">
        <v>234</v>
      </c>
      <c r="R258" s="191" t="s">
        <v>230</v>
      </c>
      <c r="S258" s="191" t="s">
        <v>230</v>
      </c>
    </row>
    <row r="259" spans="1:19">
      <c r="A259" s="191" t="s">
        <v>705</v>
      </c>
      <c r="B259" s="191" t="s">
        <v>706</v>
      </c>
      <c r="C259" s="191" t="s">
        <v>389</v>
      </c>
      <c r="D259" s="191" t="s">
        <v>389</v>
      </c>
      <c r="E259" s="191" t="s">
        <v>390</v>
      </c>
      <c r="F259" s="191" t="s">
        <v>228</v>
      </c>
      <c r="G259" s="191" t="s">
        <v>229</v>
      </c>
      <c r="H259" s="191" t="s">
        <v>228</v>
      </c>
      <c r="I259" s="192">
        <v>386429149</v>
      </c>
      <c r="J259" s="192">
        <v>211068064</v>
      </c>
      <c r="K259" s="191" t="s">
        <v>230</v>
      </c>
      <c r="L259" s="191" t="s">
        <v>230</v>
      </c>
      <c r="M259" s="193"/>
      <c r="N259" s="191" t="s">
        <v>284</v>
      </c>
      <c r="O259" s="191" t="s">
        <v>707</v>
      </c>
      <c r="P259" s="191" t="s">
        <v>233</v>
      </c>
      <c r="Q259" s="191" t="s">
        <v>234</v>
      </c>
      <c r="R259" s="191" t="s">
        <v>230</v>
      </c>
      <c r="S259" s="191" t="s">
        <v>230</v>
      </c>
    </row>
    <row r="260" spans="1:19">
      <c r="A260" s="191" t="s">
        <v>708</v>
      </c>
      <c r="B260" s="191" t="s">
        <v>709</v>
      </c>
      <c r="C260" s="191" t="s">
        <v>334</v>
      </c>
      <c r="D260" s="191" t="s">
        <v>334</v>
      </c>
      <c r="E260" s="191" t="s">
        <v>710</v>
      </c>
      <c r="F260" s="191" t="s">
        <v>228</v>
      </c>
      <c r="G260" s="191" t="s">
        <v>229</v>
      </c>
      <c r="H260" s="191" t="s">
        <v>228</v>
      </c>
      <c r="I260" s="192">
        <v>350779521</v>
      </c>
      <c r="J260" s="192">
        <v>113323729</v>
      </c>
      <c r="K260" s="191" t="s">
        <v>230</v>
      </c>
      <c r="L260" s="191" t="s">
        <v>230</v>
      </c>
      <c r="M260" s="193"/>
      <c r="N260" s="191" t="s">
        <v>284</v>
      </c>
      <c r="O260" s="191" t="s">
        <v>711</v>
      </c>
      <c r="P260" s="191" t="s">
        <v>233</v>
      </c>
      <c r="Q260" s="191" t="s">
        <v>234</v>
      </c>
      <c r="R260" s="191" t="s">
        <v>230</v>
      </c>
      <c r="S260" s="191" t="s">
        <v>230</v>
      </c>
    </row>
    <row r="261" spans="1:19">
      <c r="A261" s="191" t="s">
        <v>712</v>
      </c>
      <c r="B261" s="191" t="s">
        <v>713</v>
      </c>
      <c r="C261" s="191" t="s">
        <v>334</v>
      </c>
      <c r="D261" s="191" t="s">
        <v>334</v>
      </c>
      <c r="E261" s="191" t="s">
        <v>714</v>
      </c>
      <c r="F261" s="191" t="s">
        <v>228</v>
      </c>
      <c r="G261" s="191" t="s">
        <v>229</v>
      </c>
      <c r="H261" s="191" t="s">
        <v>228</v>
      </c>
      <c r="I261" s="192">
        <v>2090361</v>
      </c>
      <c r="J261" s="192">
        <v>2090361</v>
      </c>
      <c r="K261" s="191" t="s">
        <v>230</v>
      </c>
      <c r="L261" s="191" t="s">
        <v>228</v>
      </c>
      <c r="M261" s="193"/>
      <c r="N261" s="191" t="s">
        <v>284</v>
      </c>
      <c r="O261" s="191" t="s">
        <v>711</v>
      </c>
      <c r="P261" s="191" t="s">
        <v>233</v>
      </c>
      <c r="Q261" s="191" t="s">
        <v>234</v>
      </c>
      <c r="R261" s="191" t="s">
        <v>230</v>
      </c>
      <c r="S261" s="191" t="s">
        <v>230</v>
      </c>
    </row>
    <row r="262" spans="1:19">
      <c r="A262" s="191" t="s">
        <v>712</v>
      </c>
      <c r="B262" s="191" t="s">
        <v>715</v>
      </c>
      <c r="C262" s="191" t="s">
        <v>334</v>
      </c>
      <c r="D262" s="191" t="s">
        <v>334</v>
      </c>
      <c r="E262" s="191" t="s">
        <v>714</v>
      </c>
      <c r="F262" s="191" t="s">
        <v>228</v>
      </c>
      <c r="G262" s="191" t="s">
        <v>229</v>
      </c>
      <c r="H262" s="191" t="s">
        <v>228</v>
      </c>
      <c r="I262" s="192">
        <v>868000</v>
      </c>
      <c r="J262" s="192">
        <v>868000</v>
      </c>
      <c r="K262" s="191" t="s">
        <v>230</v>
      </c>
      <c r="L262" s="191" t="s">
        <v>228</v>
      </c>
      <c r="M262" s="193"/>
      <c r="N262" s="191" t="s">
        <v>284</v>
      </c>
      <c r="O262" s="191" t="s">
        <v>711</v>
      </c>
      <c r="P262" s="191" t="s">
        <v>233</v>
      </c>
      <c r="Q262" s="191" t="s">
        <v>234</v>
      </c>
      <c r="R262" s="191" t="s">
        <v>230</v>
      </c>
      <c r="S262" s="191" t="s">
        <v>230</v>
      </c>
    </row>
    <row r="263" spans="1:19">
      <c r="A263" s="191" t="s">
        <v>716</v>
      </c>
      <c r="B263" s="191" t="s">
        <v>717</v>
      </c>
      <c r="C263" s="191" t="s">
        <v>267</v>
      </c>
      <c r="D263" s="191" t="s">
        <v>267</v>
      </c>
      <c r="E263" s="191" t="s">
        <v>397</v>
      </c>
      <c r="F263" s="191" t="s">
        <v>228</v>
      </c>
      <c r="G263" s="191" t="s">
        <v>229</v>
      </c>
      <c r="H263" s="191" t="s">
        <v>228</v>
      </c>
      <c r="I263" s="192">
        <v>353166391</v>
      </c>
      <c r="J263" s="192">
        <v>145187911</v>
      </c>
      <c r="K263" s="191" t="s">
        <v>230</v>
      </c>
      <c r="L263" s="191" t="s">
        <v>230</v>
      </c>
      <c r="M263" s="193"/>
      <c r="N263" s="191" t="s">
        <v>284</v>
      </c>
      <c r="O263" s="191" t="s">
        <v>718</v>
      </c>
      <c r="P263" s="191" t="s">
        <v>233</v>
      </c>
      <c r="Q263" s="191" t="s">
        <v>234</v>
      </c>
      <c r="R263" s="191" t="s">
        <v>230</v>
      </c>
      <c r="S263" s="191" t="s">
        <v>230</v>
      </c>
    </row>
    <row r="264" spans="1:19">
      <c r="A264" s="191" t="s">
        <v>719</v>
      </c>
      <c r="B264" s="191" t="s">
        <v>720</v>
      </c>
      <c r="C264" s="191" t="s">
        <v>334</v>
      </c>
      <c r="D264" s="191" t="s">
        <v>334</v>
      </c>
      <c r="E264" s="191" t="s">
        <v>343</v>
      </c>
      <c r="F264" s="191" t="s">
        <v>228</v>
      </c>
      <c r="G264" s="191" t="s">
        <v>229</v>
      </c>
      <c r="H264" s="191" t="s">
        <v>228</v>
      </c>
      <c r="I264" s="192">
        <v>9520000</v>
      </c>
      <c r="J264" s="192">
        <v>9520000</v>
      </c>
      <c r="K264" s="191" t="s">
        <v>230</v>
      </c>
      <c r="L264" s="191" t="s">
        <v>228</v>
      </c>
      <c r="M264" s="193"/>
      <c r="N264" s="191" t="s">
        <v>284</v>
      </c>
      <c r="O264" s="191" t="s">
        <v>721</v>
      </c>
      <c r="P264" s="191" t="s">
        <v>233</v>
      </c>
      <c r="Q264" s="191" t="s">
        <v>234</v>
      </c>
      <c r="R264" s="191" t="s">
        <v>230</v>
      </c>
      <c r="S264" s="191" t="s">
        <v>230</v>
      </c>
    </row>
    <row r="265" spans="1:19">
      <c r="A265" s="191" t="s">
        <v>399</v>
      </c>
      <c r="B265" s="191" t="s">
        <v>722</v>
      </c>
      <c r="C265" s="191" t="s">
        <v>417</v>
      </c>
      <c r="D265" s="191" t="s">
        <v>417</v>
      </c>
      <c r="E265" s="191" t="s">
        <v>239</v>
      </c>
      <c r="F265" s="191" t="s">
        <v>228</v>
      </c>
      <c r="G265" s="191" t="s">
        <v>229</v>
      </c>
      <c r="H265" s="191" t="s">
        <v>228</v>
      </c>
      <c r="I265" s="192">
        <v>34763232</v>
      </c>
      <c r="J265" s="192">
        <v>31507232</v>
      </c>
      <c r="K265" s="191" t="s">
        <v>230</v>
      </c>
      <c r="L265" s="191" t="s">
        <v>230</v>
      </c>
      <c r="M265" s="193"/>
      <c r="N265" s="191" t="s">
        <v>284</v>
      </c>
      <c r="O265" s="191" t="s">
        <v>723</v>
      </c>
      <c r="P265" s="191" t="s">
        <v>233</v>
      </c>
      <c r="Q265" s="191" t="s">
        <v>234</v>
      </c>
      <c r="R265" s="191" t="s">
        <v>230</v>
      </c>
      <c r="S265" s="191" t="s">
        <v>230</v>
      </c>
    </row>
    <row r="266" spans="1:19">
      <c r="A266" s="191" t="s">
        <v>656</v>
      </c>
      <c r="B266" s="191" t="s">
        <v>724</v>
      </c>
      <c r="C266" s="191" t="s">
        <v>256</v>
      </c>
      <c r="D266" s="191" t="s">
        <v>256</v>
      </c>
      <c r="E266" s="191" t="s">
        <v>239</v>
      </c>
      <c r="F266" s="191" t="s">
        <v>228</v>
      </c>
      <c r="G266" s="191" t="s">
        <v>229</v>
      </c>
      <c r="H266" s="191" t="s">
        <v>228</v>
      </c>
      <c r="I266" s="192">
        <v>134255205</v>
      </c>
      <c r="J266" s="192">
        <v>77845455</v>
      </c>
      <c r="K266" s="191" t="s">
        <v>230</v>
      </c>
      <c r="L266" s="191" t="s">
        <v>230</v>
      </c>
      <c r="M266" s="193"/>
      <c r="N266" s="191" t="s">
        <v>284</v>
      </c>
      <c r="O266" s="191" t="s">
        <v>725</v>
      </c>
      <c r="P266" s="191" t="s">
        <v>233</v>
      </c>
      <c r="Q266" s="191" t="s">
        <v>234</v>
      </c>
      <c r="R266" s="191" t="s">
        <v>230</v>
      </c>
      <c r="S266" s="191" t="s">
        <v>230</v>
      </c>
    </row>
    <row r="267" spans="1:19">
      <c r="A267" s="191" t="s">
        <v>726</v>
      </c>
      <c r="B267" s="191" t="s">
        <v>727</v>
      </c>
      <c r="C267" s="191" t="s">
        <v>226</v>
      </c>
      <c r="D267" s="191" t="s">
        <v>226</v>
      </c>
      <c r="E267" s="191" t="s">
        <v>239</v>
      </c>
      <c r="F267" s="191" t="s">
        <v>228</v>
      </c>
      <c r="G267" s="191" t="s">
        <v>229</v>
      </c>
      <c r="H267" s="191" t="s">
        <v>228</v>
      </c>
      <c r="I267" s="192">
        <v>175272720</v>
      </c>
      <c r="J267" s="192">
        <v>167272720</v>
      </c>
      <c r="K267" s="191" t="s">
        <v>230</v>
      </c>
      <c r="L267" s="191" t="s">
        <v>230</v>
      </c>
      <c r="M267" s="193"/>
      <c r="N267" s="191" t="s">
        <v>284</v>
      </c>
      <c r="O267" s="191" t="s">
        <v>723</v>
      </c>
      <c r="P267" s="191" t="s">
        <v>233</v>
      </c>
      <c r="Q267" s="191" t="s">
        <v>234</v>
      </c>
      <c r="R267" s="191" t="s">
        <v>230</v>
      </c>
      <c r="S267" s="191" t="s">
        <v>230</v>
      </c>
    </row>
    <row r="268" spans="1:19">
      <c r="A268" s="191" t="s">
        <v>728</v>
      </c>
      <c r="B268" s="191" t="s">
        <v>729</v>
      </c>
      <c r="C268" s="191" t="s">
        <v>226</v>
      </c>
      <c r="D268" s="191" t="s">
        <v>226</v>
      </c>
      <c r="E268" s="191" t="s">
        <v>390</v>
      </c>
      <c r="F268" s="191" t="s">
        <v>228</v>
      </c>
      <c r="G268" s="191" t="s">
        <v>229</v>
      </c>
      <c r="H268" s="191" t="s">
        <v>228</v>
      </c>
      <c r="I268" s="192">
        <v>57483054</v>
      </c>
      <c r="J268" s="192">
        <v>7037664</v>
      </c>
      <c r="K268" s="191" t="s">
        <v>230</v>
      </c>
      <c r="L268" s="191" t="s">
        <v>230</v>
      </c>
      <c r="M268" s="193"/>
      <c r="N268" s="191" t="s">
        <v>284</v>
      </c>
      <c r="O268" s="191" t="s">
        <v>730</v>
      </c>
      <c r="P268" s="191" t="s">
        <v>233</v>
      </c>
      <c r="Q268" s="191" t="s">
        <v>234</v>
      </c>
      <c r="R268" s="191" t="s">
        <v>230</v>
      </c>
      <c r="S268" s="191" t="s">
        <v>230</v>
      </c>
    </row>
    <row r="269" spans="1:19">
      <c r="A269" s="191" t="s">
        <v>656</v>
      </c>
      <c r="B269" s="191" t="s">
        <v>731</v>
      </c>
      <c r="C269" s="191" t="s">
        <v>226</v>
      </c>
      <c r="D269" s="191" t="s">
        <v>226</v>
      </c>
      <c r="E269" s="191" t="s">
        <v>283</v>
      </c>
      <c r="F269" s="191" t="s">
        <v>228</v>
      </c>
      <c r="G269" s="191" t="s">
        <v>229</v>
      </c>
      <c r="H269" s="191" t="s">
        <v>228</v>
      </c>
      <c r="I269" s="192">
        <v>77350000</v>
      </c>
      <c r="J269" s="192">
        <v>77350000</v>
      </c>
      <c r="K269" s="191" t="s">
        <v>230</v>
      </c>
      <c r="L269" s="191" t="s">
        <v>228</v>
      </c>
      <c r="M269" s="193"/>
      <c r="N269" s="191" t="s">
        <v>284</v>
      </c>
      <c r="O269" s="191" t="s">
        <v>725</v>
      </c>
      <c r="P269" s="191" t="s">
        <v>233</v>
      </c>
      <c r="Q269" s="191" t="s">
        <v>234</v>
      </c>
      <c r="R269" s="191" t="s">
        <v>230</v>
      </c>
      <c r="S269" s="191" t="s">
        <v>230</v>
      </c>
    </row>
    <row r="270" spans="1:19">
      <c r="A270" s="191" t="s">
        <v>656</v>
      </c>
      <c r="B270" s="191" t="s">
        <v>732</v>
      </c>
      <c r="C270" s="191" t="s">
        <v>230</v>
      </c>
      <c r="D270" s="191" t="s">
        <v>230</v>
      </c>
      <c r="E270" s="191" t="s">
        <v>385</v>
      </c>
      <c r="F270" s="191" t="s">
        <v>228</v>
      </c>
      <c r="G270" s="191" t="s">
        <v>229</v>
      </c>
      <c r="H270" s="191" t="s">
        <v>228</v>
      </c>
      <c r="I270" s="192">
        <v>142800000</v>
      </c>
      <c r="J270" s="192">
        <v>142800000</v>
      </c>
      <c r="K270" s="191" t="s">
        <v>230</v>
      </c>
      <c r="L270" s="191" t="s">
        <v>228</v>
      </c>
      <c r="M270" s="193"/>
      <c r="N270" s="191" t="s">
        <v>284</v>
      </c>
      <c r="O270" s="191" t="s">
        <v>733</v>
      </c>
      <c r="P270" s="191" t="s">
        <v>233</v>
      </c>
      <c r="Q270" s="191" t="s">
        <v>234</v>
      </c>
      <c r="R270" s="191" t="s">
        <v>230</v>
      </c>
      <c r="S270" s="191" t="s">
        <v>230</v>
      </c>
    </row>
    <row r="271" spans="1:19">
      <c r="A271" s="191" t="s">
        <v>734</v>
      </c>
      <c r="B271" s="191" t="s">
        <v>735</v>
      </c>
      <c r="C271" s="191" t="s">
        <v>366</v>
      </c>
      <c r="D271" s="191" t="s">
        <v>366</v>
      </c>
      <c r="E271" s="191" t="s">
        <v>239</v>
      </c>
      <c r="F271" s="191" t="s">
        <v>228</v>
      </c>
      <c r="G271" s="191" t="s">
        <v>229</v>
      </c>
      <c r="H271" s="191" t="s">
        <v>228</v>
      </c>
      <c r="I271" s="192">
        <v>27648113</v>
      </c>
      <c r="J271" s="192">
        <v>10162781</v>
      </c>
      <c r="K271" s="191" t="s">
        <v>230</v>
      </c>
      <c r="L271" s="191" t="s">
        <v>230</v>
      </c>
      <c r="M271" s="193"/>
      <c r="N271" s="191" t="s">
        <v>284</v>
      </c>
      <c r="O271" s="191" t="s">
        <v>730</v>
      </c>
      <c r="P271" s="191" t="s">
        <v>233</v>
      </c>
      <c r="Q271" s="191" t="s">
        <v>234</v>
      </c>
      <c r="R271" s="191" t="s">
        <v>230</v>
      </c>
      <c r="S271" s="191" t="s">
        <v>230</v>
      </c>
    </row>
    <row r="272" spans="1:19">
      <c r="A272" s="191" t="s">
        <v>656</v>
      </c>
      <c r="B272" s="191" t="s">
        <v>736</v>
      </c>
      <c r="C272" s="191" t="s">
        <v>230</v>
      </c>
      <c r="D272" s="191" t="s">
        <v>230</v>
      </c>
      <c r="E272" s="191" t="s">
        <v>239</v>
      </c>
      <c r="F272" s="191" t="s">
        <v>228</v>
      </c>
      <c r="G272" s="191" t="s">
        <v>229</v>
      </c>
      <c r="H272" s="191" t="s">
        <v>228</v>
      </c>
      <c r="I272" s="192">
        <v>39429598</v>
      </c>
      <c r="J272" s="192">
        <v>39429598</v>
      </c>
      <c r="K272" s="191" t="s">
        <v>230</v>
      </c>
      <c r="L272" s="191" t="s">
        <v>228</v>
      </c>
      <c r="M272" s="193"/>
      <c r="N272" s="191" t="s">
        <v>284</v>
      </c>
      <c r="O272" s="191" t="s">
        <v>737</v>
      </c>
      <c r="P272" s="191" t="s">
        <v>233</v>
      </c>
      <c r="Q272" s="191" t="s">
        <v>234</v>
      </c>
      <c r="R272" s="191" t="s">
        <v>230</v>
      </c>
      <c r="S272" s="191" t="s">
        <v>230</v>
      </c>
    </row>
    <row r="273" spans="1:19">
      <c r="A273" s="191" t="s">
        <v>656</v>
      </c>
      <c r="B273" s="191" t="s">
        <v>738</v>
      </c>
      <c r="C273" s="191" t="s">
        <v>226</v>
      </c>
      <c r="D273" s="191" t="s">
        <v>226</v>
      </c>
      <c r="E273" s="191" t="s">
        <v>239</v>
      </c>
      <c r="F273" s="191" t="s">
        <v>228</v>
      </c>
      <c r="G273" s="191" t="s">
        <v>229</v>
      </c>
      <c r="H273" s="191" t="s">
        <v>228</v>
      </c>
      <c r="I273" s="192">
        <v>219345727</v>
      </c>
      <c r="J273" s="192">
        <v>219345727</v>
      </c>
      <c r="K273" s="191" t="s">
        <v>230</v>
      </c>
      <c r="L273" s="191" t="s">
        <v>228</v>
      </c>
      <c r="M273" s="193"/>
      <c r="N273" s="191" t="s">
        <v>284</v>
      </c>
      <c r="O273" s="191" t="s">
        <v>737</v>
      </c>
      <c r="P273" s="191" t="s">
        <v>233</v>
      </c>
      <c r="Q273" s="191" t="s">
        <v>234</v>
      </c>
      <c r="R273" s="191" t="s">
        <v>230</v>
      </c>
      <c r="S273" s="191" t="s">
        <v>230</v>
      </c>
    </row>
    <row r="274" spans="1:19">
      <c r="A274" s="191" t="s">
        <v>716</v>
      </c>
      <c r="B274" s="191" t="s">
        <v>739</v>
      </c>
      <c r="C274" s="191" t="s">
        <v>248</v>
      </c>
      <c r="D274" s="191" t="s">
        <v>248</v>
      </c>
      <c r="E274" s="191" t="s">
        <v>283</v>
      </c>
      <c r="F274" s="191" t="s">
        <v>228</v>
      </c>
      <c r="G274" s="191" t="s">
        <v>229</v>
      </c>
      <c r="H274" s="191" t="s">
        <v>228</v>
      </c>
      <c r="I274" s="192">
        <v>53550000</v>
      </c>
      <c r="J274" s="192">
        <v>53550000</v>
      </c>
      <c r="K274" s="191" t="s">
        <v>230</v>
      </c>
      <c r="L274" s="191" t="s">
        <v>228</v>
      </c>
      <c r="M274" s="193"/>
      <c r="N274" s="191" t="s">
        <v>284</v>
      </c>
      <c r="O274" s="191" t="s">
        <v>740</v>
      </c>
      <c r="P274" s="191" t="s">
        <v>233</v>
      </c>
      <c r="Q274" s="191" t="s">
        <v>234</v>
      </c>
      <c r="R274" s="191" t="s">
        <v>230</v>
      </c>
      <c r="S274" s="191" t="s">
        <v>230</v>
      </c>
    </row>
    <row r="275" spans="1:19">
      <c r="A275" s="191" t="s">
        <v>537</v>
      </c>
      <c r="B275" s="191" t="s">
        <v>741</v>
      </c>
      <c r="C275" s="191" t="s">
        <v>242</v>
      </c>
      <c r="D275" s="191" t="s">
        <v>242</v>
      </c>
      <c r="E275" s="191" t="s">
        <v>343</v>
      </c>
      <c r="F275" s="191" t="s">
        <v>228</v>
      </c>
      <c r="G275" s="191" t="s">
        <v>229</v>
      </c>
      <c r="H275" s="191" t="s">
        <v>228</v>
      </c>
      <c r="I275" s="192">
        <v>20865114</v>
      </c>
      <c r="J275" s="192">
        <v>20865114</v>
      </c>
      <c r="K275" s="191" t="s">
        <v>230</v>
      </c>
      <c r="L275" s="191" t="s">
        <v>228</v>
      </c>
      <c r="M275" s="193"/>
      <c r="N275" s="191" t="s">
        <v>284</v>
      </c>
      <c r="O275" s="191" t="s">
        <v>742</v>
      </c>
      <c r="P275" s="191" t="s">
        <v>233</v>
      </c>
      <c r="Q275" s="191" t="s">
        <v>234</v>
      </c>
      <c r="R275" s="191" t="s">
        <v>230</v>
      </c>
      <c r="S275" s="191" t="s">
        <v>230</v>
      </c>
    </row>
    <row r="276" spans="1:19">
      <c r="A276" s="191" t="s">
        <v>743</v>
      </c>
      <c r="B276" s="191" t="s">
        <v>744</v>
      </c>
      <c r="C276" s="191" t="s">
        <v>242</v>
      </c>
      <c r="D276" s="191" t="s">
        <v>242</v>
      </c>
      <c r="E276" s="191" t="s">
        <v>239</v>
      </c>
      <c r="F276" s="191" t="s">
        <v>228</v>
      </c>
      <c r="G276" s="191" t="s">
        <v>229</v>
      </c>
      <c r="H276" s="191" t="s">
        <v>228</v>
      </c>
      <c r="I276" s="192">
        <v>39735677</v>
      </c>
      <c r="J276" s="192">
        <v>18644677</v>
      </c>
      <c r="K276" s="191" t="s">
        <v>230</v>
      </c>
      <c r="L276" s="191" t="s">
        <v>230</v>
      </c>
      <c r="M276" s="193"/>
      <c r="N276" s="191" t="s">
        <v>284</v>
      </c>
      <c r="O276" s="191" t="s">
        <v>745</v>
      </c>
      <c r="P276" s="191" t="s">
        <v>233</v>
      </c>
      <c r="Q276" s="191" t="s">
        <v>234</v>
      </c>
      <c r="R276" s="191" t="s">
        <v>230</v>
      </c>
      <c r="S276" s="191" t="s">
        <v>230</v>
      </c>
    </row>
    <row r="277" spans="1:19">
      <c r="A277" s="191" t="s">
        <v>734</v>
      </c>
      <c r="B277" s="191" t="s">
        <v>746</v>
      </c>
      <c r="C277" s="191" t="s">
        <v>242</v>
      </c>
      <c r="D277" s="191" t="s">
        <v>242</v>
      </c>
      <c r="E277" s="191" t="s">
        <v>239</v>
      </c>
      <c r="F277" s="191" t="s">
        <v>228</v>
      </c>
      <c r="G277" s="191" t="s">
        <v>229</v>
      </c>
      <c r="H277" s="191" t="s">
        <v>228</v>
      </c>
      <c r="I277" s="192">
        <v>37150973</v>
      </c>
      <c r="J277" s="192">
        <v>31748510</v>
      </c>
      <c r="K277" s="191" t="s">
        <v>230</v>
      </c>
      <c r="L277" s="191" t="s">
        <v>230</v>
      </c>
      <c r="M277" s="193"/>
      <c r="N277" s="191" t="s">
        <v>284</v>
      </c>
      <c r="O277" s="191" t="s">
        <v>747</v>
      </c>
      <c r="P277" s="191" t="s">
        <v>233</v>
      </c>
      <c r="Q277" s="191" t="s">
        <v>234</v>
      </c>
      <c r="R277" s="191" t="s">
        <v>230</v>
      </c>
      <c r="S277" s="191" t="s">
        <v>230</v>
      </c>
    </row>
    <row r="278" spans="1:19">
      <c r="A278" s="191" t="s">
        <v>743</v>
      </c>
      <c r="B278" s="191" t="s">
        <v>748</v>
      </c>
      <c r="C278" s="191" t="s">
        <v>361</v>
      </c>
      <c r="D278" s="191" t="s">
        <v>361</v>
      </c>
      <c r="E278" s="191" t="s">
        <v>283</v>
      </c>
      <c r="F278" s="191" t="s">
        <v>228</v>
      </c>
      <c r="G278" s="191" t="s">
        <v>229</v>
      </c>
      <c r="H278" s="191" t="s">
        <v>228</v>
      </c>
      <c r="I278" s="192">
        <v>41650000</v>
      </c>
      <c r="J278" s="192">
        <v>41650000</v>
      </c>
      <c r="K278" s="191" t="s">
        <v>230</v>
      </c>
      <c r="L278" s="191" t="s">
        <v>228</v>
      </c>
      <c r="M278" s="193"/>
      <c r="N278" s="191" t="s">
        <v>284</v>
      </c>
      <c r="O278" s="191" t="s">
        <v>749</v>
      </c>
      <c r="P278" s="191" t="s">
        <v>233</v>
      </c>
      <c r="Q278" s="191" t="s">
        <v>234</v>
      </c>
      <c r="R278" s="191" t="s">
        <v>230</v>
      </c>
      <c r="S278" s="191" t="s">
        <v>230</v>
      </c>
    </row>
    <row r="279" spans="1:19">
      <c r="A279" s="191" t="s">
        <v>750</v>
      </c>
      <c r="B279" s="191" t="s">
        <v>751</v>
      </c>
      <c r="C279" s="191" t="s">
        <v>226</v>
      </c>
      <c r="D279" s="191" t="s">
        <v>226</v>
      </c>
      <c r="E279" s="191" t="s">
        <v>397</v>
      </c>
      <c r="F279" s="191" t="s">
        <v>228</v>
      </c>
      <c r="G279" s="191" t="s">
        <v>229</v>
      </c>
      <c r="H279" s="191" t="s">
        <v>228</v>
      </c>
      <c r="I279" s="192">
        <v>8698287484</v>
      </c>
      <c r="J279" s="192">
        <v>3676231453</v>
      </c>
      <c r="K279" s="191" t="s">
        <v>230</v>
      </c>
      <c r="L279" s="191" t="s">
        <v>230</v>
      </c>
      <c r="M279" s="193"/>
      <c r="N279" s="191" t="s">
        <v>284</v>
      </c>
      <c r="O279" s="191" t="s">
        <v>752</v>
      </c>
      <c r="P279" s="191" t="s">
        <v>233</v>
      </c>
      <c r="Q279" s="191" t="s">
        <v>234</v>
      </c>
      <c r="R279" s="191" t="s">
        <v>230</v>
      </c>
      <c r="S279" s="191" t="s">
        <v>230</v>
      </c>
    </row>
    <row r="280" spans="1:19">
      <c r="A280" s="191" t="s">
        <v>656</v>
      </c>
      <c r="B280" s="191" t="s">
        <v>753</v>
      </c>
      <c r="C280" s="191" t="s">
        <v>361</v>
      </c>
      <c r="D280" s="191" t="s">
        <v>361</v>
      </c>
      <c r="E280" s="191" t="s">
        <v>385</v>
      </c>
      <c r="F280" s="191" t="s">
        <v>228</v>
      </c>
      <c r="G280" s="191" t="s">
        <v>229</v>
      </c>
      <c r="H280" s="191" t="s">
        <v>228</v>
      </c>
      <c r="I280" s="192">
        <v>129115000</v>
      </c>
      <c r="J280" s="192">
        <v>129115000</v>
      </c>
      <c r="K280" s="191" t="s">
        <v>230</v>
      </c>
      <c r="L280" s="191" t="s">
        <v>228</v>
      </c>
      <c r="M280" s="193"/>
      <c r="N280" s="191" t="s">
        <v>284</v>
      </c>
      <c r="O280" s="191" t="s">
        <v>749</v>
      </c>
      <c r="P280" s="191" t="s">
        <v>233</v>
      </c>
      <c r="Q280" s="191" t="s">
        <v>234</v>
      </c>
      <c r="R280" s="191" t="s">
        <v>230</v>
      </c>
      <c r="S280" s="191" t="s">
        <v>230</v>
      </c>
    </row>
    <row r="281" spans="1:19">
      <c r="A281" s="191" t="s">
        <v>754</v>
      </c>
      <c r="B281" s="191" t="s">
        <v>755</v>
      </c>
      <c r="C281" s="191" t="s">
        <v>242</v>
      </c>
      <c r="D281" s="191" t="s">
        <v>242</v>
      </c>
      <c r="E281" s="191" t="s">
        <v>283</v>
      </c>
      <c r="F281" s="191" t="s">
        <v>228</v>
      </c>
      <c r="G281" s="191" t="s">
        <v>229</v>
      </c>
      <c r="H281" s="191" t="s">
        <v>228</v>
      </c>
      <c r="I281" s="192">
        <v>297500000</v>
      </c>
      <c r="J281" s="192">
        <v>297500000</v>
      </c>
      <c r="K281" s="191" t="s">
        <v>230</v>
      </c>
      <c r="L281" s="191" t="s">
        <v>228</v>
      </c>
      <c r="M281" s="193"/>
      <c r="N281" s="191" t="s">
        <v>284</v>
      </c>
      <c r="O281" s="191" t="s">
        <v>749</v>
      </c>
      <c r="P281" s="191" t="s">
        <v>233</v>
      </c>
      <c r="Q281" s="191" t="s">
        <v>234</v>
      </c>
      <c r="R281" s="191" t="s">
        <v>230</v>
      </c>
      <c r="S281" s="191" t="s">
        <v>230</v>
      </c>
    </row>
    <row r="282" spans="1:19">
      <c r="A282" s="191" t="s">
        <v>631</v>
      </c>
      <c r="B282" s="191" t="s">
        <v>756</v>
      </c>
      <c r="C282" s="191" t="s">
        <v>248</v>
      </c>
      <c r="D282" s="191" t="s">
        <v>248</v>
      </c>
      <c r="E282" s="191" t="s">
        <v>323</v>
      </c>
      <c r="F282" s="191" t="s">
        <v>228</v>
      </c>
      <c r="G282" s="191" t="s">
        <v>229</v>
      </c>
      <c r="H282" s="191" t="s">
        <v>228</v>
      </c>
      <c r="I282" s="192">
        <v>1428000000</v>
      </c>
      <c r="J282" s="192">
        <v>1428000000</v>
      </c>
      <c r="K282" s="191" t="s">
        <v>230</v>
      </c>
      <c r="L282" s="191" t="s">
        <v>228</v>
      </c>
      <c r="M282" s="193"/>
      <c r="N282" s="191" t="s">
        <v>284</v>
      </c>
      <c r="O282" s="191" t="s">
        <v>749</v>
      </c>
      <c r="P282" s="191" t="s">
        <v>233</v>
      </c>
      <c r="Q282" s="191" t="s">
        <v>234</v>
      </c>
      <c r="R282" s="191" t="s">
        <v>230</v>
      </c>
      <c r="S282" s="191" t="s">
        <v>230</v>
      </c>
    </row>
    <row r="283" spans="1:19">
      <c r="A283" s="191" t="s">
        <v>631</v>
      </c>
      <c r="B283" s="191" t="s">
        <v>757</v>
      </c>
      <c r="C283" s="191" t="s">
        <v>366</v>
      </c>
      <c r="D283" s="191" t="s">
        <v>366</v>
      </c>
      <c r="E283" s="191" t="s">
        <v>385</v>
      </c>
      <c r="F283" s="191" t="s">
        <v>228</v>
      </c>
      <c r="G283" s="191" t="s">
        <v>229</v>
      </c>
      <c r="H283" s="191" t="s">
        <v>228</v>
      </c>
      <c r="I283" s="192">
        <v>357000000</v>
      </c>
      <c r="J283" s="192">
        <v>357000000</v>
      </c>
      <c r="K283" s="191" t="s">
        <v>230</v>
      </c>
      <c r="L283" s="191" t="s">
        <v>228</v>
      </c>
      <c r="M283" s="193"/>
      <c r="N283" s="191" t="s">
        <v>284</v>
      </c>
      <c r="O283" s="191" t="s">
        <v>749</v>
      </c>
      <c r="P283" s="191" t="s">
        <v>233</v>
      </c>
      <c r="Q283" s="191" t="s">
        <v>234</v>
      </c>
      <c r="R283" s="191" t="s">
        <v>230</v>
      </c>
      <c r="S283" s="191" t="s">
        <v>230</v>
      </c>
    </row>
    <row r="284" spans="1:19">
      <c r="A284" s="191" t="s">
        <v>758</v>
      </c>
      <c r="B284" s="191" t="s">
        <v>759</v>
      </c>
      <c r="C284" s="191" t="s">
        <v>248</v>
      </c>
      <c r="D284" s="191" t="s">
        <v>248</v>
      </c>
      <c r="E284" s="191" t="s">
        <v>283</v>
      </c>
      <c r="F284" s="191" t="s">
        <v>228</v>
      </c>
      <c r="G284" s="191" t="s">
        <v>229</v>
      </c>
      <c r="H284" s="191" t="s">
        <v>228</v>
      </c>
      <c r="I284" s="192">
        <v>52937150</v>
      </c>
      <c r="J284" s="192">
        <v>52937150</v>
      </c>
      <c r="K284" s="191" t="s">
        <v>230</v>
      </c>
      <c r="L284" s="191" t="s">
        <v>228</v>
      </c>
      <c r="M284" s="193"/>
      <c r="N284" s="191" t="s">
        <v>284</v>
      </c>
      <c r="O284" s="191" t="s">
        <v>749</v>
      </c>
      <c r="P284" s="191" t="s">
        <v>233</v>
      </c>
      <c r="Q284" s="191" t="s">
        <v>234</v>
      </c>
      <c r="R284" s="191" t="s">
        <v>230</v>
      </c>
      <c r="S284" s="191" t="s">
        <v>230</v>
      </c>
    </row>
    <row r="285" spans="1:19">
      <c r="A285" s="191" t="s">
        <v>760</v>
      </c>
      <c r="B285" s="191" t="s">
        <v>761</v>
      </c>
      <c r="C285" s="191" t="s">
        <v>366</v>
      </c>
      <c r="D285" s="191" t="s">
        <v>366</v>
      </c>
      <c r="E285" s="191" t="s">
        <v>239</v>
      </c>
      <c r="F285" s="191" t="s">
        <v>228</v>
      </c>
      <c r="G285" s="191" t="s">
        <v>229</v>
      </c>
      <c r="H285" s="191" t="s">
        <v>228</v>
      </c>
      <c r="I285" s="192">
        <v>18082859</v>
      </c>
      <c r="J285" s="192">
        <v>18082859</v>
      </c>
      <c r="K285" s="191" t="s">
        <v>230</v>
      </c>
      <c r="L285" s="191" t="s">
        <v>228</v>
      </c>
      <c r="M285" s="193"/>
      <c r="N285" s="191" t="s">
        <v>284</v>
      </c>
      <c r="O285" s="191" t="s">
        <v>762</v>
      </c>
      <c r="P285" s="191" t="s">
        <v>233</v>
      </c>
      <c r="Q285" s="191" t="s">
        <v>234</v>
      </c>
      <c r="R285" s="191" t="s">
        <v>230</v>
      </c>
      <c r="S285" s="191" t="s">
        <v>230</v>
      </c>
    </row>
    <row r="286" spans="1:19">
      <c r="A286" s="191" t="s">
        <v>763</v>
      </c>
      <c r="B286" s="191" t="s">
        <v>764</v>
      </c>
      <c r="C286" s="191" t="s">
        <v>417</v>
      </c>
      <c r="D286" s="191" t="s">
        <v>417</v>
      </c>
      <c r="E286" s="191" t="s">
        <v>239</v>
      </c>
      <c r="F286" s="191" t="s">
        <v>228</v>
      </c>
      <c r="G286" s="191" t="s">
        <v>229</v>
      </c>
      <c r="H286" s="191" t="s">
        <v>228</v>
      </c>
      <c r="I286" s="192">
        <v>9996000</v>
      </c>
      <c r="J286" s="192">
        <v>9996000</v>
      </c>
      <c r="K286" s="191" t="s">
        <v>230</v>
      </c>
      <c r="L286" s="191" t="s">
        <v>228</v>
      </c>
      <c r="M286" s="193"/>
      <c r="N286" s="191" t="s">
        <v>284</v>
      </c>
      <c r="O286" s="191" t="s">
        <v>752</v>
      </c>
      <c r="P286" s="191" t="s">
        <v>233</v>
      </c>
      <c r="Q286" s="191" t="s">
        <v>234</v>
      </c>
      <c r="R286" s="191" t="s">
        <v>230</v>
      </c>
      <c r="S286" s="191" t="s">
        <v>230</v>
      </c>
    </row>
    <row r="287" spans="1:19">
      <c r="A287" s="191" t="s">
        <v>656</v>
      </c>
      <c r="B287" s="191" t="s">
        <v>765</v>
      </c>
      <c r="C287" s="191" t="s">
        <v>361</v>
      </c>
      <c r="D287" s="191" t="s">
        <v>361</v>
      </c>
      <c r="E287" s="191" t="s">
        <v>343</v>
      </c>
      <c r="F287" s="191" t="s">
        <v>228</v>
      </c>
      <c r="G287" s="191" t="s">
        <v>229</v>
      </c>
      <c r="H287" s="191" t="s">
        <v>228</v>
      </c>
      <c r="I287" s="192">
        <v>95200000</v>
      </c>
      <c r="J287" s="192">
        <v>95200000</v>
      </c>
      <c r="K287" s="191" t="s">
        <v>230</v>
      </c>
      <c r="L287" s="191" t="s">
        <v>228</v>
      </c>
      <c r="M287" s="193"/>
      <c r="N287" s="191" t="s">
        <v>284</v>
      </c>
      <c r="O287" s="191" t="s">
        <v>749</v>
      </c>
      <c r="P287" s="191" t="s">
        <v>233</v>
      </c>
      <c r="Q287" s="191" t="s">
        <v>234</v>
      </c>
      <c r="R287" s="191" t="s">
        <v>230</v>
      </c>
      <c r="S287" s="191" t="s">
        <v>230</v>
      </c>
    </row>
    <row r="288" spans="1:19">
      <c r="A288" s="191" t="s">
        <v>656</v>
      </c>
      <c r="B288" s="191" t="s">
        <v>766</v>
      </c>
      <c r="C288" s="191" t="s">
        <v>417</v>
      </c>
      <c r="D288" s="191" t="s">
        <v>417</v>
      </c>
      <c r="E288" s="191" t="s">
        <v>343</v>
      </c>
      <c r="F288" s="191" t="s">
        <v>228</v>
      </c>
      <c r="G288" s="191" t="s">
        <v>229</v>
      </c>
      <c r="H288" s="191" t="s">
        <v>228</v>
      </c>
      <c r="I288" s="192">
        <v>38734500</v>
      </c>
      <c r="J288" s="192">
        <v>38734500</v>
      </c>
      <c r="K288" s="191" t="s">
        <v>230</v>
      </c>
      <c r="L288" s="191" t="s">
        <v>228</v>
      </c>
      <c r="M288" s="193"/>
      <c r="N288" s="191" t="s">
        <v>284</v>
      </c>
      <c r="O288" s="191" t="s">
        <v>749</v>
      </c>
      <c r="P288" s="191" t="s">
        <v>233</v>
      </c>
      <c r="Q288" s="191" t="s">
        <v>234</v>
      </c>
      <c r="R288" s="191" t="s">
        <v>230</v>
      </c>
      <c r="S288" s="191" t="s">
        <v>230</v>
      </c>
    </row>
    <row r="289" spans="1:19">
      <c r="A289" s="191" t="s">
        <v>767</v>
      </c>
      <c r="B289" s="191" t="s">
        <v>768</v>
      </c>
      <c r="C289" s="191" t="s">
        <v>361</v>
      </c>
      <c r="D289" s="191" t="s">
        <v>361</v>
      </c>
      <c r="E289" s="191" t="s">
        <v>283</v>
      </c>
      <c r="F289" s="191" t="s">
        <v>228</v>
      </c>
      <c r="G289" s="191" t="s">
        <v>229</v>
      </c>
      <c r="H289" s="191" t="s">
        <v>228</v>
      </c>
      <c r="I289" s="192">
        <v>178500000</v>
      </c>
      <c r="J289" s="192">
        <v>178500000</v>
      </c>
      <c r="K289" s="191" t="s">
        <v>230</v>
      </c>
      <c r="L289" s="191" t="s">
        <v>228</v>
      </c>
      <c r="M289" s="193"/>
      <c r="N289" s="191" t="s">
        <v>284</v>
      </c>
      <c r="O289" s="191" t="s">
        <v>749</v>
      </c>
      <c r="P289" s="191" t="s">
        <v>233</v>
      </c>
      <c r="Q289" s="191" t="s">
        <v>234</v>
      </c>
      <c r="R289" s="191" t="s">
        <v>230</v>
      </c>
      <c r="S289" s="191" t="s">
        <v>230</v>
      </c>
    </row>
    <row r="290" spans="1:19">
      <c r="A290" s="191" t="s">
        <v>656</v>
      </c>
      <c r="B290" s="191" t="s">
        <v>769</v>
      </c>
      <c r="C290" s="191" t="s">
        <v>361</v>
      </c>
      <c r="D290" s="191" t="s">
        <v>361</v>
      </c>
      <c r="E290" s="191" t="s">
        <v>535</v>
      </c>
      <c r="F290" s="191" t="s">
        <v>228</v>
      </c>
      <c r="G290" s="191" t="s">
        <v>229</v>
      </c>
      <c r="H290" s="191" t="s">
        <v>228</v>
      </c>
      <c r="I290" s="192">
        <v>595000000</v>
      </c>
      <c r="J290" s="192">
        <v>595000000</v>
      </c>
      <c r="K290" s="191" t="s">
        <v>230</v>
      </c>
      <c r="L290" s="191" t="s">
        <v>228</v>
      </c>
      <c r="M290" s="193"/>
      <c r="N290" s="191" t="s">
        <v>284</v>
      </c>
      <c r="O290" s="191" t="s">
        <v>749</v>
      </c>
      <c r="P290" s="191" t="s">
        <v>233</v>
      </c>
      <c r="Q290" s="191" t="s">
        <v>234</v>
      </c>
      <c r="R290" s="191" t="s">
        <v>230</v>
      </c>
      <c r="S290" s="191" t="s">
        <v>230</v>
      </c>
    </row>
    <row r="291" spans="1:19">
      <c r="A291" s="191" t="s">
        <v>770</v>
      </c>
      <c r="B291" s="191" t="s">
        <v>771</v>
      </c>
      <c r="C291" s="191" t="s">
        <v>361</v>
      </c>
      <c r="D291" s="191" t="s">
        <v>361</v>
      </c>
      <c r="E291" s="191" t="s">
        <v>239</v>
      </c>
      <c r="F291" s="191" t="s">
        <v>228</v>
      </c>
      <c r="G291" s="191" t="s">
        <v>229</v>
      </c>
      <c r="H291" s="191" t="s">
        <v>228</v>
      </c>
      <c r="I291" s="192">
        <v>943127223</v>
      </c>
      <c r="J291" s="192">
        <v>699900</v>
      </c>
      <c r="K291" s="191" t="s">
        <v>230</v>
      </c>
      <c r="L291" s="191" t="s">
        <v>230</v>
      </c>
      <c r="M291" s="193"/>
      <c r="N291" s="191" t="s">
        <v>284</v>
      </c>
      <c r="O291" s="191" t="s">
        <v>772</v>
      </c>
      <c r="P291" s="191" t="s">
        <v>233</v>
      </c>
      <c r="Q291" s="191" t="s">
        <v>234</v>
      </c>
      <c r="R291" s="191" t="s">
        <v>230</v>
      </c>
      <c r="S291" s="191" t="s">
        <v>230</v>
      </c>
    </row>
    <row r="292" spans="1:19">
      <c r="A292" s="191" t="s">
        <v>773</v>
      </c>
      <c r="B292" s="191" t="s">
        <v>774</v>
      </c>
      <c r="C292" s="191" t="s">
        <v>361</v>
      </c>
      <c r="D292" s="191" t="s">
        <v>361</v>
      </c>
      <c r="E292" s="191" t="s">
        <v>239</v>
      </c>
      <c r="F292" s="191" t="s">
        <v>228</v>
      </c>
      <c r="G292" s="191" t="s">
        <v>229</v>
      </c>
      <c r="H292" s="191" t="s">
        <v>228</v>
      </c>
      <c r="I292" s="192">
        <v>14418232</v>
      </c>
      <c r="J292" s="192">
        <v>14418232</v>
      </c>
      <c r="K292" s="191" t="s">
        <v>230</v>
      </c>
      <c r="L292" s="191" t="s">
        <v>228</v>
      </c>
      <c r="M292" s="193"/>
      <c r="N292" s="191" t="s">
        <v>284</v>
      </c>
      <c r="O292" s="191" t="s">
        <v>775</v>
      </c>
      <c r="P292" s="191" t="s">
        <v>233</v>
      </c>
      <c r="Q292" s="191" t="s">
        <v>234</v>
      </c>
      <c r="R292" s="191" t="s">
        <v>230</v>
      </c>
      <c r="S292" s="191" t="s">
        <v>230</v>
      </c>
    </row>
    <row r="293" spans="1:19">
      <c r="A293" s="191" t="s">
        <v>773</v>
      </c>
      <c r="B293" s="191" t="s">
        <v>776</v>
      </c>
      <c r="C293" s="191" t="s">
        <v>334</v>
      </c>
      <c r="D293" s="191" t="s">
        <v>334</v>
      </c>
      <c r="E293" s="191" t="s">
        <v>239</v>
      </c>
      <c r="F293" s="191" t="s">
        <v>228</v>
      </c>
      <c r="G293" s="191" t="s">
        <v>229</v>
      </c>
      <c r="H293" s="191" t="s">
        <v>228</v>
      </c>
      <c r="I293" s="192">
        <v>38080000</v>
      </c>
      <c r="J293" s="192">
        <v>38080000</v>
      </c>
      <c r="K293" s="191" t="s">
        <v>230</v>
      </c>
      <c r="L293" s="191" t="s">
        <v>228</v>
      </c>
      <c r="M293" s="193"/>
      <c r="N293" s="191" t="s">
        <v>284</v>
      </c>
      <c r="O293" s="191" t="s">
        <v>777</v>
      </c>
      <c r="P293" s="191" t="s">
        <v>233</v>
      </c>
      <c r="Q293" s="191" t="s">
        <v>234</v>
      </c>
      <c r="R293" s="191" t="s">
        <v>230</v>
      </c>
      <c r="S293" s="191" t="s">
        <v>230</v>
      </c>
    </row>
    <row r="294" spans="1:19">
      <c r="A294" s="191" t="s">
        <v>770</v>
      </c>
      <c r="B294" s="191" t="s">
        <v>778</v>
      </c>
      <c r="C294" s="191" t="s">
        <v>334</v>
      </c>
      <c r="D294" s="191" t="s">
        <v>334</v>
      </c>
      <c r="E294" s="191" t="s">
        <v>239</v>
      </c>
      <c r="F294" s="191" t="s">
        <v>228</v>
      </c>
      <c r="G294" s="191" t="s">
        <v>229</v>
      </c>
      <c r="H294" s="191" t="s">
        <v>228</v>
      </c>
      <c r="I294" s="192">
        <v>15528697</v>
      </c>
      <c r="J294" s="192">
        <v>15528697</v>
      </c>
      <c r="K294" s="191" t="s">
        <v>230</v>
      </c>
      <c r="L294" s="191" t="s">
        <v>228</v>
      </c>
      <c r="M294" s="193"/>
      <c r="N294" s="191" t="s">
        <v>284</v>
      </c>
      <c r="O294" s="191" t="s">
        <v>779</v>
      </c>
      <c r="P294" s="191" t="s">
        <v>233</v>
      </c>
      <c r="Q294" s="191" t="s">
        <v>234</v>
      </c>
      <c r="R294" s="191" t="s">
        <v>230</v>
      </c>
      <c r="S294" s="191" t="s">
        <v>230</v>
      </c>
    </row>
    <row r="295" spans="1:19">
      <c r="A295" s="191" t="s">
        <v>780</v>
      </c>
      <c r="B295" s="191" t="s">
        <v>781</v>
      </c>
      <c r="C295" s="191" t="s">
        <v>417</v>
      </c>
      <c r="D295" s="191" t="s">
        <v>417</v>
      </c>
      <c r="E295" s="191" t="s">
        <v>239</v>
      </c>
      <c r="F295" s="191" t="s">
        <v>228</v>
      </c>
      <c r="G295" s="191" t="s">
        <v>229</v>
      </c>
      <c r="H295" s="191" t="s">
        <v>228</v>
      </c>
      <c r="I295" s="192">
        <v>3568572</v>
      </c>
      <c r="J295" s="192">
        <v>3568572</v>
      </c>
      <c r="K295" s="191" t="s">
        <v>230</v>
      </c>
      <c r="L295" s="191" t="s">
        <v>228</v>
      </c>
      <c r="M295" s="193"/>
      <c r="N295" s="191" t="s">
        <v>284</v>
      </c>
      <c r="O295" s="191" t="s">
        <v>779</v>
      </c>
      <c r="P295" s="191" t="s">
        <v>233</v>
      </c>
      <c r="Q295" s="191" t="s">
        <v>234</v>
      </c>
      <c r="R295" s="191" t="s">
        <v>230</v>
      </c>
      <c r="S295" s="191" t="s">
        <v>230</v>
      </c>
    </row>
    <row r="296" spans="1:19">
      <c r="A296" s="191" t="s">
        <v>734</v>
      </c>
      <c r="B296" s="191" t="s">
        <v>782</v>
      </c>
      <c r="C296" s="191" t="s">
        <v>226</v>
      </c>
      <c r="D296" s="191" t="s">
        <v>226</v>
      </c>
      <c r="E296" s="191" t="s">
        <v>783</v>
      </c>
      <c r="F296" s="191" t="s">
        <v>228</v>
      </c>
      <c r="G296" s="191" t="s">
        <v>229</v>
      </c>
      <c r="H296" s="191" t="s">
        <v>228</v>
      </c>
      <c r="I296" s="192">
        <v>22151009847</v>
      </c>
      <c r="J296" s="192">
        <v>8649128379</v>
      </c>
      <c r="K296" s="191" t="s">
        <v>230</v>
      </c>
      <c r="L296" s="191" t="s">
        <v>230</v>
      </c>
      <c r="M296" s="193"/>
      <c r="N296" s="191" t="s">
        <v>284</v>
      </c>
      <c r="O296" s="191" t="s">
        <v>784</v>
      </c>
      <c r="P296" s="191" t="s">
        <v>233</v>
      </c>
      <c r="Q296" s="191" t="s">
        <v>234</v>
      </c>
      <c r="R296" s="191" t="s">
        <v>230</v>
      </c>
      <c r="S296" s="191" t="s">
        <v>230</v>
      </c>
    </row>
    <row r="297" spans="1:19">
      <c r="A297" s="191" t="s">
        <v>770</v>
      </c>
      <c r="B297" s="191" t="s">
        <v>785</v>
      </c>
      <c r="C297" s="191" t="s">
        <v>256</v>
      </c>
      <c r="D297" s="191" t="s">
        <v>256</v>
      </c>
      <c r="E297" s="191" t="s">
        <v>397</v>
      </c>
      <c r="F297" s="191" t="s">
        <v>228</v>
      </c>
      <c r="G297" s="191" t="s">
        <v>229</v>
      </c>
      <c r="H297" s="191" t="s">
        <v>228</v>
      </c>
      <c r="I297" s="192">
        <v>11250493240</v>
      </c>
      <c r="J297" s="192">
        <v>2026297240</v>
      </c>
      <c r="K297" s="191" t="s">
        <v>230</v>
      </c>
      <c r="L297" s="191" t="s">
        <v>230</v>
      </c>
      <c r="M297" s="193"/>
      <c r="N297" s="191" t="s">
        <v>284</v>
      </c>
      <c r="O297" s="191" t="s">
        <v>775</v>
      </c>
      <c r="P297" s="191" t="s">
        <v>233</v>
      </c>
      <c r="Q297" s="191" t="s">
        <v>234</v>
      </c>
      <c r="R297" s="191" t="s">
        <v>230</v>
      </c>
      <c r="S297" s="191" t="s">
        <v>230</v>
      </c>
    </row>
    <row r="298" spans="1:19">
      <c r="A298" s="191" t="s">
        <v>734</v>
      </c>
      <c r="B298" s="191" t="s">
        <v>786</v>
      </c>
      <c r="C298" s="191" t="s">
        <v>366</v>
      </c>
      <c r="D298" s="191" t="s">
        <v>366</v>
      </c>
      <c r="E298" s="191" t="s">
        <v>239</v>
      </c>
      <c r="F298" s="191" t="s">
        <v>228</v>
      </c>
      <c r="G298" s="191" t="s">
        <v>229</v>
      </c>
      <c r="H298" s="191" t="s">
        <v>228</v>
      </c>
      <c r="I298" s="192">
        <v>1262780400</v>
      </c>
      <c r="J298" s="192">
        <v>1262780400</v>
      </c>
      <c r="K298" s="191" t="s">
        <v>230</v>
      </c>
      <c r="L298" s="191" t="s">
        <v>228</v>
      </c>
      <c r="M298" s="193"/>
      <c r="N298" s="191" t="s">
        <v>284</v>
      </c>
      <c r="O298" s="191" t="s">
        <v>787</v>
      </c>
      <c r="P298" s="191" t="s">
        <v>233</v>
      </c>
      <c r="Q298" s="191" t="s">
        <v>234</v>
      </c>
      <c r="R298" s="191" t="s">
        <v>230</v>
      </c>
      <c r="S298" s="191" t="s">
        <v>230</v>
      </c>
    </row>
    <row r="299" spans="1:19">
      <c r="A299" s="191" t="s">
        <v>788</v>
      </c>
      <c r="B299" s="191" t="s">
        <v>789</v>
      </c>
      <c r="C299" s="191" t="s">
        <v>256</v>
      </c>
      <c r="D299" s="191" t="s">
        <v>256</v>
      </c>
      <c r="E299" s="191" t="s">
        <v>783</v>
      </c>
      <c r="F299" s="191" t="s">
        <v>228</v>
      </c>
      <c r="G299" s="191" t="s">
        <v>229</v>
      </c>
      <c r="H299" s="191" t="s">
        <v>228</v>
      </c>
      <c r="I299" s="192">
        <v>7181326320</v>
      </c>
      <c r="J299" s="192">
        <v>1566598320</v>
      </c>
      <c r="K299" s="191" t="s">
        <v>230</v>
      </c>
      <c r="L299" s="191" t="s">
        <v>230</v>
      </c>
      <c r="M299" s="193"/>
      <c r="N299" s="191" t="s">
        <v>284</v>
      </c>
      <c r="O299" s="191" t="s">
        <v>790</v>
      </c>
      <c r="P299" s="191" t="s">
        <v>233</v>
      </c>
      <c r="Q299" s="191" t="s">
        <v>234</v>
      </c>
      <c r="R299" s="191" t="s">
        <v>230</v>
      </c>
      <c r="S299" s="191" t="s">
        <v>230</v>
      </c>
    </row>
    <row r="300" spans="1:19">
      <c r="A300" s="191" t="s">
        <v>321</v>
      </c>
      <c r="B300" s="191" t="s">
        <v>791</v>
      </c>
      <c r="C300" s="191" t="s">
        <v>417</v>
      </c>
      <c r="D300" s="191" t="s">
        <v>417</v>
      </c>
      <c r="E300" s="191" t="s">
        <v>239</v>
      </c>
      <c r="F300" s="191" t="s">
        <v>228</v>
      </c>
      <c r="G300" s="191" t="s">
        <v>229</v>
      </c>
      <c r="H300" s="191" t="s">
        <v>228</v>
      </c>
      <c r="I300" s="192">
        <v>800000000</v>
      </c>
      <c r="J300" s="192">
        <v>800000000</v>
      </c>
      <c r="K300" s="191" t="s">
        <v>230</v>
      </c>
      <c r="L300" s="191" t="s">
        <v>228</v>
      </c>
      <c r="M300" s="193"/>
      <c r="N300" s="191" t="s">
        <v>284</v>
      </c>
      <c r="O300" s="191" t="s">
        <v>792</v>
      </c>
      <c r="P300" s="191" t="s">
        <v>233</v>
      </c>
      <c r="Q300" s="191" t="s">
        <v>234</v>
      </c>
      <c r="R300" s="191" t="s">
        <v>230</v>
      </c>
      <c r="S300" s="191" t="s">
        <v>230</v>
      </c>
    </row>
    <row r="301" spans="1:19">
      <c r="A301" s="191" t="s">
        <v>656</v>
      </c>
      <c r="B301" s="191" t="s">
        <v>793</v>
      </c>
      <c r="C301" s="191" t="s">
        <v>417</v>
      </c>
      <c r="D301" s="191" t="s">
        <v>417</v>
      </c>
      <c r="E301" s="191" t="s">
        <v>239</v>
      </c>
      <c r="F301" s="191" t="s">
        <v>228</v>
      </c>
      <c r="G301" s="191" t="s">
        <v>229</v>
      </c>
      <c r="H301" s="191" t="s">
        <v>228</v>
      </c>
      <c r="I301" s="192">
        <v>761600000</v>
      </c>
      <c r="J301" s="192">
        <v>761600000</v>
      </c>
      <c r="K301" s="191" t="s">
        <v>230</v>
      </c>
      <c r="L301" s="191" t="s">
        <v>228</v>
      </c>
      <c r="M301" s="193"/>
      <c r="N301" s="191" t="s">
        <v>284</v>
      </c>
      <c r="O301" s="191" t="s">
        <v>792</v>
      </c>
      <c r="P301" s="191" t="s">
        <v>233</v>
      </c>
      <c r="Q301" s="191" t="s">
        <v>234</v>
      </c>
      <c r="R301" s="191" t="s">
        <v>230</v>
      </c>
      <c r="S301" s="191" t="s">
        <v>230</v>
      </c>
    </row>
    <row r="302" spans="1:19">
      <c r="A302" s="191" t="s">
        <v>321</v>
      </c>
      <c r="B302" s="191" t="s">
        <v>794</v>
      </c>
      <c r="C302" s="191" t="s">
        <v>267</v>
      </c>
      <c r="D302" s="191" t="s">
        <v>267</v>
      </c>
      <c r="E302" s="191" t="s">
        <v>239</v>
      </c>
      <c r="F302" s="191" t="s">
        <v>228</v>
      </c>
      <c r="G302" s="191" t="s">
        <v>229</v>
      </c>
      <c r="H302" s="191" t="s">
        <v>228</v>
      </c>
      <c r="I302" s="192">
        <v>154700000</v>
      </c>
      <c r="J302" s="192">
        <v>154700000</v>
      </c>
      <c r="K302" s="191" t="s">
        <v>230</v>
      </c>
      <c r="L302" s="191" t="s">
        <v>228</v>
      </c>
      <c r="M302" s="193"/>
      <c r="N302" s="191" t="s">
        <v>284</v>
      </c>
      <c r="O302" s="191" t="s">
        <v>792</v>
      </c>
      <c r="P302" s="191" t="s">
        <v>233</v>
      </c>
      <c r="Q302" s="191" t="s">
        <v>234</v>
      </c>
      <c r="R302" s="191" t="s">
        <v>230</v>
      </c>
      <c r="S302" s="191" t="s">
        <v>230</v>
      </c>
    </row>
    <row r="303" spans="1:19">
      <c r="A303" s="191" t="s">
        <v>321</v>
      </c>
      <c r="B303" s="191" t="s">
        <v>795</v>
      </c>
      <c r="C303" s="191" t="s">
        <v>256</v>
      </c>
      <c r="D303" s="191" t="s">
        <v>256</v>
      </c>
      <c r="E303" s="191" t="s">
        <v>390</v>
      </c>
      <c r="F303" s="191" t="s">
        <v>228</v>
      </c>
      <c r="G303" s="191" t="s">
        <v>229</v>
      </c>
      <c r="H303" s="191" t="s">
        <v>228</v>
      </c>
      <c r="I303" s="192">
        <v>3125215791</v>
      </c>
      <c r="J303" s="192">
        <v>734986168</v>
      </c>
      <c r="K303" s="191" t="s">
        <v>230</v>
      </c>
      <c r="L303" s="191" t="s">
        <v>230</v>
      </c>
      <c r="M303" s="193"/>
      <c r="N303" s="191" t="s">
        <v>284</v>
      </c>
      <c r="O303" s="191" t="s">
        <v>796</v>
      </c>
      <c r="P303" s="191" t="s">
        <v>233</v>
      </c>
      <c r="Q303" s="191" t="s">
        <v>234</v>
      </c>
      <c r="R303" s="191" t="s">
        <v>230</v>
      </c>
      <c r="S303" s="191" t="s">
        <v>230</v>
      </c>
    </row>
    <row r="304" spans="1:19">
      <c r="A304" s="191" t="s">
        <v>797</v>
      </c>
      <c r="B304" s="191" t="s">
        <v>798</v>
      </c>
      <c r="C304" s="191" t="s">
        <v>256</v>
      </c>
      <c r="D304" s="191" t="s">
        <v>256</v>
      </c>
      <c r="E304" s="191" t="s">
        <v>783</v>
      </c>
      <c r="F304" s="191" t="s">
        <v>228</v>
      </c>
      <c r="G304" s="191" t="s">
        <v>229</v>
      </c>
      <c r="H304" s="191" t="s">
        <v>228</v>
      </c>
      <c r="I304" s="192">
        <v>3946896116</v>
      </c>
      <c r="J304" s="192">
        <v>787721100</v>
      </c>
      <c r="K304" s="191" t="s">
        <v>230</v>
      </c>
      <c r="L304" s="191" t="s">
        <v>230</v>
      </c>
      <c r="M304" s="193"/>
      <c r="N304" s="191" t="s">
        <v>284</v>
      </c>
      <c r="O304" s="191" t="s">
        <v>799</v>
      </c>
      <c r="P304" s="191" t="s">
        <v>233</v>
      </c>
      <c r="Q304" s="191" t="s">
        <v>234</v>
      </c>
      <c r="R304" s="191" t="s">
        <v>230</v>
      </c>
      <c r="S304" s="191" t="s">
        <v>230</v>
      </c>
    </row>
    <row r="305" spans="1:19">
      <c r="A305" s="191" t="s">
        <v>773</v>
      </c>
      <c r="B305" s="191" t="s">
        <v>800</v>
      </c>
      <c r="C305" s="191" t="s">
        <v>242</v>
      </c>
      <c r="D305" s="191" t="s">
        <v>242</v>
      </c>
      <c r="E305" s="191" t="s">
        <v>783</v>
      </c>
      <c r="F305" s="191" t="s">
        <v>228</v>
      </c>
      <c r="G305" s="191" t="s">
        <v>229</v>
      </c>
      <c r="H305" s="191" t="s">
        <v>228</v>
      </c>
      <c r="I305" s="192">
        <v>172930000</v>
      </c>
      <c r="J305" s="192">
        <v>172930000</v>
      </c>
      <c r="K305" s="191" t="s">
        <v>230</v>
      </c>
      <c r="L305" s="191" t="s">
        <v>228</v>
      </c>
      <c r="M305" s="193"/>
      <c r="N305" s="191" t="s">
        <v>284</v>
      </c>
      <c r="O305" s="191" t="s">
        <v>801</v>
      </c>
      <c r="P305" s="191" t="s">
        <v>233</v>
      </c>
      <c r="Q305" s="191" t="s">
        <v>234</v>
      </c>
      <c r="R305" s="191" t="s">
        <v>230</v>
      </c>
      <c r="S305" s="191" t="s">
        <v>230</v>
      </c>
    </row>
    <row r="306" spans="1:19">
      <c r="A306" s="191" t="s">
        <v>321</v>
      </c>
      <c r="B306" s="191" t="s">
        <v>802</v>
      </c>
      <c r="C306" s="191" t="s">
        <v>256</v>
      </c>
      <c r="D306" s="191" t="s">
        <v>256</v>
      </c>
      <c r="E306" s="191" t="s">
        <v>783</v>
      </c>
      <c r="F306" s="191" t="s">
        <v>228</v>
      </c>
      <c r="G306" s="191" t="s">
        <v>229</v>
      </c>
      <c r="H306" s="191" t="s">
        <v>228</v>
      </c>
      <c r="I306" s="192">
        <v>748174935</v>
      </c>
      <c r="J306" s="192">
        <v>252949993</v>
      </c>
      <c r="K306" s="191" t="s">
        <v>230</v>
      </c>
      <c r="L306" s="191" t="s">
        <v>230</v>
      </c>
      <c r="M306" s="193"/>
      <c r="N306" s="191" t="s">
        <v>284</v>
      </c>
      <c r="O306" s="191" t="s">
        <v>803</v>
      </c>
      <c r="P306" s="191" t="s">
        <v>233</v>
      </c>
      <c r="Q306" s="191" t="s">
        <v>234</v>
      </c>
      <c r="R306" s="191" t="s">
        <v>230</v>
      </c>
      <c r="S306" s="191" t="s">
        <v>230</v>
      </c>
    </row>
    <row r="307" spans="1:19">
      <c r="A307" s="191" t="s">
        <v>773</v>
      </c>
      <c r="B307" s="191" t="s">
        <v>804</v>
      </c>
      <c r="C307" s="191" t="s">
        <v>417</v>
      </c>
      <c r="D307" s="191" t="s">
        <v>417</v>
      </c>
      <c r="E307" s="191" t="s">
        <v>239</v>
      </c>
      <c r="F307" s="191" t="s">
        <v>228</v>
      </c>
      <c r="G307" s="191" t="s">
        <v>229</v>
      </c>
      <c r="H307" s="191" t="s">
        <v>228</v>
      </c>
      <c r="I307" s="192">
        <v>354482681</v>
      </c>
      <c r="J307" s="192">
        <v>56598075</v>
      </c>
      <c r="K307" s="191" t="s">
        <v>230</v>
      </c>
      <c r="L307" s="191" t="s">
        <v>230</v>
      </c>
      <c r="M307" s="193"/>
      <c r="N307" s="191" t="s">
        <v>284</v>
      </c>
      <c r="O307" s="191" t="s">
        <v>805</v>
      </c>
      <c r="P307" s="191" t="s">
        <v>233</v>
      </c>
      <c r="Q307" s="191" t="s">
        <v>234</v>
      </c>
      <c r="R307" s="191" t="s">
        <v>230</v>
      </c>
      <c r="S307" s="191" t="s">
        <v>230</v>
      </c>
    </row>
    <row r="308" spans="1:19">
      <c r="A308" s="191" t="s">
        <v>770</v>
      </c>
      <c r="B308" s="191" t="s">
        <v>806</v>
      </c>
      <c r="C308" s="191" t="s">
        <v>256</v>
      </c>
      <c r="D308" s="191" t="s">
        <v>256</v>
      </c>
      <c r="E308" s="191" t="s">
        <v>390</v>
      </c>
      <c r="F308" s="191" t="s">
        <v>228</v>
      </c>
      <c r="G308" s="191" t="s">
        <v>229</v>
      </c>
      <c r="H308" s="191" t="s">
        <v>228</v>
      </c>
      <c r="I308" s="192">
        <v>375650727</v>
      </c>
      <c r="J308" s="192">
        <v>209585847</v>
      </c>
      <c r="K308" s="191" t="s">
        <v>230</v>
      </c>
      <c r="L308" s="191" t="s">
        <v>230</v>
      </c>
      <c r="M308" s="193"/>
      <c r="N308" s="191" t="s">
        <v>284</v>
      </c>
      <c r="O308" s="191" t="s">
        <v>807</v>
      </c>
      <c r="P308" s="191" t="s">
        <v>233</v>
      </c>
      <c r="Q308" s="191" t="s">
        <v>234</v>
      </c>
      <c r="R308" s="191" t="s">
        <v>230</v>
      </c>
      <c r="S308" s="191" t="s">
        <v>230</v>
      </c>
    </row>
    <row r="309" spans="1:19">
      <c r="A309" s="191" t="s">
        <v>770</v>
      </c>
      <c r="B309" s="191" t="s">
        <v>808</v>
      </c>
      <c r="C309" s="191" t="s">
        <v>242</v>
      </c>
      <c r="D309" s="191" t="s">
        <v>242</v>
      </c>
      <c r="E309" s="191" t="s">
        <v>239</v>
      </c>
      <c r="F309" s="191" t="s">
        <v>228</v>
      </c>
      <c r="G309" s="191" t="s">
        <v>229</v>
      </c>
      <c r="H309" s="191" t="s">
        <v>228</v>
      </c>
      <c r="I309" s="192">
        <v>116620000</v>
      </c>
      <c r="J309" s="192">
        <v>116620000</v>
      </c>
      <c r="K309" s="191" t="s">
        <v>230</v>
      </c>
      <c r="L309" s="191" t="s">
        <v>230</v>
      </c>
      <c r="M309" s="193"/>
      <c r="N309" s="191" t="s">
        <v>284</v>
      </c>
      <c r="O309" s="191" t="s">
        <v>792</v>
      </c>
      <c r="P309" s="191" t="s">
        <v>233</v>
      </c>
      <c r="Q309" s="191" t="s">
        <v>234</v>
      </c>
      <c r="R309" s="191" t="s">
        <v>230</v>
      </c>
      <c r="S309" s="191" t="s">
        <v>230</v>
      </c>
    </row>
    <row r="310" spans="1:19">
      <c r="A310" s="191" t="s">
        <v>773</v>
      </c>
      <c r="B310" s="191" t="s">
        <v>809</v>
      </c>
      <c r="C310" s="191" t="s">
        <v>242</v>
      </c>
      <c r="D310" s="191" t="s">
        <v>242</v>
      </c>
      <c r="E310" s="191" t="s">
        <v>239</v>
      </c>
      <c r="F310" s="191" t="s">
        <v>228</v>
      </c>
      <c r="G310" s="191" t="s">
        <v>229</v>
      </c>
      <c r="H310" s="191" t="s">
        <v>228</v>
      </c>
      <c r="I310" s="192">
        <v>63000000</v>
      </c>
      <c r="J310" s="192">
        <v>63000000</v>
      </c>
      <c r="K310" s="191" t="s">
        <v>230</v>
      </c>
      <c r="L310" s="191" t="s">
        <v>230</v>
      </c>
      <c r="M310" s="193"/>
      <c r="N310" s="191" t="s">
        <v>284</v>
      </c>
      <c r="O310" s="191" t="s">
        <v>805</v>
      </c>
      <c r="P310" s="191" t="s">
        <v>233</v>
      </c>
      <c r="Q310" s="191" t="s">
        <v>234</v>
      </c>
      <c r="R310" s="191" t="s">
        <v>230</v>
      </c>
      <c r="S310" s="191" t="s">
        <v>230</v>
      </c>
    </row>
    <row r="311" spans="1:19">
      <c r="A311" s="191" t="s">
        <v>770</v>
      </c>
      <c r="B311" s="191" t="s">
        <v>810</v>
      </c>
      <c r="C311" s="191" t="s">
        <v>226</v>
      </c>
      <c r="D311" s="191" t="s">
        <v>226</v>
      </c>
      <c r="E311" s="191" t="s">
        <v>239</v>
      </c>
      <c r="F311" s="191" t="s">
        <v>228</v>
      </c>
      <c r="G311" s="191" t="s">
        <v>229</v>
      </c>
      <c r="H311" s="191" t="s">
        <v>228</v>
      </c>
      <c r="I311" s="192">
        <v>59500000</v>
      </c>
      <c r="J311" s="192">
        <v>59500000</v>
      </c>
      <c r="K311" s="191" t="s">
        <v>230</v>
      </c>
      <c r="L311" s="191" t="s">
        <v>230</v>
      </c>
      <c r="M311" s="193"/>
      <c r="N311" s="191" t="s">
        <v>284</v>
      </c>
      <c r="O311" s="191" t="s">
        <v>805</v>
      </c>
      <c r="P311" s="191" t="s">
        <v>233</v>
      </c>
      <c r="Q311" s="191" t="s">
        <v>234</v>
      </c>
      <c r="R311" s="191" t="s">
        <v>230</v>
      </c>
      <c r="S311" s="191" t="s">
        <v>230</v>
      </c>
    </row>
    <row r="312" spans="1:19">
      <c r="A312" s="191" t="s">
        <v>770</v>
      </c>
      <c r="B312" s="191" t="s">
        <v>811</v>
      </c>
      <c r="C312" s="191" t="s">
        <v>417</v>
      </c>
      <c r="D312" s="191" t="s">
        <v>417</v>
      </c>
      <c r="E312" s="191" t="s">
        <v>239</v>
      </c>
      <c r="F312" s="191" t="s">
        <v>228</v>
      </c>
      <c r="G312" s="191" t="s">
        <v>229</v>
      </c>
      <c r="H312" s="191" t="s">
        <v>228</v>
      </c>
      <c r="I312" s="192">
        <v>23193896</v>
      </c>
      <c r="J312" s="192">
        <v>23193896</v>
      </c>
      <c r="K312" s="191" t="s">
        <v>230</v>
      </c>
      <c r="L312" s="191" t="s">
        <v>230</v>
      </c>
      <c r="M312" s="193"/>
      <c r="N312" s="191" t="s">
        <v>284</v>
      </c>
      <c r="O312" s="191" t="s">
        <v>812</v>
      </c>
      <c r="P312" s="191" t="s">
        <v>233</v>
      </c>
      <c r="Q312" s="191" t="s">
        <v>234</v>
      </c>
      <c r="R312" s="191" t="s">
        <v>230</v>
      </c>
      <c r="S312" s="191" t="s">
        <v>230</v>
      </c>
    </row>
    <row r="313" spans="1:19">
      <c r="A313" s="191" t="s">
        <v>770</v>
      </c>
      <c r="B313" s="191" t="s">
        <v>813</v>
      </c>
      <c r="C313" s="191" t="s">
        <v>417</v>
      </c>
      <c r="D313" s="191" t="s">
        <v>417</v>
      </c>
      <c r="E313" s="191" t="s">
        <v>239</v>
      </c>
      <c r="F313" s="191" t="s">
        <v>228</v>
      </c>
      <c r="G313" s="191" t="s">
        <v>229</v>
      </c>
      <c r="H313" s="191" t="s">
        <v>228</v>
      </c>
      <c r="I313" s="192">
        <v>11061726</v>
      </c>
      <c r="J313" s="192">
        <v>8273056</v>
      </c>
      <c r="K313" s="191" t="s">
        <v>230</v>
      </c>
      <c r="L313" s="191" t="s">
        <v>230</v>
      </c>
      <c r="M313" s="193"/>
      <c r="N313" s="191" t="s">
        <v>284</v>
      </c>
      <c r="O313" s="191" t="s">
        <v>814</v>
      </c>
      <c r="P313" s="191" t="s">
        <v>233</v>
      </c>
      <c r="Q313" s="191" t="s">
        <v>234</v>
      </c>
      <c r="R313" s="191" t="s">
        <v>230</v>
      </c>
      <c r="S313" s="191" t="s">
        <v>230</v>
      </c>
    </row>
    <row r="314" spans="1:19">
      <c r="A314" s="191" t="s">
        <v>612</v>
      </c>
      <c r="B314" s="191" t="s">
        <v>815</v>
      </c>
      <c r="C314" s="191" t="s">
        <v>417</v>
      </c>
      <c r="D314" s="191" t="s">
        <v>417</v>
      </c>
      <c r="E314" s="191" t="s">
        <v>239</v>
      </c>
      <c r="F314" s="191" t="s">
        <v>228</v>
      </c>
      <c r="G314" s="191" t="s">
        <v>229</v>
      </c>
      <c r="H314" s="191" t="s">
        <v>228</v>
      </c>
      <c r="I314" s="192">
        <v>71400000</v>
      </c>
      <c r="J314" s="192">
        <v>21400000</v>
      </c>
      <c r="K314" s="191" t="s">
        <v>230</v>
      </c>
      <c r="L314" s="191" t="s">
        <v>230</v>
      </c>
      <c r="M314" s="193"/>
      <c r="N314" s="191" t="s">
        <v>284</v>
      </c>
      <c r="O314" s="191" t="s">
        <v>614</v>
      </c>
      <c r="P314" s="191" t="s">
        <v>233</v>
      </c>
      <c r="Q314" s="191" t="s">
        <v>234</v>
      </c>
      <c r="R314" s="191" t="s">
        <v>230</v>
      </c>
      <c r="S314" s="191" t="s">
        <v>230</v>
      </c>
    </row>
    <row r="315" spans="1:19">
      <c r="A315" s="191" t="s">
        <v>816</v>
      </c>
      <c r="B315" s="191" t="s">
        <v>817</v>
      </c>
      <c r="C315" s="191" t="s">
        <v>226</v>
      </c>
      <c r="D315" s="191" t="s">
        <v>226</v>
      </c>
      <c r="E315" s="191" t="s">
        <v>576</v>
      </c>
      <c r="F315" s="191" t="s">
        <v>228</v>
      </c>
      <c r="G315" s="191" t="s">
        <v>229</v>
      </c>
      <c r="H315" s="191" t="s">
        <v>228</v>
      </c>
      <c r="I315" s="192">
        <v>89370596</v>
      </c>
      <c r="J315" s="192">
        <v>89370596</v>
      </c>
      <c r="K315" s="191" t="s">
        <v>230</v>
      </c>
      <c r="L315" s="191" t="s">
        <v>228</v>
      </c>
      <c r="M315" s="193"/>
      <c r="N315" s="191" t="s">
        <v>284</v>
      </c>
      <c r="O315" s="191" t="s">
        <v>818</v>
      </c>
      <c r="P315" s="191" t="s">
        <v>233</v>
      </c>
      <c r="Q315" s="191" t="s">
        <v>234</v>
      </c>
      <c r="R315" s="191" t="s">
        <v>230</v>
      </c>
      <c r="S315" s="191" t="s">
        <v>230</v>
      </c>
    </row>
    <row r="316" spans="1:19">
      <c r="A316" s="191" t="s">
        <v>819</v>
      </c>
      <c r="B316" s="191" t="s">
        <v>820</v>
      </c>
      <c r="C316" s="191" t="s">
        <v>226</v>
      </c>
      <c r="D316" s="191" t="s">
        <v>226</v>
      </c>
      <c r="E316" s="191" t="s">
        <v>390</v>
      </c>
      <c r="F316" s="191" t="s">
        <v>228</v>
      </c>
      <c r="G316" s="191" t="s">
        <v>229</v>
      </c>
      <c r="H316" s="191" t="s">
        <v>228</v>
      </c>
      <c r="I316" s="192">
        <v>1029161523</v>
      </c>
      <c r="J316" s="192">
        <v>121077827</v>
      </c>
      <c r="K316" s="191" t="s">
        <v>230</v>
      </c>
      <c r="L316" s="191" t="s">
        <v>230</v>
      </c>
      <c r="M316" s="193"/>
      <c r="N316" s="191" t="s">
        <v>284</v>
      </c>
      <c r="O316" s="191" t="s">
        <v>818</v>
      </c>
      <c r="P316" s="191" t="s">
        <v>233</v>
      </c>
      <c r="Q316" s="191" t="s">
        <v>234</v>
      </c>
      <c r="R316" s="191" t="s">
        <v>230</v>
      </c>
      <c r="S316" s="191" t="s">
        <v>230</v>
      </c>
    </row>
  </sheetData>
  <mergeCells count="5">
    <mergeCell ref="A1:C6"/>
    <mergeCell ref="D1:Q3"/>
    <mergeCell ref="D4:E6"/>
    <mergeCell ref="F4:G6"/>
    <mergeCell ref="H4:Q6"/>
  </mergeCells>
  <pageMargins left="0.7" right="0.7" top="0.75" bottom="0.75" header="0.3" footer="0.3"/>
  <headerFooter>
    <oddFooter>&amp;C_x000D_&amp;1#&amp;"Calibri"&amp;10&amp;K008000 DOCUMENTO PÚBLICO</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8991-7053-443F-94A9-40E339ACADE8}">
  <dimension ref="A1:BG43"/>
  <sheetViews>
    <sheetView showGridLines="0" view="pageBreakPreview" zoomScale="59" zoomScaleNormal="10" zoomScaleSheetLayoutView="59" zoomScalePageLayoutView="48" workbookViewId="0">
      <selection activeCell="C6" sqref="C6:D10"/>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4" width="18.140625" style="1" customWidth="1"/>
    <col min="15" max="17" width="13.85546875" style="1" customWidth="1"/>
    <col min="18" max="30" width="9.5703125" style="1" customWidth="1"/>
    <col min="31" max="31" width="35.85546875" style="1" customWidth="1"/>
    <col min="32" max="34" width="42.5703125" style="1" customWidth="1"/>
    <col min="35" max="16384" width="12.5703125" style="1"/>
  </cols>
  <sheetData>
    <row r="1" spans="1:59" s="55" customFormat="1" ht="15" customHeight="1">
      <c r="A1" s="290"/>
      <c r="B1" s="291"/>
      <c r="C1" s="292"/>
      <c r="D1" s="221" t="s">
        <v>821</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69"/>
      <c r="AJ1" s="69"/>
      <c r="AK1" s="69"/>
      <c r="AL1" s="69"/>
      <c r="AM1" s="69"/>
      <c r="AN1" s="69"/>
      <c r="AO1" s="69"/>
      <c r="AP1" s="69"/>
      <c r="AQ1" s="69"/>
      <c r="AR1" s="69"/>
      <c r="AS1" s="69"/>
      <c r="AT1" s="69"/>
      <c r="AU1" s="69"/>
      <c r="AV1" s="69"/>
      <c r="AW1" s="69"/>
      <c r="AX1" s="69"/>
      <c r="AY1" s="69"/>
      <c r="AZ1" s="69"/>
      <c r="BA1" s="69"/>
      <c r="BB1" s="69"/>
      <c r="BC1" s="69"/>
      <c r="BD1" s="69"/>
      <c r="BE1" s="69"/>
      <c r="BF1" s="69"/>
      <c r="BG1" s="69"/>
    </row>
    <row r="2" spans="1:59"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69"/>
      <c r="AJ2" s="69"/>
      <c r="AK2" s="69"/>
      <c r="AL2" s="69"/>
      <c r="AM2" s="69"/>
      <c r="AN2" s="69"/>
      <c r="AO2" s="69"/>
      <c r="AP2" s="69"/>
      <c r="AQ2" s="69"/>
      <c r="AR2" s="69"/>
      <c r="AS2" s="69"/>
      <c r="AT2" s="69"/>
      <c r="AU2" s="69"/>
      <c r="AV2" s="69"/>
      <c r="AW2" s="69"/>
      <c r="AX2" s="69"/>
      <c r="AY2" s="69"/>
      <c r="AZ2" s="69"/>
      <c r="BA2" s="69"/>
      <c r="BB2" s="69"/>
      <c r="BC2" s="69"/>
      <c r="BD2" s="69"/>
      <c r="BE2" s="69"/>
      <c r="BF2" s="69"/>
      <c r="BG2" s="69"/>
    </row>
    <row r="3" spans="1:59"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69"/>
      <c r="AJ3" s="69"/>
      <c r="AK3" s="69"/>
      <c r="AL3" s="69"/>
      <c r="AM3" s="69"/>
      <c r="AN3" s="69"/>
      <c r="AO3" s="69"/>
      <c r="AP3" s="69"/>
      <c r="AQ3" s="69"/>
      <c r="AR3" s="69"/>
      <c r="AS3" s="69"/>
      <c r="AT3" s="69"/>
      <c r="AU3" s="69"/>
      <c r="AV3" s="69"/>
      <c r="AW3" s="69"/>
      <c r="AX3" s="69"/>
      <c r="AY3" s="69"/>
      <c r="AZ3" s="69"/>
      <c r="BA3" s="69"/>
      <c r="BB3" s="69"/>
      <c r="BC3" s="69"/>
      <c r="BD3" s="69"/>
      <c r="BE3" s="69"/>
      <c r="BF3" s="69"/>
      <c r="BG3" s="69"/>
    </row>
    <row r="4" spans="1:59" s="55" customFormat="1" ht="60" hidden="1" customHeight="1" thickBo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row>
    <row r="5" spans="1:59" s="55" customFormat="1" ht="60" hidden="1" customHeigh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row>
    <row r="6" spans="1:59" ht="20.100000000000001" customHeight="1">
      <c r="A6" s="289" t="s">
        <v>11</v>
      </c>
      <c r="B6" s="289"/>
      <c r="C6" s="299" t="s">
        <v>100</v>
      </c>
      <c r="D6" s="299"/>
      <c r="E6" s="274" t="s">
        <v>13</v>
      </c>
      <c r="F6" s="274"/>
      <c r="G6" s="271">
        <f>+P15+P17+P19+P21</f>
        <v>1</v>
      </c>
      <c r="H6" s="274" t="s">
        <v>14</v>
      </c>
      <c r="I6" s="274"/>
      <c r="J6" s="275">
        <f>+P14+P16+P18+P20</f>
        <v>0</v>
      </c>
      <c r="K6" s="283" t="s">
        <v>15</v>
      </c>
      <c r="L6" s="284"/>
      <c r="M6" s="278">
        <v>0.95</v>
      </c>
      <c r="N6" s="358" t="s">
        <v>822</v>
      </c>
      <c r="O6" s="359"/>
      <c r="P6" s="263">
        <f>(SUM(X14,X16,X18,X20)/SUM(X15,X17,X19,X21))</f>
        <v>0</v>
      </c>
      <c r="Q6" s="264"/>
      <c r="R6" s="228" t="s">
        <v>823</v>
      </c>
      <c r="S6" s="256"/>
      <c r="T6" s="256"/>
      <c r="U6" s="257"/>
      <c r="V6" s="262">
        <f>SUM(AD14,AD16,AD18,AD20)/SUM(AD15,AD17,AD19,AD21)</f>
        <v>0</v>
      </c>
      <c r="W6" s="263"/>
      <c r="X6" s="263"/>
      <c r="Y6" s="264"/>
      <c r="Z6" s="362" t="s">
        <v>18</v>
      </c>
      <c r="AA6" s="363"/>
      <c r="AB6" s="363"/>
      <c r="AC6" s="363"/>
      <c r="AD6" s="363"/>
      <c r="AE6" s="363"/>
      <c r="AF6" s="363"/>
      <c r="AG6" s="363"/>
    </row>
    <row r="7" spans="1:59" ht="15" customHeight="1">
      <c r="A7" s="289"/>
      <c r="B7" s="289"/>
      <c r="C7" s="299"/>
      <c r="D7" s="299"/>
      <c r="E7" s="274"/>
      <c r="F7" s="274"/>
      <c r="G7" s="272"/>
      <c r="H7" s="274"/>
      <c r="I7" s="274"/>
      <c r="J7" s="276"/>
      <c r="K7" s="285"/>
      <c r="L7" s="286"/>
      <c r="M7" s="279"/>
      <c r="N7" s="358"/>
      <c r="O7" s="359"/>
      <c r="P7" s="266"/>
      <c r="Q7" s="267"/>
      <c r="R7" s="229"/>
      <c r="S7" s="258"/>
      <c r="T7" s="258"/>
      <c r="U7" s="259"/>
      <c r="V7" s="265"/>
      <c r="W7" s="266"/>
      <c r="X7" s="266"/>
      <c r="Y7" s="267"/>
      <c r="Z7" s="364"/>
      <c r="AA7" s="365"/>
      <c r="AB7" s="365"/>
      <c r="AC7" s="365"/>
      <c r="AD7" s="365"/>
      <c r="AE7" s="365"/>
      <c r="AF7" s="365"/>
      <c r="AG7" s="365"/>
    </row>
    <row r="8" spans="1:59" ht="24.95" hidden="1" customHeight="1">
      <c r="A8" s="289"/>
      <c r="B8" s="289"/>
      <c r="C8" s="299"/>
      <c r="D8" s="299"/>
      <c r="E8" s="274"/>
      <c r="F8" s="274"/>
      <c r="G8" s="272"/>
      <c r="H8" s="274"/>
      <c r="I8" s="274"/>
      <c r="J8" s="276"/>
      <c r="K8" s="285"/>
      <c r="L8" s="286"/>
      <c r="M8" s="279"/>
      <c r="N8" s="358"/>
      <c r="O8" s="359"/>
      <c r="P8" s="266"/>
      <c r="Q8" s="267"/>
      <c r="R8" s="229"/>
      <c r="S8" s="258"/>
      <c r="T8" s="258"/>
      <c r="U8" s="259"/>
      <c r="V8" s="265"/>
      <c r="W8" s="266"/>
      <c r="X8" s="266"/>
      <c r="Y8" s="267"/>
      <c r="Z8" s="364"/>
      <c r="AA8" s="365"/>
      <c r="AB8" s="365"/>
      <c r="AC8" s="365"/>
      <c r="AD8" s="365"/>
      <c r="AE8" s="365"/>
      <c r="AF8" s="365"/>
      <c r="AG8" s="365"/>
    </row>
    <row r="9" spans="1:59" ht="24.95" hidden="1" customHeight="1" thickBot="1">
      <c r="A9" s="289"/>
      <c r="B9" s="289"/>
      <c r="C9" s="299"/>
      <c r="D9" s="299"/>
      <c r="E9" s="274"/>
      <c r="F9" s="274"/>
      <c r="G9" s="272"/>
      <c r="H9" s="274"/>
      <c r="I9" s="274"/>
      <c r="J9" s="276"/>
      <c r="K9" s="285"/>
      <c r="L9" s="286"/>
      <c r="M9" s="279"/>
      <c r="N9" s="358"/>
      <c r="O9" s="359"/>
      <c r="P9" s="266"/>
      <c r="Q9" s="267"/>
      <c r="R9" s="229"/>
      <c r="S9" s="258"/>
      <c r="T9" s="258"/>
      <c r="U9" s="259"/>
      <c r="V9" s="265"/>
      <c r="W9" s="266"/>
      <c r="X9" s="266"/>
      <c r="Y9" s="267"/>
      <c r="Z9" s="364"/>
      <c r="AA9" s="365"/>
      <c r="AB9" s="365"/>
      <c r="AC9" s="365"/>
      <c r="AD9" s="365"/>
      <c r="AE9" s="365"/>
      <c r="AF9" s="365"/>
      <c r="AG9" s="365"/>
    </row>
    <row r="10" spans="1:59" ht="15" customHeight="1" thickBot="1">
      <c r="A10" s="289"/>
      <c r="B10" s="289"/>
      <c r="C10" s="299"/>
      <c r="D10" s="299"/>
      <c r="E10" s="274"/>
      <c r="F10" s="274"/>
      <c r="G10" s="273"/>
      <c r="H10" s="274"/>
      <c r="I10" s="274"/>
      <c r="J10" s="277"/>
      <c r="K10" s="287"/>
      <c r="L10" s="288"/>
      <c r="M10" s="280"/>
      <c r="N10" s="358"/>
      <c r="O10" s="359"/>
      <c r="P10" s="269"/>
      <c r="Q10" s="270"/>
      <c r="R10" s="230"/>
      <c r="S10" s="260"/>
      <c r="T10" s="260"/>
      <c r="U10" s="261"/>
      <c r="V10" s="268"/>
      <c r="W10" s="269"/>
      <c r="X10" s="269"/>
      <c r="Y10" s="270"/>
      <c r="Z10" s="366"/>
      <c r="AA10" s="367"/>
      <c r="AB10" s="367"/>
      <c r="AC10" s="367"/>
      <c r="AD10" s="367"/>
      <c r="AE10" s="367"/>
      <c r="AF10" s="367"/>
      <c r="AG10" s="367"/>
    </row>
    <row r="11" spans="1:59" s="12" customFormat="1" ht="39.950000000000003" customHeight="1" thickBot="1">
      <c r="A11" s="314" t="s">
        <v>20</v>
      </c>
      <c r="B11" s="314"/>
      <c r="C11" s="314"/>
      <c r="D11" s="314"/>
      <c r="E11" s="314"/>
      <c r="F11" s="315"/>
      <c r="G11" s="316" t="s">
        <v>21</v>
      </c>
      <c r="H11" s="317"/>
      <c r="I11" s="317"/>
      <c r="J11" s="317"/>
      <c r="K11" s="317"/>
      <c r="L11" s="317"/>
      <c r="M11" s="317"/>
      <c r="N11" s="317"/>
      <c r="O11" s="238" t="s">
        <v>22</v>
      </c>
      <c r="P11" s="239"/>
      <c r="Q11" s="239"/>
      <c r="R11" s="239"/>
      <c r="S11" s="239"/>
      <c r="T11" s="239"/>
      <c r="U11" s="239"/>
      <c r="V11" s="239"/>
      <c r="W11" s="239"/>
      <c r="X11" s="239"/>
      <c r="Y11" s="239"/>
      <c r="Z11" s="239"/>
      <c r="AA11" s="239"/>
      <c r="AB11" s="239"/>
      <c r="AC11" s="239"/>
      <c r="AD11" s="240"/>
      <c r="AE11" s="238" t="s">
        <v>23</v>
      </c>
      <c r="AF11" s="239"/>
      <c r="AG11" s="239"/>
      <c r="AH11" s="239"/>
    </row>
    <row r="12" spans="1:59" ht="39" customHeight="1">
      <c r="A12" s="319" t="s">
        <v>24</v>
      </c>
      <c r="B12" s="321" t="s">
        <v>25</v>
      </c>
      <c r="C12" s="321" t="s">
        <v>26</v>
      </c>
      <c r="D12" s="321" t="s">
        <v>27</v>
      </c>
      <c r="E12" s="321" t="s">
        <v>28</v>
      </c>
      <c r="F12" s="321" t="s">
        <v>29</v>
      </c>
      <c r="G12" s="321" t="s">
        <v>30</v>
      </c>
      <c r="H12" s="321" t="s">
        <v>183</v>
      </c>
      <c r="I12" s="321" t="s">
        <v>33</v>
      </c>
      <c r="J12" s="321" t="s">
        <v>34</v>
      </c>
      <c r="K12" s="321" t="s">
        <v>35</v>
      </c>
      <c r="L12" s="321" t="s">
        <v>36</v>
      </c>
      <c r="M12" s="321" t="s">
        <v>37</v>
      </c>
      <c r="N12" s="321" t="s">
        <v>38</v>
      </c>
      <c r="O12" s="251" t="s">
        <v>39</v>
      </c>
      <c r="P12" s="252" t="s">
        <v>40</v>
      </c>
      <c r="Q12" s="253" t="s">
        <v>41</v>
      </c>
      <c r="R12" s="247" t="s">
        <v>42</v>
      </c>
      <c r="S12" s="245" t="s">
        <v>43</v>
      </c>
      <c r="T12" s="243" t="s">
        <v>44</v>
      </c>
      <c r="U12" s="249" t="s">
        <v>45</v>
      </c>
      <c r="V12" s="254" t="s">
        <v>46</v>
      </c>
      <c r="W12" s="249" t="s">
        <v>47</v>
      </c>
      <c r="X12" s="243" t="s">
        <v>47</v>
      </c>
      <c r="Y12" s="245" t="s">
        <v>48</v>
      </c>
      <c r="Z12" s="247" t="s">
        <v>49</v>
      </c>
      <c r="AA12" s="245" t="s">
        <v>50</v>
      </c>
      <c r="AB12" s="243" t="s">
        <v>51</v>
      </c>
      <c r="AC12" s="249" t="s">
        <v>52</v>
      </c>
      <c r="AD12" s="241" t="s">
        <v>53</v>
      </c>
      <c r="AE12" s="237" t="s">
        <v>54</v>
      </c>
      <c r="AF12" s="237" t="s">
        <v>55</v>
      </c>
      <c r="AG12" s="237" t="s">
        <v>56</v>
      </c>
      <c r="AH12" s="237" t="s">
        <v>57</v>
      </c>
    </row>
    <row r="13" spans="1:59" ht="60" customHeight="1" thickBot="1">
      <c r="A13" s="320"/>
      <c r="B13" s="320"/>
      <c r="C13" s="320"/>
      <c r="D13" s="320"/>
      <c r="E13" s="320"/>
      <c r="F13" s="320"/>
      <c r="G13" s="320"/>
      <c r="H13" s="320"/>
      <c r="I13" s="320"/>
      <c r="J13" s="320"/>
      <c r="K13" s="320"/>
      <c r="L13" s="320"/>
      <c r="M13" s="320"/>
      <c r="N13" s="320"/>
      <c r="O13" s="251"/>
      <c r="P13" s="252"/>
      <c r="Q13" s="253"/>
      <c r="R13" s="248"/>
      <c r="S13" s="246"/>
      <c r="T13" s="244"/>
      <c r="U13" s="250"/>
      <c r="V13" s="255"/>
      <c r="W13" s="250"/>
      <c r="X13" s="244"/>
      <c r="Y13" s="246"/>
      <c r="Z13" s="248"/>
      <c r="AA13" s="246"/>
      <c r="AB13" s="244"/>
      <c r="AC13" s="250"/>
      <c r="AD13" s="242"/>
      <c r="AE13" s="237"/>
      <c r="AF13" s="237"/>
      <c r="AG13" s="237"/>
      <c r="AH13" s="237"/>
    </row>
    <row r="14" spans="1:59" ht="39.950000000000003" customHeight="1" thickBot="1">
      <c r="A14" s="300">
        <v>1</v>
      </c>
      <c r="B14" s="300" t="s">
        <v>184</v>
      </c>
      <c r="C14" s="300" t="s">
        <v>97</v>
      </c>
      <c r="D14" s="300" t="s">
        <v>98</v>
      </c>
      <c r="E14" s="300" t="s">
        <v>99</v>
      </c>
      <c r="F14" s="310" t="s">
        <v>62</v>
      </c>
      <c r="G14" s="300" t="s">
        <v>100</v>
      </c>
      <c r="H14" s="300" t="s">
        <v>824</v>
      </c>
      <c r="I14" s="300" t="s">
        <v>825</v>
      </c>
      <c r="J14" s="302" t="s">
        <v>826</v>
      </c>
      <c r="K14" s="302" t="s">
        <v>827</v>
      </c>
      <c r="L14" s="302" t="s">
        <v>109</v>
      </c>
      <c r="M14" s="302" t="s">
        <v>828</v>
      </c>
      <c r="N14" s="302" t="s">
        <v>829</v>
      </c>
      <c r="O14" s="60" t="s">
        <v>70</v>
      </c>
      <c r="P14" s="53">
        <f>+(P15*Q14)</f>
        <v>0</v>
      </c>
      <c r="Q14" s="70">
        <f>SUM(R14:AD14)</f>
        <v>0</v>
      </c>
      <c r="R14" s="43"/>
      <c r="S14" s="43"/>
      <c r="T14" s="43"/>
      <c r="U14" s="43"/>
      <c r="V14" s="43"/>
      <c r="W14" s="43"/>
      <c r="X14" s="43"/>
      <c r="Y14" s="43"/>
      <c r="Z14" s="44"/>
      <c r="AA14" s="44"/>
      <c r="AB14" s="44"/>
      <c r="AC14" s="44"/>
      <c r="AD14" s="44"/>
      <c r="AE14" s="233"/>
      <c r="AF14" s="235"/>
      <c r="AG14" s="231"/>
      <c r="AH14" s="231"/>
    </row>
    <row r="15" spans="1:59" ht="36.950000000000003" customHeight="1" thickBot="1">
      <c r="A15" s="301"/>
      <c r="B15" s="301"/>
      <c r="C15" s="301"/>
      <c r="D15" s="301"/>
      <c r="E15" s="301"/>
      <c r="F15" s="313"/>
      <c r="G15" s="301"/>
      <c r="H15" s="301"/>
      <c r="I15" s="301"/>
      <c r="J15" s="303"/>
      <c r="K15" s="303"/>
      <c r="L15" s="303"/>
      <c r="M15" s="303"/>
      <c r="N15" s="303"/>
      <c r="O15" s="60" t="s">
        <v>71</v>
      </c>
      <c r="P15" s="52">
        <f>100%/4</f>
        <v>0.25</v>
      </c>
      <c r="Q15" s="70">
        <f>SUM(R15:AD15)</f>
        <v>1</v>
      </c>
      <c r="R15" s="42"/>
      <c r="S15" s="42"/>
      <c r="T15" s="42"/>
      <c r="U15" s="42"/>
      <c r="V15" s="42"/>
      <c r="W15" s="42"/>
      <c r="X15" s="42">
        <v>0.5</v>
      </c>
      <c r="Y15" s="42"/>
      <c r="Z15" s="42"/>
      <c r="AA15" s="42"/>
      <c r="AB15" s="42"/>
      <c r="AC15" s="42"/>
      <c r="AD15" s="42">
        <v>0.5</v>
      </c>
      <c r="AE15" s="234"/>
      <c r="AF15" s="236"/>
      <c r="AG15" s="232"/>
      <c r="AH15" s="232"/>
    </row>
    <row r="16" spans="1:59" ht="36.950000000000003" customHeight="1" thickBot="1">
      <c r="A16" s="300">
        <v>2</v>
      </c>
      <c r="B16" s="300" t="s">
        <v>184</v>
      </c>
      <c r="C16" s="300" t="s">
        <v>97</v>
      </c>
      <c r="D16" s="300" t="s">
        <v>98</v>
      </c>
      <c r="E16" s="300" t="s">
        <v>99</v>
      </c>
      <c r="F16" s="310" t="s">
        <v>62</v>
      </c>
      <c r="G16" s="300" t="s">
        <v>100</v>
      </c>
      <c r="H16" s="300" t="s">
        <v>830</v>
      </c>
      <c r="I16" s="360" t="s">
        <v>831</v>
      </c>
      <c r="J16" s="302" t="s">
        <v>832</v>
      </c>
      <c r="K16" s="302" t="s">
        <v>832</v>
      </c>
      <c r="L16" s="302" t="s">
        <v>109</v>
      </c>
      <c r="M16" s="302" t="s">
        <v>828</v>
      </c>
      <c r="N16" s="302" t="s">
        <v>829</v>
      </c>
      <c r="O16" s="60" t="s">
        <v>70</v>
      </c>
      <c r="P16" s="53">
        <f>+(P17*Q16)</f>
        <v>0</v>
      </c>
      <c r="Q16" s="70">
        <f>SUM(R16:AD16)</f>
        <v>0</v>
      </c>
      <c r="R16" s="43"/>
      <c r="S16" s="43"/>
      <c r="T16" s="43"/>
      <c r="U16" s="43"/>
      <c r="V16" s="43"/>
      <c r="W16" s="43"/>
      <c r="X16" s="43"/>
      <c r="Y16" s="43"/>
      <c r="Z16" s="44"/>
      <c r="AA16" s="44"/>
      <c r="AB16" s="44"/>
      <c r="AC16" s="44"/>
      <c r="AD16" s="44"/>
      <c r="AE16" s="233"/>
      <c r="AF16" s="235"/>
      <c r="AG16" s="231"/>
      <c r="AH16" s="231"/>
    </row>
    <row r="17" spans="1:34" ht="36.950000000000003" customHeight="1" thickBot="1">
      <c r="A17" s="301"/>
      <c r="B17" s="301"/>
      <c r="C17" s="301"/>
      <c r="D17" s="301"/>
      <c r="E17" s="301"/>
      <c r="F17" s="311"/>
      <c r="G17" s="301"/>
      <c r="H17" s="301"/>
      <c r="I17" s="361"/>
      <c r="J17" s="303"/>
      <c r="K17" s="303"/>
      <c r="L17" s="303"/>
      <c r="M17" s="303"/>
      <c r="N17" s="303"/>
      <c r="O17" s="60" t="s">
        <v>71</v>
      </c>
      <c r="P17" s="52">
        <f>100%/4</f>
        <v>0.25</v>
      </c>
      <c r="Q17" s="70">
        <f>SUM(R17:AD17)</f>
        <v>1</v>
      </c>
      <c r="R17" s="42"/>
      <c r="S17" s="42"/>
      <c r="T17" s="42"/>
      <c r="U17" s="42"/>
      <c r="V17" s="42"/>
      <c r="W17" s="42"/>
      <c r="X17" s="42">
        <v>0.5</v>
      </c>
      <c r="Y17" s="42"/>
      <c r="Z17" s="42"/>
      <c r="AA17" s="42"/>
      <c r="AB17" s="42"/>
      <c r="AC17" s="42"/>
      <c r="AD17" s="42">
        <v>0.5</v>
      </c>
      <c r="AE17" s="234"/>
      <c r="AF17" s="236"/>
      <c r="AG17" s="232"/>
      <c r="AH17" s="232"/>
    </row>
    <row r="18" spans="1:34" ht="36.950000000000003" customHeight="1" thickBot="1">
      <c r="A18" s="300">
        <v>3</v>
      </c>
      <c r="B18" s="300" t="s">
        <v>184</v>
      </c>
      <c r="C18" s="300" t="s">
        <v>97</v>
      </c>
      <c r="D18" s="300" t="s">
        <v>98</v>
      </c>
      <c r="E18" s="300" t="s">
        <v>99</v>
      </c>
      <c r="F18" s="310" t="s">
        <v>62</v>
      </c>
      <c r="G18" s="300" t="s">
        <v>100</v>
      </c>
      <c r="H18" s="300" t="s">
        <v>833</v>
      </c>
      <c r="I18" s="300" t="s">
        <v>834</v>
      </c>
      <c r="J18" s="300" t="s">
        <v>835</v>
      </c>
      <c r="K18" s="300" t="s">
        <v>836</v>
      </c>
      <c r="L18" s="302" t="s">
        <v>109</v>
      </c>
      <c r="M18" s="302" t="s">
        <v>828</v>
      </c>
      <c r="N18" s="302" t="s">
        <v>837</v>
      </c>
      <c r="O18" s="60" t="s">
        <v>70</v>
      </c>
      <c r="P18" s="53">
        <f>+(P19*Q18)</f>
        <v>0</v>
      </c>
      <c r="Q18" s="70">
        <f>SUM(R18:AD18)</f>
        <v>0</v>
      </c>
      <c r="R18" s="43"/>
      <c r="S18" s="43"/>
      <c r="T18" s="43"/>
      <c r="U18" s="43"/>
      <c r="V18" s="43"/>
      <c r="W18" s="43"/>
      <c r="X18" s="43"/>
      <c r="Y18" s="43"/>
      <c r="Z18" s="44"/>
      <c r="AA18" s="44"/>
      <c r="AB18" s="44"/>
      <c r="AC18" s="44"/>
      <c r="AD18" s="44"/>
      <c r="AE18" s="233"/>
      <c r="AF18" s="235"/>
      <c r="AG18" s="231"/>
      <c r="AH18" s="231"/>
    </row>
    <row r="19" spans="1:34" ht="36.950000000000003" customHeight="1" thickBot="1">
      <c r="A19" s="301"/>
      <c r="B19" s="301"/>
      <c r="C19" s="301"/>
      <c r="D19" s="301"/>
      <c r="E19" s="301"/>
      <c r="F19" s="311"/>
      <c r="G19" s="301"/>
      <c r="H19" s="301"/>
      <c r="I19" s="301"/>
      <c r="J19" s="301"/>
      <c r="K19" s="301"/>
      <c r="L19" s="303"/>
      <c r="M19" s="303"/>
      <c r="N19" s="303"/>
      <c r="O19" s="60" t="s">
        <v>71</v>
      </c>
      <c r="P19" s="52">
        <f>100%/4</f>
        <v>0.25</v>
      </c>
      <c r="Q19" s="70">
        <f>SUM(R19:AD19)</f>
        <v>1</v>
      </c>
      <c r="R19" s="42"/>
      <c r="S19" s="42"/>
      <c r="T19" s="42"/>
      <c r="U19" s="42"/>
      <c r="V19" s="42"/>
      <c r="W19" s="42"/>
      <c r="X19" s="42">
        <v>0.5</v>
      </c>
      <c r="Y19" s="42"/>
      <c r="Z19" s="42"/>
      <c r="AA19" s="42"/>
      <c r="AB19" s="42"/>
      <c r="AC19" s="42"/>
      <c r="AD19" s="42">
        <v>0.5</v>
      </c>
      <c r="AE19" s="234"/>
      <c r="AF19" s="236"/>
      <c r="AG19" s="232"/>
      <c r="AH19" s="232"/>
    </row>
    <row r="20" spans="1:34" ht="36.950000000000003" customHeight="1" thickBot="1">
      <c r="A20" s="300">
        <v>4</v>
      </c>
      <c r="B20" s="300" t="s">
        <v>184</v>
      </c>
      <c r="C20" s="300" t="s">
        <v>97</v>
      </c>
      <c r="D20" s="300" t="s">
        <v>98</v>
      </c>
      <c r="E20" s="300" t="s">
        <v>99</v>
      </c>
      <c r="F20" s="310" t="s">
        <v>62</v>
      </c>
      <c r="G20" s="300" t="s">
        <v>100</v>
      </c>
      <c r="H20" s="300" t="s">
        <v>838</v>
      </c>
      <c r="I20" s="300" t="s">
        <v>839</v>
      </c>
      <c r="J20" s="300" t="s">
        <v>840</v>
      </c>
      <c r="K20" s="300" t="s">
        <v>840</v>
      </c>
      <c r="L20" s="302" t="s">
        <v>841</v>
      </c>
      <c r="M20" s="302" t="s">
        <v>842</v>
      </c>
      <c r="N20" s="302" t="s">
        <v>829</v>
      </c>
      <c r="O20" s="60" t="s">
        <v>70</v>
      </c>
      <c r="P20" s="53">
        <f>+(P21*Q20)</f>
        <v>0</v>
      </c>
      <c r="Q20" s="70">
        <f>SUM(R20:AD20)</f>
        <v>0</v>
      </c>
      <c r="R20" s="43"/>
      <c r="S20" s="43"/>
      <c r="T20" s="43"/>
      <c r="U20" s="43"/>
      <c r="V20" s="43"/>
      <c r="W20" s="43"/>
      <c r="X20" s="43"/>
      <c r="Y20" s="43"/>
      <c r="Z20" s="44"/>
      <c r="AA20" s="44"/>
      <c r="AB20" s="44"/>
      <c r="AC20" s="44"/>
      <c r="AD20" s="44"/>
      <c r="AE20" s="233"/>
      <c r="AF20" s="235"/>
      <c r="AG20" s="231"/>
      <c r="AH20" s="231"/>
    </row>
    <row r="21" spans="1:34" ht="36.950000000000003" customHeight="1">
      <c r="A21" s="301"/>
      <c r="B21" s="301"/>
      <c r="C21" s="301"/>
      <c r="D21" s="301"/>
      <c r="E21" s="301"/>
      <c r="F21" s="311"/>
      <c r="G21" s="301"/>
      <c r="H21" s="301"/>
      <c r="I21" s="301"/>
      <c r="J21" s="301"/>
      <c r="K21" s="301"/>
      <c r="L21" s="303"/>
      <c r="M21" s="303"/>
      <c r="N21" s="303"/>
      <c r="O21" s="60" t="s">
        <v>71</v>
      </c>
      <c r="P21" s="52">
        <f>100%/4</f>
        <v>0.25</v>
      </c>
      <c r="Q21" s="70">
        <f>SUM(R21:AD21)</f>
        <v>1</v>
      </c>
      <c r="R21" s="42"/>
      <c r="S21" s="42"/>
      <c r="T21" s="42"/>
      <c r="U21" s="42"/>
      <c r="V21" s="42"/>
      <c r="W21" s="42"/>
      <c r="X21" s="42"/>
      <c r="Y21" s="42"/>
      <c r="Z21" s="42"/>
      <c r="AA21" s="42"/>
      <c r="AB21" s="42"/>
      <c r="AC21" s="42"/>
      <c r="AD21" s="42">
        <v>1</v>
      </c>
      <c r="AE21" s="234"/>
      <c r="AF21" s="236"/>
      <c r="AG21" s="232"/>
      <c r="AH21" s="232"/>
    </row>
    <row r="23" spans="1:34" s="13" customFormat="1" ht="30" hidden="1" customHeight="1">
      <c r="D23" s="332" t="s">
        <v>15</v>
      </c>
      <c r="E23" s="332"/>
      <c r="F23" s="21">
        <v>1</v>
      </c>
      <c r="H23" s="328" t="s">
        <v>110</v>
      </c>
      <c r="I23" s="22" t="s">
        <v>111</v>
      </c>
      <c r="J23" s="54" t="e">
        <f>SUM(O23:AC23)</f>
        <v>#REF!</v>
      </c>
      <c r="K23" s="33"/>
      <c r="L23" s="33"/>
      <c r="M23" s="33"/>
      <c r="N23" s="33"/>
      <c r="O23" s="33" t="e">
        <f>+(AC14*$P$15)+(AC16*$P$17)+(AC18*$P$19)+(AC20*$P$21)+(#REF!*#REF!)+(#REF!*#REF!)+(#REF!*#REF!)+(#REF!*#REF!)+(#REF!*#REF!)+(#REF!*#REF!)+(#REF!*#REF!)+(#REF!*#REF!)+(#REF!*#REF!)</f>
        <v>#REF!</v>
      </c>
      <c r="P23" s="36"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6" t="e">
        <f>+(#REF!*$P$15)+(#REF!*$P$17)+(#REF!*$P$19)+(#REF!*$P$21)+(#REF!*#REF!)+(#REF!*#REF!)+(#REF!*#REF!)+(#REF!*#REF!)+(#REF!*#REF!)+(#REF!*#REF!)+(#REF!*#REF!)+(#REF!*#REF!)+(#REF!*#REF!)</f>
        <v>#REF!</v>
      </c>
      <c r="AC23" s="33" t="e">
        <f>+(#REF!*$P$15)+(#REF!*$P$17)+(#REF!*$P$19)+(#REF!*$P$21)+(#REF!*#REF!)+(#REF!*#REF!)+(#REF!*#REF!)+(#REF!*#REF!)+(#REF!*#REF!)+(#REF!*#REF!)+(#REF!*#REF!)+(#REF!*#REF!)+(#REF!*#REF!)</f>
        <v>#REF!</v>
      </c>
      <c r="AD23" s="61"/>
    </row>
    <row r="24" spans="1:34" s="13" customFormat="1" ht="30" hidden="1" customHeight="1">
      <c r="D24" s="332"/>
      <c r="E24" s="332"/>
      <c r="F24" s="21"/>
      <c r="H24" s="329"/>
      <c r="I24" s="15" t="s">
        <v>112</v>
      </c>
      <c r="J24" s="17"/>
      <c r="K24" s="34"/>
      <c r="L24" s="34"/>
      <c r="M24" s="34"/>
      <c r="N24" s="34"/>
      <c r="O24" s="34" t="e">
        <f>SUM(O23:O23)</f>
        <v>#REF!</v>
      </c>
      <c r="P24" s="37"/>
      <c r="Q24" s="34"/>
      <c r="R24" s="34"/>
      <c r="S24" s="27" t="e">
        <f>SUM(P23:S23)</f>
        <v>#REF!</v>
      </c>
      <c r="T24" s="27"/>
      <c r="U24" s="27"/>
      <c r="V24" s="27"/>
      <c r="W24" s="27" t="e">
        <f>SUM(T23:W23)</f>
        <v>#REF!</v>
      </c>
      <c r="X24" s="27"/>
      <c r="Y24" s="27"/>
      <c r="Z24" s="27"/>
      <c r="AA24" s="27" t="e">
        <f>SUM(X23:AA23)</f>
        <v>#REF!</v>
      </c>
      <c r="AB24" s="39"/>
      <c r="AC24" s="27"/>
      <c r="AD24" s="62"/>
    </row>
    <row r="25" spans="1:34" s="13" customFormat="1" ht="30" hidden="1" customHeight="1">
      <c r="H25" s="329"/>
      <c r="I25" s="15" t="s">
        <v>113</v>
      </c>
      <c r="J25" s="14"/>
      <c r="K25" s="34"/>
      <c r="L25" s="34"/>
      <c r="M25" s="34"/>
      <c r="N25" s="34"/>
      <c r="O25" s="34" t="e">
        <f>+#REF!+O24</f>
        <v>#REF!</v>
      </c>
      <c r="P25" s="37"/>
      <c r="Q25" s="34"/>
      <c r="R25" s="34"/>
      <c r="S25" s="26"/>
      <c r="T25" s="27"/>
      <c r="U25" s="27"/>
      <c r="V25" s="27"/>
      <c r="W25" s="27"/>
      <c r="X25" s="27"/>
      <c r="Y25" s="27"/>
      <c r="Z25" s="27"/>
      <c r="AA25" s="27" t="e">
        <f>+S24+W24+AA24</f>
        <v>#REF!</v>
      </c>
      <c r="AB25" s="39"/>
      <c r="AC25" s="27"/>
      <c r="AD25" s="62"/>
    </row>
    <row r="26" spans="1:34" s="13" customFormat="1" ht="30" hidden="1" customHeight="1">
      <c r="H26" s="330"/>
      <c r="I26" s="18" t="s">
        <v>114</v>
      </c>
      <c r="J26" s="19"/>
      <c r="K26" s="35"/>
      <c r="L26" s="35"/>
      <c r="M26" s="35"/>
      <c r="N26" s="35"/>
      <c r="O26" s="35"/>
      <c r="P26" s="38"/>
      <c r="Q26" s="35"/>
      <c r="R26" s="35"/>
      <c r="S26" s="28"/>
      <c r="T26" s="29"/>
      <c r="U26" s="29"/>
      <c r="V26" s="29"/>
      <c r="W26" s="29"/>
      <c r="X26" s="29"/>
      <c r="Y26" s="29"/>
      <c r="Z26" s="29"/>
      <c r="AA26" s="29" t="e">
        <f>+O25+AA25</f>
        <v>#REF!</v>
      </c>
      <c r="AB26" s="40"/>
      <c r="AC26" s="29"/>
      <c r="AD26" s="62"/>
    </row>
    <row r="27" spans="1:34" s="13" customFormat="1" ht="30" hidden="1" customHeight="1">
      <c r="H27" s="331" t="s">
        <v>115</v>
      </c>
      <c r="I27" s="15" t="s">
        <v>116</v>
      </c>
      <c r="J27" s="23" t="e">
        <f>SUM(O27:AC27)</f>
        <v>#REF!</v>
      </c>
      <c r="K27" s="34"/>
      <c r="L27" s="34"/>
      <c r="M27" s="34"/>
      <c r="N27" s="34"/>
      <c r="O27" s="34" t="e">
        <f>+(AC15*$P$15)+(AC17*$P$17)+(AC19*$P$19)+(AC21*$P$21)+(#REF!*#REF!)+(#REF!*#REF!)+(#REF!*#REF!)+(#REF!*#REF!)+(#REF!*#REF!)+(#REF!*#REF!)+(#REF!*#REF!)+(#REF!*#REF!)+(#REF!*#REF!)</f>
        <v>#REF!</v>
      </c>
      <c r="P27" s="37" t="e">
        <f>+(#REF!*$P$15)+(#REF!*$P$17)+(#REF!*$P$19)+(#REF!*$P$21)+(#REF!*#REF!)+(#REF!*#REF!)+(#REF!*#REF!)+(#REF!*#REF!)+(#REF!*#REF!)+(#REF!*#REF!)+(#REF!*#REF!)+(#REF!*#REF!)+(#REF!*#REF!)</f>
        <v>#REF!</v>
      </c>
      <c r="Q27" s="34" t="e">
        <f>+(#REF!*$P$15)+(#REF!*$P$17)+(#REF!*$P$19)+(#REF!*$P$21)+(#REF!*#REF!)+(#REF!*#REF!)+(#REF!*#REF!)+(#REF!*#REF!)+(#REF!*#REF!)+(#REF!*#REF!)+(#REF!*#REF!)+(#REF!*#REF!)+(#REF!*#REF!)</f>
        <v>#REF!</v>
      </c>
      <c r="R27" s="34" t="e">
        <f>+(#REF!*$P$15)+(#REF!*$P$17)+(#REF!*$P$19)+(#REF!*$P$21)+(#REF!*#REF!)+(#REF!*#REF!)+(#REF!*#REF!)+(#REF!*#REF!)+(#REF!*#REF!)+(#REF!*#REF!)+(#REF!*#REF!)+(#REF!*#REF!)+(#REF!*#REF!)</f>
        <v>#REF!</v>
      </c>
      <c r="S27" s="34" t="e">
        <f>+(#REF!*$P$15)+(#REF!*$P$17)+(#REF!*$P$19)+(#REF!*$P$21)+(#REF!*#REF!)+(#REF!*#REF!)+(#REF!*#REF!)+(#REF!*#REF!)+(#REF!*#REF!)+(#REF!*#REF!)+(#REF!*#REF!)+(#REF!*#REF!)+(#REF!*#REF!)</f>
        <v>#REF!</v>
      </c>
      <c r="T27" s="34" t="e">
        <f>+(#REF!*$P$15)+(#REF!*$P$17)+(#REF!*$P$19)+(#REF!*$P$21)+(#REF!*#REF!)+(#REF!*#REF!)+(#REF!*#REF!)+(#REF!*#REF!)+(#REF!*#REF!)+(#REF!*#REF!)+(#REF!*#REF!)+(#REF!*#REF!)+(#REF!*#REF!)</f>
        <v>#REF!</v>
      </c>
      <c r="U27" s="34" t="e">
        <f>+(#REF!*$P$15)+(#REF!*$P$17)+(#REF!*$P$19)+(#REF!*$P$21)+(#REF!*#REF!)+(#REF!*#REF!)+(#REF!*#REF!)+(#REF!*#REF!)+(#REF!*#REF!)+(#REF!*#REF!)+(#REF!*#REF!)+(#REF!*#REF!)+(#REF!*#REF!)</f>
        <v>#REF!</v>
      </c>
      <c r="V27" s="34" t="e">
        <f>+(#REF!*$P$15)+(#REF!*$P$17)+(#REF!*$P$19)+(#REF!*$P$21)+(#REF!*#REF!)+(#REF!*#REF!)+(#REF!*#REF!)+(#REF!*#REF!)+(#REF!*#REF!)+(#REF!*#REF!)+(#REF!*#REF!)+(#REF!*#REF!)+(#REF!*#REF!)</f>
        <v>#REF!</v>
      </c>
      <c r="W27" s="34" t="e">
        <f>+(#REF!*$P$15)+(#REF!*$P$17)+(#REF!*$P$19)+(#REF!*$P$21)+(#REF!*#REF!)+(#REF!*#REF!)+(#REF!*#REF!)+(#REF!*#REF!)+(#REF!*#REF!)+(#REF!*#REF!)+(#REF!*#REF!)+(#REF!*#REF!)+(#REF!*#REF!)</f>
        <v>#REF!</v>
      </c>
      <c r="X27" s="34" t="e">
        <f>+(#REF!*$P$15)+(#REF!*$P$17)+(#REF!*$P$19)+(#REF!*$P$21)+(#REF!*#REF!)+(#REF!*#REF!)+(#REF!*#REF!)+(#REF!*#REF!)+(#REF!*#REF!)+(#REF!*#REF!)+(#REF!*#REF!)+(#REF!*#REF!)+(#REF!*#REF!)</f>
        <v>#REF!</v>
      </c>
      <c r="Y27" s="34" t="e">
        <f>+(#REF!*$P$15)+(#REF!*$P$17)+(#REF!*$P$19)+(#REF!*$P$21)+(#REF!*#REF!)+(#REF!*#REF!)+(#REF!*#REF!)+(#REF!*#REF!)+(#REF!*#REF!)+(#REF!*#REF!)+(#REF!*#REF!)+(#REF!*#REF!)+(#REF!*#REF!)</f>
        <v>#REF!</v>
      </c>
      <c r="Z27" s="34" t="e">
        <f>+(#REF!*$P$15)+(#REF!*$P$17)+(#REF!*$P$19)+(#REF!*$P$21)+(#REF!*#REF!)+(#REF!*#REF!)+(#REF!*#REF!)+(#REF!*#REF!)+(#REF!*#REF!)+(#REF!*#REF!)+(#REF!*#REF!)+(#REF!*#REF!)+(#REF!*#REF!)</f>
        <v>#REF!</v>
      </c>
      <c r="AA27" s="34" t="e">
        <f>+(#REF!*$P$15)+(#REF!*$P$17)+(#REF!*$P$19)+(#REF!*$P$21)+(#REF!*#REF!)+(#REF!*#REF!)+(#REF!*#REF!)+(#REF!*#REF!)+(#REF!*#REF!)+(#REF!*#REF!)+(#REF!*#REF!)+(#REF!*#REF!)+(#REF!*#REF!)</f>
        <v>#REF!</v>
      </c>
      <c r="AB27" s="37" t="e">
        <f>+(#REF!*$P$15)+(#REF!*$P$17)+(#REF!*$P$19)+(#REF!*$P$21)+(#REF!*#REF!)+(#REF!*#REF!)+(#REF!*#REF!)+(#REF!*#REF!)+(#REF!*#REF!)+(#REF!*#REF!)+(#REF!*#REF!)+(#REF!*#REF!)+(#REF!*#REF!)</f>
        <v>#REF!</v>
      </c>
      <c r="AC27" s="34" t="e">
        <f>+(#REF!*$P$15)+(#REF!*$P$17)+(#REF!*$P$19)+(#REF!*$P$21)+(#REF!*#REF!)+(#REF!*#REF!)+(#REF!*#REF!)+(#REF!*#REF!)+(#REF!*#REF!)+(#REF!*#REF!)+(#REF!*#REF!)+(#REF!*#REF!)+(#REF!*#REF!)</f>
        <v>#REF!</v>
      </c>
      <c r="AD27" s="61"/>
    </row>
    <row r="28" spans="1:34" s="13" customFormat="1" ht="30" hidden="1" customHeight="1">
      <c r="H28" s="329"/>
      <c r="I28" s="15" t="s">
        <v>117</v>
      </c>
      <c r="J28" s="16"/>
      <c r="K28" s="34"/>
      <c r="L28" s="34"/>
      <c r="M28" s="34"/>
      <c r="N28" s="34"/>
      <c r="O28" s="34" t="e">
        <f>SUM(O27:O27)</f>
        <v>#REF!</v>
      </c>
      <c r="P28" s="37"/>
      <c r="Q28" s="34"/>
      <c r="R28" s="34"/>
      <c r="S28" s="34" t="e">
        <f>SUM(P27:S27)</f>
        <v>#REF!</v>
      </c>
      <c r="T28" s="34"/>
      <c r="U28" s="34"/>
      <c r="V28" s="34"/>
      <c r="W28" s="34" t="e">
        <f>SUM(T27:W27)</f>
        <v>#REF!</v>
      </c>
      <c r="X28" s="34"/>
      <c r="Y28" s="34"/>
      <c r="Z28" s="34"/>
      <c r="AA28" s="34" t="e">
        <f>SUM(X27:AA27)</f>
        <v>#REF!</v>
      </c>
      <c r="AB28" s="37"/>
      <c r="AC28" s="34"/>
      <c r="AD28" s="61"/>
    </row>
    <row r="29" spans="1:34" s="13" customFormat="1" ht="30" hidden="1" customHeight="1">
      <c r="H29" s="329"/>
      <c r="I29" s="15" t="s">
        <v>118</v>
      </c>
      <c r="J29" s="14"/>
      <c r="K29" s="34"/>
      <c r="L29" s="34"/>
      <c r="M29" s="34"/>
      <c r="N29" s="34"/>
      <c r="O29" s="34" t="e">
        <f>+#REF!+O28</f>
        <v>#REF!</v>
      </c>
      <c r="P29" s="37"/>
      <c r="Q29" s="34"/>
      <c r="R29" s="34"/>
      <c r="S29" s="26"/>
      <c r="T29" s="27"/>
      <c r="U29" s="27"/>
      <c r="V29" s="27"/>
      <c r="W29" s="27"/>
      <c r="X29" s="27"/>
      <c r="Y29" s="27"/>
      <c r="Z29" s="27"/>
      <c r="AA29" s="27" t="e">
        <f>+S28+W28+AA28</f>
        <v>#REF!</v>
      </c>
      <c r="AB29" s="39"/>
      <c r="AC29" s="27"/>
      <c r="AD29" s="62"/>
    </row>
    <row r="30" spans="1:34" s="13" customFormat="1" ht="30" hidden="1" customHeight="1">
      <c r="H30" s="330"/>
      <c r="I30" s="20" t="s">
        <v>119</v>
      </c>
      <c r="J30" s="19"/>
      <c r="K30" s="35"/>
      <c r="L30" s="35"/>
      <c r="M30" s="35"/>
      <c r="N30" s="35"/>
      <c r="O30" s="35"/>
      <c r="P30" s="38"/>
      <c r="Q30" s="35"/>
      <c r="R30" s="35"/>
      <c r="S30" s="28"/>
      <c r="T30" s="29"/>
      <c r="U30" s="29"/>
      <c r="V30" s="29"/>
      <c r="W30" s="29"/>
      <c r="X30" s="29"/>
      <c r="Y30" s="29"/>
      <c r="Z30" s="29"/>
      <c r="AA30" s="29" t="e">
        <f>+O29+AA29</f>
        <v>#REF!</v>
      </c>
      <c r="AB30" s="40"/>
      <c r="AC30" s="41"/>
      <c r="AD30" s="62"/>
    </row>
    <row r="31" spans="1:34" ht="30" hidden="1" customHeight="1">
      <c r="H31" s="24"/>
      <c r="I31" s="326" t="s">
        <v>120</v>
      </c>
      <c r="J31" s="326"/>
      <c r="K31" s="46"/>
      <c r="L31" s="46"/>
      <c r="M31" s="46"/>
      <c r="N31" s="46"/>
      <c r="O31" s="47" t="e">
        <f>+(#REF!+#REF!+#REF!+#REF!+#REF!+#REF!+#REF!+O23)/(#REF!+#REF!+#REF!+#REF!+#REF!+#REF!+#REF!+O27)</f>
        <v>#REF!</v>
      </c>
      <c r="P31" s="48" t="e">
        <f>+(#REF!+#REF!+#REF!+#REF!+#REF!+#REF!+#REF!+O23+P23)/(#REF!+#REF!+#REF!+#REF!+#REF!+#REF!+#REF!+O27+P27)</f>
        <v>#REF!</v>
      </c>
      <c r="Q31" s="46" t="e">
        <f>+(#REF!+#REF!+#REF!+#REF!+#REF!+#REF!+#REF!+O23+P23+Q23)/(#REF!+#REF!+#REF!+#REF!+#REF!+#REF!+#REF!+O27+P27+Q27)</f>
        <v>#REF!</v>
      </c>
      <c r="R31" s="46" t="e">
        <f>+(#REF!+#REF!+#REF!+#REF!+#REF!+#REF!+#REF!+O23+P23+Q23+R23)/(#REF!+#REF!+#REF!+#REF!+#REF!+#REF!+#REF!+O27+P27+Q27+R27)</f>
        <v>#REF!</v>
      </c>
      <c r="S31" s="47" t="e">
        <f>+(#REF!+#REF!+#REF!+#REF!+#REF!+#REF!+#REF!+O23+P23+Q23+R23+S23)/(#REF!+#REF!+#REF!+#REF!+#REF!+#REF!+#REF!+O27+P27+Q27+R27+S27)</f>
        <v>#REF!</v>
      </c>
      <c r="T31" s="46" t="e">
        <f>+(#REF!+#REF!+#REF!+#REF!+#REF!+#REF!+#REF!+O23+P23+Q23+R23+S23+T23)/(#REF!+#REF!+#REF!+#REF!+#REF!+#REF!+#REF!+O27+P27+Q27+R27+S27+T27)</f>
        <v>#REF!</v>
      </c>
      <c r="U31" s="46" t="e">
        <f>+(#REF!+#REF!+#REF!+#REF!+#REF!+#REF!+#REF!+O23+P23+Q23+R23+S23+T23+U23)/(#REF!+#REF!+#REF!+#REF!+#REF!+#REF!+#REF!+O27+P27+Q27+R27+S27+T27+U27)</f>
        <v>#REF!</v>
      </c>
      <c r="V31" s="46" t="e">
        <f>+(#REF!+#REF!+#REF!+#REF!+#REF!+#REF!+#REF!+O23+P23+Q23+R23+S23+T23+U23+V23)/(#REF!+#REF!+#REF!+#REF!+#REF!+#REF!+#REF!+O27+P27+Q27+R27+S27+T27+U27+V27)</f>
        <v>#REF!</v>
      </c>
      <c r="W31" s="47" t="e">
        <f>+(#REF!+#REF!+#REF!+#REF!+#REF!+#REF!+#REF!+O23+P23+Q23+R23+S23+T23+U23+V23+W23)/(#REF!+#REF!+#REF!+#REF!+#REF!+#REF!+#REF!+O27+P27+Q27+R27+S27+T27+U27+V27+W27)</f>
        <v>#REF!</v>
      </c>
      <c r="X31" s="46" t="e">
        <f>+(#REF!+#REF!+#REF!+#REF!+#REF!+#REF!+#REF!+O23+P23+Q23+R23+S23+T23+U23+V23+W23+X23)/(#REF!+#REF!+#REF!+#REF!+#REF!+#REF!+#REF!+O27+P27+Q27+R27+S27+T27+U27+V27+W27+X27)</f>
        <v>#REF!</v>
      </c>
      <c r="Y31" s="46" t="e">
        <f>+(#REF!+#REF!+#REF!+#REF!+#REF!+#REF!+#REF!+O23+P23+Q23+R23+S23+T23+U23+V23+W23+X23+Y23)/(#REF!+#REF!+#REF!+#REF!+#REF!+#REF!+#REF!+O27+P27+Q27+R27+S27+T27+U27+V27+W27+X27+Y27)</f>
        <v>#REF!</v>
      </c>
      <c r="Z31" s="46" t="e">
        <f>+(#REF!+#REF!+#REF!+#REF!+#REF!+#REF!+#REF!+O23+P23+Q23+R23+S23+T23+U23+V23+W23+X23+Y23+Z23)/(#REF!+#REF!+#REF!+#REF!+#REF!+#REF!+#REF!+O27+P27+Q27+R27+S27+T27+U27+V27+W27+X27+Y27+Z27)</f>
        <v>#REF!</v>
      </c>
      <c r="AA31" s="47" t="e">
        <f>+(#REF!+#REF!+#REF!+#REF!+#REF!+#REF!+#REF!+O23+P23+Q23+R23+S23+T23+U23+V23+W23+X23+Y23+Z23+AA23)/(#REF!+#REF!+#REF!+#REF!+#REF!+#REF!+#REF!+O27+P27+Q27+R27+S27+T27+U27+V27+W27+X27+Y27+Z27+AA27)</f>
        <v>#REF!</v>
      </c>
      <c r="AB31" s="48" t="e">
        <f>+(#REF!+#REF!+#REF!+#REF!+#REF!+#REF!+#REF!+O23+P23+Q23+R23+S23+T23+U23+V23+W23+X23+Y23+Z23+AA23+AB23)/(#REF!+#REF!+#REF!+#REF!+#REF!+#REF!+#REF!+O27+P27+Q27+R27+S27+T27+U27+V27+W27+X27+Y27+Z27+AA27+AB27)</f>
        <v>#REF!</v>
      </c>
      <c r="AC31" s="46" t="e">
        <f>+(#REF!+#REF!+#REF!+#REF!+#REF!+#REF!+#REF!+O23+P23+Q23+R23+S23+T23+U23+V23+W23+X23+Y23+Z23+AA23+AB23+AC23)/(#REF!+#REF!+#REF!+#REF!+#REF!+#REF!+#REF!+O27+P27+Q27+R27+S27+T27+U27+V27+W27+X27+Y27+Z27+AA27+AB27+AC27)</f>
        <v>#REF!</v>
      </c>
      <c r="AD31" s="63"/>
    </row>
    <row r="32" spans="1:34" ht="30" hidden="1" customHeight="1">
      <c r="H32" s="24"/>
      <c r="I32" s="327" t="s">
        <v>121</v>
      </c>
      <c r="J32" s="327"/>
      <c r="K32" s="47"/>
      <c r="L32" s="47"/>
      <c r="M32" s="47"/>
      <c r="N32" s="47"/>
      <c r="O32" s="47" t="e">
        <f>+(#REF!+#REF!+#REF!+#REF!+#REF!+#REF!+#REF!+O23)/$F$23</f>
        <v>#REF!</v>
      </c>
      <c r="P32" s="49" t="e">
        <f>+(#REF!+#REF!+#REF!+#REF!+#REF!+#REF!+#REF!+O23+P23)/$F$23</f>
        <v>#REF!</v>
      </c>
      <c r="Q32" s="47" t="e">
        <f>+(#REF!+#REF!+#REF!+#REF!+#REF!+#REF!+#REF!+O23+P23+Q23)/$F$23</f>
        <v>#REF!</v>
      </c>
      <c r="R32" s="47" t="e">
        <f>+(#REF!+#REF!+#REF!+#REF!+#REF!+#REF!+#REF!+O23+P23+Q23+R23)/$F$23</f>
        <v>#REF!</v>
      </c>
      <c r="S32" s="47" t="e">
        <f>+(#REF!+#REF!+#REF!+#REF!+#REF!+#REF!+#REF!+O23+P23+Q23+R23+S23)/$F$23</f>
        <v>#REF!</v>
      </c>
      <c r="T32" s="47" t="e">
        <f>+(#REF!+#REF!+#REF!+#REF!+#REF!+#REF!+#REF!+O23+P23+Q23+R23+S23+T23)/$F$23</f>
        <v>#REF!</v>
      </c>
      <c r="U32" s="47" t="e">
        <f>+(#REF!+#REF!+#REF!+#REF!+#REF!+#REF!+#REF!+O23+P23+Q23+R23+S23+T23+U23)/$F$23</f>
        <v>#REF!</v>
      </c>
      <c r="V32" s="47" t="e">
        <f>+(#REF!+#REF!+#REF!+#REF!+#REF!+#REF!+#REF!+O23+P23+Q23+R23+S23+T23+U23+V23)/$F$23</f>
        <v>#REF!</v>
      </c>
      <c r="W32" s="47" t="e">
        <f>+(#REF!+#REF!+#REF!+#REF!+#REF!+#REF!+#REF!+O23+P23+Q23+R23+S23+T23+U23+V23+W23)/$F$23</f>
        <v>#REF!</v>
      </c>
      <c r="X32" s="47" t="e">
        <f>+(#REF!+#REF!+#REF!+#REF!+#REF!+#REF!+#REF!+O23+P23+Q23+R23+S23+T23+U23+V23+W23+X23)/$F$23</f>
        <v>#REF!</v>
      </c>
      <c r="Y32" s="47" t="e">
        <f>+(#REF!+#REF!+#REF!+#REF!+#REF!+#REF!+#REF!+O23+P23+Q23+R23+S23+T23+U23+V23+W23+X23+Y23)/$F$23</f>
        <v>#REF!</v>
      </c>
      <c r="Z32" s="47" t="e">
        <f>+(#REF!+#REF!+#REF!+#REF!+#REF!+#REF!+#REF!+O23+P23+Q23+R23+S23+T23+U23+V23+W23+X23+Y23+Z23)/$F$23</f>
        <v>#REF!</v>
      </c>
      <c r="AA32" s="47" t="e">
        <f>+(#REF!+#REF!+#REF!+#REF!+#REF!+#REF!+#REF!+O23+P23+Q23+R23+S23+T23+U23+V23+W23+X23+Y23+Z23+AA23)/$F$23</f>
        <v>#REF!</v>
      </c>
      <c r="AB32" s="49" t="e">
        <f>+(#REF!+#REF!+#REF!+#REF!+#REF!+#REF!+#REF!+O23+P23+Q23+R23+S23+T23+U23+V23+W23+X23+Y23+Z23+AA23+AB23)/$F$23</f>
        <v>#REF!</v>
      </c>
      <c r="AC32" s="47" t="e">
        <f>+(#REF!+#REF!+#REF!+#REF!+#REF!+#REF!+#REF!+O23+P23+Q23+R23+S23+T23+U23+V23+W23+X23+Y23+Z23+AA23+AB23+AC23)/$F$23</f>
        <v>#REF!</v>
      </c>
      <c r="AD32" s="64"/>
    </row>
    <row r="33" spans="8:30" ht="30" hidden="1" customHeight="1">
      <c r="I33" s="326" t="s">
        <v>122</v>
      </c>
      <c r="J33" s="326"/>
      <c r="K33" s="50"/>
      <c r="L33" s="50"/>
      <c r="M33" s="50"/>
      <c r="N33" s="50"/>
      <c r="O33" s="47" t="e">
        <f>+O24/O28</f>
        <v>#REF!</v>
      </c>
      <c r="P33" s="51"/>
      <c r="Q33" s="50"/>
      <c r="R33" s="50"/>
      <c r="S33" s="47" t="e">
        <f>+S24/S28</f>
        <v>#REF!</v>
      </c>
      <c r="T33" s="50"/>
      <c r="U33" s="50"/>
      <c r="V33" s="50"/>
      <c r="W33" s="47" t="e">
        <f>+W24/W28</f>
        <v>#REF!</v>
      </c>
      <c r="X33" s="50"/>
      <c r="Y33" s="50"/>
      <c r="Z33" s="50"/>
      <c r="AA33" s="47" t="e">
        <f>+AA24/AA28</f>
        <v>#REF!</v>
      </c>
      <c r="AB33" s="51"/>
      <c r="AC33" s="50"/>
      <c r="AD33" s="65"/>
    </row>
    <row r="34" spans="8:30" ht="30" hidden="1" customHeight="1">
      <c r="I34" s="327" t="s">
        <v>123</v>
      </c>
      <c r="J34" s="327"/>
      <c r="K34" s="50"/>
      <c r="L34" s="50"/>
      <c r="M34" s="50"/>
      <c r="N34" s="50"/>
      <c r="O34" s="47" t="e">
        <f>+(#REF!+O24)/$F$23</f>
        <v>#REF!</v>
      </c>
      <c r="P34" s="51"/>
      <c r="Q34" s="50"/>
      <c r="R34" s="50"/>
      <c r="S34" s="47" t="e">
        <f>+(#REF!+O24+S24)/$F$23</f>
        <v>#REF!</v>
      </c>
      <c r="T34" s="50"/>
      <c r="U34" s="50"/>
      <c r="V34" s="50"/>
      <c r="W34" s="47" t="e">
        <f>+(#REF!+O24+S24+W24)/$F$23</f>
        <v>#REF!</v>
      </c>
      <c r="X34" s="50"/>
      <c r="Y34" s="50"/>
      <c r="Z34" s="50"/>
      <c r="AA34" s="47" t="e">
        <f>+(#REF!+O24+S24+W24+AA24)/$F$23</f>
        <v>#REF!</v>
      </c>
      <c r="AB34" s="51"/>
      <c r="AC34" s="50"/>
      <c r="AD34" s="65"/>
    </row>
    <row r="35" spans="8:30" ht="30" hidden="1" customHeight="1">
      <c r="I35" s="326" t="s">
        <v>124</v>
      </c>
      <c r="J35" s="326"/>
      <c r="K35" s="50"/>
      <c r="L35" s="50"/>
      <c r="M35" s="50"/>
      <c r="N35" s="50"/>
      <c r="O35" s="47" t="e">
        <f>+(#REF!+O24)/(#REF!+O28)</f>
        <v>#REF!</v>
      </c>
      <c r="P35" s="51"/>
      <c r="Q35" s="50"/>
      <c r="R35" s="50"/>
      <c r="S35" s="50"/>
      <c r="T35" s="50"/>
      <c r="U35" s="50"/>
      <c r="V35" s="50"/>
      <c r="W35" s="50"/>
      <c r="X35" s="50"/>
      <c r="Y35" s="50"/>
      <c r="Z35" s="50"/>
      <c r="AA35" s="47" t="e">
        <f>+(#REF!+O24+S24+W24+AA24)/(#REF!+O28+S28+W28+AA28)</f>
        <v>#REF!</v>
      </c>
      <c r="AB35" s="51"/>
      <c r="AC35" s="50"/>
      <c r="AD35" s="65"/>
    </row>
    <row r="36" spans="8:30" ht="30" hidden="1" customHeight="1">
      <c r="I36" s="326" t="s">
        <v>125</v>
      </c>
      <c r="J36" s="326"/>
      <c r="K36" s="50"/>
      <c r="L36" s="50"/>
      <c r="M36" s="50"/>
      <c r="N36" s="50"/>
      <c r="O36" s="47" t="e">
        <f>+(#REF!+O24)/$F$23</f>
        <v>#REF!</v>
      </c>
      <c r="P36" s="51"/>
      <c r="Q36" s="50"/>
      <c r="R36" s="50"/>
      <c r="S36" s="50"/>
      <c r="T36" s="50"/>
      <c r="U36" s="50"/>
      <c r="V36" s="50"/>
      <c r="W36" s="50"/>
      <c r="X36" s="50"/>
      <c r="Y36" s="50"/>
      <c r="Z36" s="50"/>
      <c r="AA36" s="47" t="e">
        <f>+(+#REF!+O24+S24+W24+AA24)/$F$23</f>
        <v>#REF!</v>
      </c>
      <c r="AB36" s="51"/>
      <c r="AC36" s="50"/>
      <c r="AD36" s="65"/>
    </row>
    <row r="37" spans="8:30" ht="15" hidden="1" customHeight="1"/>
    <row r="38" spans="8:30" ht="35.1" hidden="1" customHeight="1">
      <c r="H38" s="325" t="s">
        <v>126</v>
      </c>
      <c r="I38" s="325"/>
      <c r="J38" s="30" t="e">
        <f>+#REF!</f>
        <v>#REF!</v>
      </c>
      <c r="K38" s="32"/>
      <c r="L38" s="32"/>
      <c r="M38" s="32"/>
      <c r="N38" s="32"/>
    </row>
    <row r="39" spans="8:30" ht="35.1" hidden="1" customHeight="1">
      <c r="H39" s="325" t="s">
        <v>127</v>
      </c>
      <c r="I39" s="325"/>
      <c r="J39" s="25">
        <f>+F23</f>
        <v>1</v>
      </c>
      <c r="K39" s="32"/>
      <c r="L39" s="32"/>
      <c r="M39" s="32"/>
      <c r="N39" s="32"/>
    </row>
    <row r="40" spans="8:30" ht="35.1" hidden="1" customHeight="1">
      <c r="H40" s="325" t="s">
        <v>128</v>
      </c>
      <c r="I40" s="325"/>
      <c r="J40" s="31" t="e">
        <f>+J38/J39</f>
        <v>#REF!</v>
      </c>
      <c r="K40" s="32"/>
      <c r="L40" s="32"/>
      <c r="M40" s="32"/>
      <c r="N40" s="32"/>
    </row>
    <row r="41" spans="8:30" ht="15" customHeight="1">
      <c r="K41" s="32"/>
      <c r="L41" s="32"/>
      <c r="M41" s="32"/>
      <c r="N41" s="32"/>
    </row>
    <row r="42" spans="8:30" ht="15" customHeight="1">
      <c r="K42" s="32"/>
      <c r="L42" s="32"/>
      <c r="M42" s="32"/>
      <c r="N42" s="32"/>
    </row>
    <row r="43" spans="8:30" ht="15" customHeight="1">
      <c r="K43" s="32"/>
      <c r="L43" s="32"/>
      <c r="M43" s="32"/>
      <c r="N43" s="32"/>
    </row>
  </sheetData>
  <mergeCells count="140">
    <mergeCell ref="A1:C3"/>
    <mergeCell ref="D1:AH3"/>
    <mergeCell ref="A4:A5"/>
    <mergeCell ref="G4:G5"/>
    <mergeCell ref="A6:B10"/>
    <mergeCell ref="C6:D10"/>
    <mergeCell ref="E6:F10"/>
    <mergeCell ref="G6:G10"/>
    <mergeCell ref="H6:I10"/>
    <mergeCell ref="J6:J10"/>
    <mergeCell ref="A11:F11"/>
    <mergeCell ref="G11:N11"/>
    <mergeCell ref="O11:AD11"/>
    <mergeCell ref="AE11:AH11"/>
    <mergeCell ref="Z6:AG10"/>
    <mergeCell ref="K6:L10"/>
    <mergeCell ref="M6:M10"/>
    <mergeCell ref="R6:U10"/>
    <mergeCell ref="V6:Y10"/>
    <mergeCell ref="G12:G13"/>
    <mergeCell ref="H12:H13"/>
    <mergeCell ref="I12:I13"/>
    <mergeCell ref="J12:J13"/>
    <mergeCell ref="K12:K13"/>
    <mergeCell ref="L12:L13"/>
    <mergeCell ref="A12:A13"/>
    <mergeCell ref="B12:B13"/>
    <mergeCell ref="C12:C13"/>
    <mergeCell ref="D12:D13"/>
    <mergeCell ref="E12:E13"/>
    <mergeCell ref="F12:F13"/>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F14:F15"/>
    <mergeCell ref="G14:G15"/>
    <mergeCell ref="H14:H15"/>
    <mergeCell ref="I14:I15"/>
    <mergeCell ref="J14:J15"/>
    <mergeCell ref="K14:K15"/>
    <mergeCell ref="AE16:AE17"/>
    <mergeCell ref="AF16:AF17"/>
    <mergeCell ref="AG16:AG17"/>
    <mergeCell ref="AH16:AH17"/>
    <mergeCell ref="A18:A19"/>
    <mergeCell ref="B18:B19"/>
    <mergeCell ref="C18:C19"/>
    <mergeCell ref="D18:D19"/>
    <mergeCell ref="E18:E19"/>
    <mergeCell ref="I16:I17"/>
    <mergeCell ref="J16:J17"/>
    <mergeCell ref="K16:K17"/>
    <mergeCell ref="L16:L17"/>
    <mergeCell ref="M16:M17"/>
    <mergeCell ref="N16:N17"/>
    <mergeCell ref="AG18:AG19"/>
    <mergeCell ref="AH18:AH19"/>
    <mergeCell ref="A20:A21"/>
    <mergeCell ref="B20:B21"/>
    <mergeCell ref="C20:C21"/>
    <mergeCell ref="D20:D21"/>
    <mergeCell ref="E20:E21"/>
    <mergeCell ref="F20:F21"/>
    <mergeCell ref="G20:G21"/>
    <mergeCell ref="H20:H21"/>
    <mergeCell ref="L18:L19"/>
    <mergeCell ref="M18:M19"/>
    <mergeCell ref="N18:N19"/>
    <mergeCell ref="AE18:AE19"/>
    <mergeCell ref="AF18:AF19"/>
    <mergeCell ref="F18:F19"/>
    <mergeCell ref="G18:G19"/>
    <mergeCell ref="H18:H19"/>
    <mergeCell ref="I18:I19"/>
    <mergeCell ref="J18:J19"/>
    <mergeCell ref="K18:K19"/>
    <mergeCell ref="D23:E23"/>
    <mergeCell ref="H23:H26"/>
    <mergeCell ref="D24:E24"/>
    <mergeCell ref="AE20:AE21"/>
    <mergeCell ref="AF20:AF21"/>
    <mergeCell ref="AG20:AG21"/>
    <mergeCell ref="AH20:AH21"/>
    <mergeCell ref="I20:I21"/>
    <mergeCell ref="J20:J21"/>
    <mergeCell ref="K20:K21"/>
    <mergeCell ref="L20:L21"/>
    <mergeCell ref="M20:M21"/>
    <mergeCell ref="N20:N21"/>
    <mergeCell ref="I36:J36"/>
    <mergeCell ref="H38:I38"/>
    <mergeCell ref="H39:I39"/>
    <mergeCell ref="H40:I40"/>
    <mergeCell ref="N6:O10"/>
    <mergeCell ref="P6:Q10"/>
    <mergeCell ref="H27:H30"/>
    <mergeCell ref="I31:J31"/>
    <mergeCell ref="I32:J32"/>
    <mergeCell ref="I33:J33"/>
    <mergeCell ref="I34:J34"/>
    <mergeCell ref="I35:J35"/>
    <mergeCell ref="O12:O13"/>
    <mergeCell ref="P12:P13"/>
    <mergeCell ref="Q12:Q13"/>
  </mergeCells>
  <conditionalFormatting sqref="J40 O31:O36 S31:S34 W31:W34 AA31:AA36 K32:N32 P32:R32 T32:V32 X32:Z32 AB32:AD32">
    <cfRule type="cellIs" dxfId="101" priority="20" operator="greaterThanOrEqual">
      <formula>$D$9</formula>
    </cfRule>
    <cfRule type="cellIs" dxfId="100" priority="21" operator="lessThanOrEqual">
      <formula>$C$6</formula>
    </cfRule>
    <cfRule type="cellIs" dxfId="99" priority="22" operator="between">
      <formula>$C$6</formula>
      <formula>$D$9</formula>
    </cfRule>
  </conditionalFormatting>
  <conditionalFormatting sqref="J6">
    <cfRule type="cellIs" dxfId="98" priority="17" operator="greaterThanOrEqual">
      <formula>$C$5</formula>
    </cfRule>
    <cfRule type="cellIs" dxfId="97" priority="18" operator="lessThanOrEqual">
      <formula>$C$4</formula>
    </cfRule>
    <cfRule type="cellIs" dxfId="96" priority="19" operator="between">
      <formula>$C$5</formula>
      <formula>$C$4</formula>
    </cfRule>
  </conditionalFormatting>
  <conditionalFormatting sqref="I4">
    <cfRule type="cellIs" dxfId="95" priority="16" operator="lessThanOrEqual">
      <formula>$C$4</formula>
    </cfRule>
  </conditionalFormatting>
  <conditionalFormatting sqref="P6">
    <cfRule type="cellIs" dxfId="94" priority="13" operator="greaterThanOrEqual">
      <formula>$I$5</formula>
    </cfRule>
    <cfRule type="cellIs" dxfId="93" priority="14" operator="lessThanOrEqual">
      <formula>$I$4</formula>
    </cfRule>
    <cfRule type="cellIs" dxfId="92" priority="15" operator="between">
      <formula>$I$5</formula>
      <formula>$I$4</formula>
    </cfRule>
  </conditionalFormatting>
  <conditionalFormatting sqref="Q14:Q21">
    <cfRule type="cellIs" dxfId="91" priority="10" operator="greaterThanOrEqual">
      <formula>$C$5</formula>
    </cfRule>
    <cfRule type="cellIs" dxfId="90" priority="11" operator="lessThanOrEqual">
      <formula>$C$4</formula>
    </cfRule>
    <cfRule type="cellIs" dxfId="89" priority="12" operator="between">
      <formula>$C$5</formula>
      <formula>$C$4</formula>
    </cfRule>
  </conditionalFormatting>
  <conditionalFormatting sqref="V6">
    <cfRule type="cellIs" dxfId="88" priority="7" operator="greaterThanOrEqual">
      <formula>$I$5</formula>
    </cfRule>
    <cfRule type="cellIs" dxfId="87" priority="8" operator="lessThanOrEqual">
      <formula>$I$4</formula>
    </cfRule>
    <cfRule type="cellIs" dxfId="86" priority="9" operator="between">
      <formula>$I$5</formula>
      <formula>$I$4</formula>
    </cfRule>
  </conditionalFormatting>
  <dataValidations count="4">
    <dataValidation type="decimal" allowBlank="1" showInputMessage="1" showErrorMessage="1" prompt="valor porcentual de la activida - Indique el peso porcentual de la actividad dentro del proyecto" sqref="P14 P16 P18 P20" xr:uid="{07DF923D-4BB0-4395-AE9F-CC4F09E8F845}">
      <formula1>0</formula1>
      <formula2>1</formula2>
    </dataValidation>
    <dataValidation type="decimal" allowBlank="1" showInputMessage="1" showErrorMessage="1" prompt="campo calculado  - indica el % de avance  que aporta la activadad a todo el proyecto" sqref="P19 P17 P15 P21" xr:uid="{14AEF5D2-97C4-4623-B848-84B3A1025B00}">
      <formula1>0</formula1>
      <formula2>1</formula2>
    </dataValidation>
    <dataValidation type="decimal" allowBlank="1" showInputMessage="1" showErrorMessage="1" prompt="% de avance en la actividad - indique el % programado de avance durante esta semana_x000a_" sqref="R14:AD21" xr:uid="{2A6A181D-2139-4997-B630-373AD7942437}">
      <formula1>0</formula1>
      <formula2>1</formula2>
    </dataValidation>
    <dataValidation allowBlank="1" showErrorMessage="1" sqref="Q14:Q21" xr:uid="{0DFCBA36-AC2F-47FC-9A73-3E4423964CFA}"/>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F01A-C809-40FB-87B9-E571BFA038B5}">
  <dimension ref="A1:BN49"/>
  <sheetViews>
    <sheetView showGridLines="0" view="pageBreakPreview" zoomScale="59" zoomScaleNormal="10" zoomScaleSheetLayoutView="59" zoomScalePageLayoutView="48" workbookViewId="0">
      <selection activeCell="D1" sqref="D1:AO3"/>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21" width="18.140625" style="1" customWidth="1"/>
    <col min="22" max="24" width="13.85546875" style="1" customWidth="1"/>
    <col min="25" max="37" width="9.5703125" style="1" customWidth="1"/>
    <col min="38" max="38" width="35.85546875" style="1" customWidth="1"/>
    <col min="39" max="41" width="42.5703125" style="1" customWidth="1"/>
    <col min="42" max="16384" width="12.5703125" style="1"/>
  </cols>
  <sheetData>
    <row r="1" spans="1:66" s="55" customFormat="1" ht="15" customHeight="1">
      <c r="A1" s="290"/>
      <c r="B1" s="291"/>
      <c r="C1" s="292"/>
      <c r="D1" s="221" t="s">
        <v>843</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69"/>
      <c r="AQ1" s="69"/>
      <c r="AR1" s="69"/>
      <c r="AS1" s="69"/>
      <c r="AT1" s="69"/>
      <c r="AU1" s="69"/>
      <c r="AV1" s="69"/>
      <c r="AW1" s="69"/>
      <c r="AX1" s="69"/>
      <c r="AY1" s="69"/>
      <c r="AZ1" s="69"/>
      <c r="BA1" s="69"/>
      <c r="BB1" s="69"/>
      <c r="BC1" s="69"/>
      <c r="BD1" s="69"/>
      <c r="BE1" s="69"/>
      <c r="BF1" s="69"/>
      <c r="BG1" s="69"/>
      <c r="BH1" s="69"/>
      <c r="BI1" s="69"/>
      <c r="BJ1" s="69"/>
      <c r="BK1" s="69"/>
      <c r="BL1" s="69"/>
      <c r="BM1" s="69"/>
      <c r="BN1" s="69"/>
    </row>
    <row r="2" spans="1:66"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69"/>
      <c r="AQ2" s="69"/>
      <c r="AR2" s="69"/>
      <c r="AS2" s="69"/>
      <c r="AT2" s="69"/>
      <c r="AU2" s="69"/>
      <c r="AV2" s="69"/>
      <c r="AW2" s="69"/>
      <c r="AX2" s="69"/>
      <c r="AY2" s="69"/>
      <c r="AZ2" s="69"/>
      <c r="BA2" s="69"/>
      <c r="BB2" s="69"/>
      <c r="BC2" s="69"/>
      <c r="BD2" s="69"/>
      <c r="BE2" s="69"/>
      <c r="BF2" s="69"/>
      <c r="BG2" s="69"/>
      <c r="BH2" s="69"/>
      <c r="BI2" s="69"/>
      <c r="BJ2" s="69"/>
      <c r="BK2" s="69"/>
      <c r="BL2" s="69"/>
      <c r="BM2" s="69"/>
      <c r="BN2" s="69"/>
    </row>
    <row r="3" spans="1:66"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69"/>
      <c r="AQ3" s="69"/>
      <c r="AR3" s="69"/>
      <c r="AS3" s="69"/>
      <c r="AT3" s="69"/>
      <c r="AU3" s="69"/>
      <c r="AV3" s="69"/>
      <c r="AW3" s="69"/>
      <c r="AX3" s="69"/>
      <c r="AY3" s="69"/>
      <c r="AZ3" s="69"/>
      <c r="BA3" s="69"/>
      <c r="BB3" s="69"/>
      <c r="BC3" s="69"/>
      <c r="BD3" s="69"/>
      <c r="BE3" s="69"/>
      <c r="BF3" s="69"/>
      <c r="BG3" s="69"/>
      <c r="BH3" s="69"/>
      <c r="BI3" s="69"/>
      <c r="BJ3" s="69"/>
      <c r="BK3" s="69"/>
      <c r="BL3" s="69"/>
      <c r="BM3" s="69"/>
      <c r="BN3" s="69"/>
    </row>
    <row r="4" spans="1:66" s="55" customFormat="1" ht="60" hidden="1" customHeight="1" thickBo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6" s="55" customFormat="1" ht="60" hidden="1" customHeigh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6" ht="20.100000000000001" customHeight="1">
      <c r="A6" s="289" t="s">
        <v>11</v>
      </c>
      <c r="B6" s="289"/>
      <c r="C6" s="299" t="s">
        <v>100</v>
      </c>
      <c r="D6" s="299"/>
      <c r="E6" s="274" t="s">
        <v>13</v>
      </c>
      <c r="F6" s="274"/>
      <c r="G6" s="271">
        <f>+W15+W17+W19+W21+W23+W25+W27+W29</f>
        <v>1</v>
      </c>
      <c r="H6" s="274" t="s">
        <v>14</v>
      </c>
      <c r="I6" s="274"/>
      <c r="J6" s="275">
        <f>+W14+W16+W18+W20+W22+W24+W26+W28</f>
        <v>0</v>
      </c>
      <c r="K6" s="283" t="s">
        <v>15</v>
      </c>
      <c r="L6" s="284"/>
      <c r="M6" s="278">
        <v>0.95</v>
      </c>
      <c r="N6" s="289" t="s">
        <v>822</v>
      </c>
      <c r="O6" s="289"/>
      <c r="P6" s="262">
        <f>(SUM(AE14,AE16,AE18,AE20,AE22,AE24,AE26:AE28)/SUM(AE15,AE17,AE19,AE21,AE23,AE25,AE29))</f>
        <v>0.14285714285714285</v>
      </c>
      <c r="Q6" s="263"/>
      <c r="R6" s="264"/>
      <c r="S6" s="228" t="s">
        <v>823</v>
      </c>
      <c r="T6" s="256"/>
      <c r="U6" s="222">
        <f>SUM(AE14,AE16,AE18,AE20,AE22,AE24,AE26)/SUM(AE15,AE17,AE19,AE21,AE23,AE25,AE27)</f>
        <v>0</v>
      </c>
      <c r="V6" s="223"/>
      <c r="W6" s="223"/>
      <c r="X6" s="368"/>
      <c r="Y6" s="368"/>
      <c r="Z6" s="368"/>
      <c r="AA6" s="368"/>
      <c r="AB6" s="368"/>
      <c r="AC6" s="368"/>
      <c r="AD6" s="368"/>
      <c r="AE6" s="368"/>
      <c r="AF6" s="368"/>
      <c r="AG6" s="368"/>
      <c r="AH6" s="368"/>
      <c r="AI6" s="368"/>
      <c r="AJ6" s="368"/>
      <c r="AK6" s="368"/>
      <c r="AL6" s="368"/>
      <c r="AM6" s="368"/>
      <c r="AN6" s="368"/>
      <c r="AO6" s="368"/>
    </row>
    <row r="7" spans="1:66" ht="15" customHeight="1">
      <c r="A7" s="289"/>
      <c r="B7" s="289"/>
      <c r="C7" s="299"/>
      <c r="D7" s="299"/>
      <c r="E7" s="274"/>
      <c r="F7" s="274"/>
      <c r="G7" s="272"/>
      <c r="H7" s="274"/>
      <c r="I7" s="274"/>
      <c r="J7" s="276"/>
      <c r="K7" s="285"/>
      <c r="L7" s="286"/>
      <c r="M7" s="279"/>
      <c r="N7" s="289"/>
      <c r="O7" s="289"/>
      <c r="P7" s="265"/>
      <c r="Q7" s="266"/>
      <c r="R7" s="267"/>
      <c r="S7" s="229"/>
      <c r="T7" s="258"/>
      <c r="U7" s="224"/>
      <c r="V7" s="225"/>
      <c r="W7" s="225"/>
      <c r="X7" s="368"/>
      <c r="Y7" s="368"/>
      <c r="Z7" s="368"/>
      <c r="AA7" s="368"/>
      <c r="AB7" s="368"/>
      <c r="AC7" s="368"/>
      <c r="AD7" s="368"/>
      <c r="AE7" s="368"/>
      <c r="AF7" s="368"/>
      <c r="AG7" s="368"/>
      <c r="AH7" s="368"/>
      <c r="AI7" s="368"/>
      <c r="AJ7" s="368"/>
      <c r="AK7" s="368"/>
      <c r="AL7" s="368"/>
      <c r="AM7" s="368"/>
      <c r="AN7" s="368"/>
      <c r="AO7" s="368"/>
    </row>
    <row r="8" spans="1:66" ht="24.95" hidden="1" customHeight="1">
      <c r="A8" s="289"/>
      <c r="B8" s="289"/>
      <c r="C8" s="299"/>
      <c r="D8" s="299"/>
      <c r="E8" s="274"/>
      <c r="F8" s="274"/>
      <c r="G8" s="272"/>
      <c r="H8" s="274"/>
      <c r="I8" s="274"/>
      <c r="J8" s="276"/>
      <c r="K8" s="285"/>
      <c r="L8" s="286"/>
      <c r="M8" s="279"/>
      <c r="N8" s="289"/>
      <c r="O8" s="289"/>
      <c r="P8" s="265"/>
      <c r="Q8" s="266"/>
      <c r="R8" s="267"/>
      <c r="S8" s="229"/>
      <c r="T8" s="258"/>
      <c r="U8" s="224"/>
      <c r="V8" s="225"/>
      <c r="W8" s="225"/>
      <c r="X8" s="368"/>
      <c r="Y8" s="368"/>
      <c r="Z8" s="368"/>
      <c r="AA8" s="368"/>
      <c r="AB8" s="368"/>
      <c r="AC8" s="368"/>
      <c r="AD8" s="368"/>
      <c r="AE8" s="368"/>
      <c r="AF8" s="368"/>
      <c r="AG8" s="368"/>
      <c r="AH8" s="368"/>
      <c r="AI8" s="368"/>
      <c r="AJ8" s="368"/>
      <c r="AK8" s="368"/>
      <c r="AL8" s="368"/>
      <c r="AM8" s="368"/>
      <c r="AN8" s="368"/>
      <c r="AO8" s="368"/>
    </row>
    <row r="9" spans="1:66" ht="24.95" hidden="1" customHeight="1" thickBot="1">
      <c r="A9" s="289"/>
      <c r="B9" s="289"/>
      <c r="C9" s="299"/>
      <c r="D9" s="299"/>
      <c r="E9" s="274"/>
      <c r="F9" s="274"/>
      <c r="G9" s="272"/>
      <c r="H9" s="274"/>
      <c r="I9" s="274"/>
      <c r="J9" s="276"/>
      <c r="K9" s="285"/>
      <c r="L9" s="286"/>
      <c r="M9" s="279"/>
      <c r="N9" s="289"/>
      <c r="O9" s="289"/>
      <c r="P9" s="265"/>
      <c r="Q9" s="266"/>
      <c r="R9" s="267"/>
      <c r="S9" s="229"/>
      <c r="T9" s="258"/>
      <c r="U9" s="224"/>
      <c r="V9" s="225"/>
      <c r="W9" s="225"/>
      <c r="X9" s="368"/>
      <c r="Y9" s="368"/>
      <c r="Z9" s="368"/>
      <c r="AA9" s="368"/>
      <c r="AB9" s="368"/>
      <c r="AC9" s="368"/>
      <c r="AD9" s="368"/>
      <c r="AE9" s="368"/>
      <c r="AF9" s="368"/>
      <c r="AG9" s="368"/>
      <c r="AH9" s="368"/>
      <c r="AI9" s="368"/>
      <c r="AJ9" s="368"/>
      <c r="AK9" s="368"/>
      <c r="AL9" s="368"/>
      <c r="AM9" s="368"/>
      <c r="AN9" s="368"/>
      <c r="AO9" s="368"/>
    </row>
    <row r="10" spans="1:66" ht="15" customHeight="1" thickBot="1">
      <c r="A10" s="289"/>
      <c r="B10" s="289"/>
      <c r="C10" s="299"/>
      <c r="D10" s="299"/>
      <c r="E10" s="274"/>
      <c r="F10" s="274"/>
      <c r="G10" s="273"/>
      <c r="H10" s="274"/>
      <c r="I10" s="274"/>
      <c r="J10" s="277"/>
      <c r="K10" s="287"/>
      <c r="L10" s="288"/>
      <c r="M10" s="280"/>
      <c r="N10" s="289"/>
      <c r="O10" s="289"/>
      <c r="P10" s="268"/>
      <c r="Q10" s="269"/>
      <c r="R10" s="270"/>
      <c r="S10" s="230"/>
      <c r="T10" s="260"/>
      <c r="U10" s="226"/>
      <c r="V10" s="227"/>
      <c r="W10" s="227"/>
      <c r="X10" s="368"/>
      <c r="Y10" s="368"/>
      <c r="Z10" s="368"/>
      <c r="AA10" s="368"/>
      <c r="AB10" s="368"/>
      <c r="AC10" s="368"/>
      <c r="AD10" s="368"/>
      <c r="AE10" s="368"/>
      <c r="AF10" s="368"/>
      <c r="AG10" s="368"/>
      <c r="AH10" s="368"/>
      <c r="AI10" s="368"/>
      <c r="AJ10" s="368"/>
      <c r="AK10" s="368"/>
      <c r="AL10" s="368"/>
      <c r="AM10" s="368"/>
      <c r="AN10" s="368"/>
      <c r="AO10" s="368"/>
    </row>
    <row r="11" spans="1:66" s="12" customFormat="1" ht="39.950000000000003" customHeight="1" thickBot="1">
      <c r="A11" s="314" t="s">
        <v>20</v>
      </c>
      <c r="B11" s="314"/>
      <c r="C11" s="314"/>
      <c r="D11" s="314"/>
      <c r="E11" s="314"/>
      <c r="F11" s="315"/>
      <c r="G11" s="316" t="s">
        <v>21</v>
      </c>
      <c r="H11" s="317"/>
      <c r="I11" s="317"/>
      <c r="J11" s="317"/>
      <c r="K11" s="317"/>
      <c r="L11" s="317"/>
      <c r="M11" s="317"/>
      <c r="N11" s="317"/>
      <c r="O11" s="318"/>
      <c r="P11" s="91"/>
      <c r="Q11" s="91"/>
      <c r="R11" s="91"/>
      <c r="S11" s="91"/>
      <c r="T11" s="91"/>
      <c r="U11" s="91"/>
      <c r="V11" s="238" t="s">
        <v>22</v>
      </c>
      <c r="W11" s="239"/>
      <c r="X11" s="239"/>
      <c r="Y11" s="239"/>
      <c r="Z11" s="239"/>
      <c r="AA11" s="239"/>
      <c r="AB11" s="239"/>
      <c r="AC11" s="239"/>
      <c r="AD11" s="239"/>
      <c r="AE11" s="239"/>
      <c r="AF11" s="239"/>
      <c r="AG11" s="239"/>
      <c r="AH11" s="239"/>
      <c r="AI11" s="239"/>
      <c r="AJ11" s="239"/>
      <c r="AK11" s="240"/>
      <c r="AL11" s="238" t="s">
        <v>23</v>
      </c>
      <c r="AM11" s="239"/>
      <c r="AN11" s="239"/>
      <c r="AO11" s="239"/>
    </row>
    <row r="12" spans="1:66" ht="39" customHeight="1">
      <c r="A12" s="319" t="s">
        <v>24</v>
      </c>
      <c r="B12" s="321" t="s">
        <v>25</v>
      </c>
      <c r="C12" s="321" t="s">
        <v>26</v>
      </c>
      <c r="D12" s="321" t="s">
        <v>27</v>
      </c>
      <c r="E12" s="321" t="s">
        <v>28</v>
      </c>
      <c r="F12" s="321" t="s">
        <v>29</v>
      </c>
      <c r="G12" s="321" t="s">
        <v>844</v>
      </c>
      <c r="H12" s="321" t="s">
        <v>845</v>
      </c>
      <c r="I12" s="321" t="s">
        <v>846</v>
      </c>
      <c r="J12" s="321" t="s">
        <v>847</v>
      </c>
      <c r="K12" s="321" t="s">
        <v>848</v>
      </c>
      <c r="L12" s="321" t="s">
        <v>849</v>
      </c>
      <c r="M12" s="321" t="s">
        <v>850</v>
      </c>
      <c r="N12" s="321" t="s">
        <v>851</v>
      </c>
      <c r="O12" s="321" t="s">
        <v>852</v>
      </c>
      <c r="P12" s="321" t="s">
        <v>33</v>
      </c>
      <c r="Q12" s="321" t="s">
        <v>34</v>
      </c>
      <c r="R12" s="321" t="s">
        <v>35</v>
      </c>
      <c r="S12" s="321" t="s">
        <v>36</v>
      </c>
      <c r="T12" s="321" t="s">
        <v>37</v>
      </c>
      <c r="U12" s="321" t="s">
        <v>38</v>
      </c>
      <c r="V12" s="375" t="s">
        <v>39</v>
      </c>
      <c r="W12" s="377" t="s">
        <v>40</v>
      </c>
      <c r="X12" s="379" t="s">
        <v>41</v>
      </c>
      <c r="Y12" s="370" t="s">
        <v>42</v>
      </c>
      <c r="Z12" s="245" t="s">
        <v>43</v>
      </c>
      <c r="AA12" s="243" t="s">
        <v>44</v>
      </c>
      <c r="AB12" s="249" t="s">
        <v>45</v>
      </c>
      <c r="AC12" s="254" t="s">
        <v>46</v>
      </c>
      <c r="AD12" s="249" t="s">
        <v>47</v>
      </c>
      <c r="AE12" s="243" t="s">
        <v>47</v>
      </c>
      <c r="AF12" s="245" t="s">
        <v>48</v>
      </c>
      <c r="AG12" s="247" t="s">
        <v>49</v>
      </c>
      <c r="AH12" s="245" t="s">
        <v>50</v>
      </c>
      <c r="AI12" s="243" t="s">
        <v>51</v>
      </c>
      <c r="AJ12" s="249" t="s">
        <v>52</v>
      </c>
      <c r="AK12" s="241" t="s">
        <v>53</v>
      </c>
      <c r="AL12" s="237" t="s">
        <v>54</v>
      </c>
      <c r="AM12" s="237" t="s">
        <v>55</v>
      </c>
      <c r="AN12" s="237" t="s">
        <v>56</v>
      </c>
      <c r="AO12" s="237" t="s">
        <v>57</v>
      </c>
    </row>
    <row r="13" spans="1:66" ht="60" customHeight="1" thickBot="1">
      <c r="A13" s="320"/>
      <c r="B13" s="320"/>
      <c r="C13" s="320"/>
      <c r="D13" s="320"/>
      <c r="E13" s="320"/>
      <c r="F13" s="320"/>
      <c r="G13" s="320"/>
      <c r="H13" s="320"/>
      <c r="I13" s="320"/>
      <c r="J13" s="320"/>
      <c r="K13" s="320"/>
      <c r="L13" s="320"/>
      <c r="M13" s="320"/>
      <c r="N13" s="320"/>
      <c r="O13" s="320"/>
      <c r="P13" s="320"/>
      <c r="Q13" s="320"/>
      <c r="R13" s="320"/>
      <c r="S13" s="320"/>
      <c r="T13" s="320" t="s">
        <v>853</v>
      </c>
      <c r="U13" s="320" t="s">
        <v>854</v>
      </c>
      <c r="V13" s="376"/>
      <c r="W13" s="378"/>
      <c r="X13" s="380"/>
      <c r="Y13" s="371"/>
      <c r="Z13" s="372"/>
      <c r="AA13" s="373"/>
      <c r="AB13" s="374"/>
      <c r="AC13" s="255"/>
      <c r="AD13" s="250"/>
      <c r="AE13" s="244"/>
      <c r="AF13" s="246"/>
      <c r="AG13" s="248"/>
      <c r="AH13" s="246"/>
      <c r="AI13" s="244"/>
      <c r="AJ13" s="250"/>
      <c r="AK13" s="242"/>
      <c r="AL13" s="237"/>
      <c r="AM13" s="237"/>
      <c r="AN13" s="237"/>
      <c r="AO13" s="237"/>
    </row>
    <row r="14" spans="1:66" ht="39.950000000000003" customHeight="1" thickBot="1">
      <c r="A14" s="300">
        <v>1</v>
      </c>
      <c r="B14" s="300" t="s">
        <v>184</v>
      </c>
      <c r="C14" s="300" t="s">
        <v>80</v>
      </c>
      <c r="D14" s="300" t="s">
        <v>98</v>
      </c>
      <c r="E14" s="300" t="s">
        <v>99</v>
      </c>
      <c r="F14" s="310" t="s">
        <v>62</v>
      </c>
      <c r="G14" s="300" t="s">
        <v>855</v>
      </c>
      <c r="H14" s="300" t="s">
        <v>856</v>
      </c>
      <c r="I14" s="300" t="s">
        <v>857</v>
      </c>
      <c r="J14" s="300" t="s">
        <v>858</v>
      </c>
      <c r="K14" s="300" t="s">
        <v>858</v>
      </c>
      <c r="L14" s="300" t="s">
        <v>859</v>
      </c>
      <c r="M14" s="300" t="s">
        <v>860</v>
      </c>
      <c r="N14" s="300" t="s">
        <v>861</v>
      </c>
      <c r="O14" s="300" t="s">
        <v>860</v>
      </c>
      <c r="P14" s="300" t="s">
        <v>825</v>
      </c>
      <c r="Q14" s="302" t="s">
        <v>826</v>
      </c>
      <c r="R14" s="302" t="s">
        <v>827</v>
      </c>
      <c r="S14" s="302" t="s">
        <v>109</v>
      </c>
      <c r="T14" s="302" t="s">
        <v>862</v>
      </c>
      <c r="U14" s="302" t="s">
        <v>863</v>
      </c>
      <c r="V14" s="60" t="s">
        <v>70</v>
      </c>
      <c r="W14" s="53">
        <f>+(W15*X14)</f>
        <v>0</v>
      </c>
      <c r="X14" s="70">
        <f>SUM(Y14:AK14)</f>
        <v>0</v>
      </c>
      <c r="Y14" s="43"/>
      <c r="Z14" s="43"/>
      <c r="AA14" s="43"/>
      <c r="AB14" s="43"/>
      <c r="AC14" s="43"/>
      <c r="AD14" s="43"/>
      <c r="AE14" s="43"/>
      <c r="AF14" s="43"/>
      <c r="AG14" s="44"/>
      <c r="AH14" s="44"/>
      <c r="AI14" s="44"/>
      <c r="AJ14" s="44"/>
      <c r="AK14" s="44"/>
      <c r="AL14" s="233"/>
      <c r="AM14" s="235"/>
      <c r="AN14" s="231"/>
      <c r="AO14" s="231"/>
    </row>
    <row r="15" spans="1:66" ht="36.950000000000003" customHeight="1" thickBot="1">
      <c r="A15" s="301"/>
      <c r="B15" s="301"/>
      <c r="C15" s="301"/>
      <c r="D15" s="301"/>
      <c r="E15" s="301"/>
      <c r="F15" s="313"/>
      <c r="G15" s="301"/>
      <c r="H15" s="301"/>
      <c r="I15" s="301"/>
      <c r="J15" s="301"/>
      <c r="K15" s="301"/>
      <c r="L15" s="301"/>
      <c r="M15" s="301"/>
      <c r="N15" s="301"/>
      <c r="O15" s="301"/>
      <c r="P15" s="301"/>
      <c r="Q15" s="303"/>
      <c r="R15" s="303"/>
      <c r="S15" s="303"/>
      <c r="T15" s="303"/>
      <c r="U15" s="303"/>
      <c r="V15" s="60" t="s">
        <v>71</v>
      </c>
      <c r="W15" s="52">
        <f>100%/8</f>
        <v>0.125</v>
      </c>
      <c r="X15" s="70">
        <f>SUM(Y15:AK15)</f>
        <v>1</v>
      </c>
      <c r="Y15" s="42"/>
      <c r="Z15" s="42"/>
      <c r="AA15" s="42"/>
      <c r="AB15" s="42"/>
      <c r="AC15" s="42"/>
      <c r="AD15" s="42"/>
      <c r="AE15" s="42">
        <v>0.5</v>
      </c>
      <c r="AF15" s="42"/>
      <c r="AG15" s="42"/>
      <c r="AH15" s="42"/>
      <c r="AI15" s="42"/>
      <c r="AJ15" s="42"/>
      <c r="AK15" s="42">
        <v>0.5</v>
      </c>
      <c r="AL15" s="234"/>
      <c r="AM15" s="236"/>
      <c r="AN15" s="232"/>
      <c r="AO15" s="232"/>
    </row>
    <row r="16" spans="1:66" ht="36.950000000000003" customHeight="1" thickBot="1">
      <c r="A16" s="300">
        <v>2</v>
      </c>
      <c r="B16" s="300" t="s">
        <v>184</v>
      </c>
      <c r="C16" s="300" t="s">
        <v>59</v>
      </c>
      <c r="D16" s="300" t="s">
        <v>98</v>
      </c>
      <c r="E16" s="300" t="s">
        <v>99</v>
      </c>
      <c r="F16" s="310" t="s">
        <v>62</v>
      </c>
      <c r="G16" s="300" t="s">
        <v>864</v>
      </c>
      <c r="H16" s="300" t="s">
        <v>865</v>
      </c>
      <c r="I16" s="300" t="s">
        <v>866</v>
      </c>
      <c r="J16" s="300" t="s">
        <v>858</v>
      </c>
      <c r="K16" s="300" t="s">
        <v>858</v>
      </c>
      <c r="L16" s="300" t="s">
        <v>859</v>
      </c>
      <c r="M16" s="300" t="s">
        <v>860</v>
      </c>
      <c r="N16" s="300" t="s">
        <v>861</v>
      </c>
      <c r="O16" s="300" t="s">
        <v>860</v>
      </c>
      <c r="P16" s="300" t="s">
        <v>825</v>
      </c>
      <c r="Q16" s="302" t="s">
        <v>826</v>
      </c>
      <c r="R16" s="302" t="s">
        <v>827</v>
      </c>
      <c r="S16" s="302" t="s">
        <v>109</v>
      </c>
      <c r="T16" s="302" t="s">
        <v>862</v>
      </c>
      <c r="U16" s="302" t="s">
        <v>867</v>
      </c>
      <c r="V16" s="60" t="s">
        <v>70</v>
      </c>
      <c r="W16" s="53">
        <f>+(W17*X16)</f>
        <v>0</v>
      </c>
      <c r="X16" s="70">
        <f>SUM(Y16:AK16)</f>
        <v>0</v>
      </c>
      <c r="Y16" s="43"/>
      <c r="Z16" s="43"/>
      <c r="AA16" s="43"/>
      <c r="AB16" s="43"/>
      <c r="AC16" s="43"/>
      <c r="AD16" s="43"/>
      <c r="AE16" s="43"/>
      <c r="AF16" s="43"/>
      <c r="AG16" s="44"/>
      <c r="AH16" s="44"/>
      <c r="AI16" s="44"/>
      <c r="AJ16" s="44"/>
      <c r="AK16" s="44"/>
      <c r="AL16" s="233"/>
      <c r="AM16" s="235"/>
      <c r="AN16" s="231"/>
      <c r="AO16" s="231"/>
    </row>
    <row r="17" spans="1:41" ht="36.950000000000003" customHeight="1" thickBot="1">
      <c r="A17" s="301"/>
      <c r="B17" s="301"/>
      <c r="C17" s="301"/>
      <c r="D17" s="301"/>
      <c r="E17" s="301"/>
      <c r="F17" s="311"/>
      <c r="G17" s="301"/>
      <c r="H17" s="301"/>
      <c r="I17" s="301"/>
      <c r="J17" s="301"/>
      <c r="K17" s="301"/>
      <c r="L17" s="301"/>
      <c r="M17" s="301"/>
      <c r="N17" s="301"/>
      <c r="O17" s="301"/>
      <c r="P17" s="301"/>
      <c r="Q17" s="303"/>
      <c r="R17" s="303"/>
      <c r="S17" s="303"/>
      <c r="T17" s="303"/>
      <c r="U17" s="303"/>
      <c r="V17" s="60" t="s">
        <v>71</v>
      </c>
      <c r="W17" s="52">
        <f>100%/8</f>
        <v>0.125</v>
      </c>
      <c r="X17" s="70">
        <f>SUM(Y17:AK17)</f>
        <v>1</v>
      </c>
      <c r="Y17" s="42"/>
      <c r="Z17" s="42"/>
      <c r="AA17" s="42"/>
      <c r="AB17" s="42"/>
      <c r="AC17" s="42"/>
      <c r="AD17" s="42"/>
      <c r="AE17" s="42">
        <v>0.5</v>
      </c>
      <c r="AF17" s="42"/>
      <c r="AG17" s="42"/>
      <c r="AH17" s="42"/>
      <c r="AI17" s="42"/>
      <c r="AJ17" s="42"/>
      <c r="AK17" s="42">
        <v>0.5</v>
      </c>
      <c r="AL17" s="234"/>
      <c r="AM17" s="236"/>
      <c r="AN17" s="232"/>
      <c r="AO17" s="232"/>
    </row>
    <row r="18" spans="1:41" ht="36.950000000000003" customHeight="1" thickBot="1">
      <c r="A18" s="300">
        <v>3</v>
      </c>
      <c r="B18" s="300" t="s">
        <v>184</v>
      </c>
      <c r="C18" s="300" t="s">
        <v>91</v>
      </c>
      <c r="D18" s="300" t="s">
        <v>98</v>
      </c>
      <c r="E18" s="300" t="s">
        <v>99</v>
      </c>
      <c r="F18" s="310" t="s">
        <v>62</v>
      </c>
      <c r="G18" s="300" t="s">
        <v>855</v>
      </c>
      <c r="H18" s="300" t="s">
        <v>868</v>
      </c>
      <c r="I18" s="300" t="s">
        <v>869</v>
      </c>
      <c r="J18" s="300" t="s">
        <v>858</v>
      </c>
      <c r="K18" s="300" t="s">
        <v>858</v>
      </c>
      <c r="L18" s="300" t="s">
        <v>859</v>
      </c>
      <c r="M18" s="300" t="s">
        <v>860</v>
      </c>
      <c r="N18" s="300" t="s">
        <v>861</v>
      </c>
      <c r="O18" s="300" t="s">
        <v>860</v>
      </c>
      <c r="P18" s="300" t="s">
        <v>825</v>
      </c>
      <c r="Q18" s="302" t="s">
        <v>826</v>
      </c>
      <c r="R18" s="302" t="s">
        <v>827</v>
      </c>
      <c r="S18" s="302" t="s">
        <v>109</v>
      </c>
      <c r="T18" s="302" t="s">
        <v>870</v>
      </c>
      <c r="U18" s="302" t="s">
        <v>863</v>
      </c>
      <c r="V18" s="60" t="s">
        <v>70</v>
      </c>
      <c r="W18" s="53">
        <f>+(W19*X18)</f>
        <v>0</v>
      </c>
      <c r="X18" s="70">
        <f>SUM(Y18:AK18)</f>
        <v>0</v>
      </c>
      <c r="Y18" s="43"/>
      <c r="Z18" s="43"/>
      <c r="AA18" s="43"/>
      <c r="AB18" s="43"/>
      <c r="AC18" s="43"/>
      <c r="AD18" s="43"/>
      <c r="AE18" s="43"/>
      <c r="AF18" s="43"/>
      <c r="AG18" s="44"/>
      <c r="AH18" s="44"/>
      <c r="AI18" s="44"/>
      <c r="AJ18" s="44"/>
      <c r="AK18" s="44"/>
      <c r="AL18" s="233"/>
      <c r="AM18" s="235"/>
      <c r="AN18" s="231"/>
      <c r="AO18" s="231"/>
    </row>
    <row r="19" spans="1:41" ht="36.950000000000003" customHeight="1" thickBot="1">
      <c r="A19" s="301"/>
      <c r="B19" s="301"/>
      <c r="C19" s="301"/>
      <c r="D19" s="301"/>
      <c r="E19" s="301"/>
      <c r="F19" s="311"/>
      <c r="G19" s="301"/>
      <c r="H19" s="301"/>
      <c r="I19" s="301"/>
      <c r="J19" s="301"/>
      <c r="K19" s="301"/>
      <c r="L19" s="301"/>
      <c r="M19" s="301"/>
      <c r="N19" s="301"/>
      <c r="O19" s="301"/>
      <c r="P19" s="301"/>
      <c r="Q19" s="303"/>
      <c r="R19" s="303"/>
      <c r="S19" s="303"/>
      <c r="T19" s="303"/>
      <c r="U19" s="303"/>
      <c r="V19" s="60" t="s">
        <v>71</v>
      </c>
      <c r="W19" s="52">
        <f>100%/8</f>
        <v>0.125</v>
      </c>
      <c r="X19" s="70">
        <f>SUM(Y19:AK19)</f>
        <v>1</v>
      </c>
      <c r="Y19" s="42"/>
      <c r="Z19" s="42"/>
      <c r="AA19" s="42"/>
      <c r="AB19" s="42"/>
      <c r="AC19" s="42"/>
      <c r="AD19" s="42"/>
      <c r="AE19" s="42">
        <v>0.5</v>
      </c>
      <c r="AF19" s="42"/>
      <c r="AG19" s="42"/>
      <c r="AH19" s="42"/>
      <c r="AI19" s="42"/>
      <c r="AJ19" s="42"/>
      <c r="AK19" s="42">
        <v>0.5</v>
      </c>
      <c r="AL19" s="234"/>
      <c r="AM19" s="236"/>
      <c r="AN19" s="232"/>
      <c r="AO19" s="232"/>
    </row>
    <row r="20" spans="1:41" ht="36.950000000000003" customHeight="1" thickBot="1">
      <c r="A20" s="300">
        <v>4</v>
      </c>
      <c r="B20" s="300" t="s">
        <v>184</v>
      </c>
      <c r="C20" s="300" t="s">
        <v>97</v>
      </c>
      <c r="D20" s="300" t="s">
        <v>98</v>
      </c>
      <c r="E20" s="300" t="s">
        <v>99</v>
      </c>
      <c r="F20" s="310" t="s">
        <v>62</v>
      </c>
      <c r="G20" s="300" t="s">
        <v>871</v>
      </c>
      <c r="H20" s="300" t="s">
        <v>872</v>
      </c>
      <c r="I20" s="300" t="s">
        <v>873</v>
      </c>
      <c r="J20" s="300" t="s">
        <v>858</v>
      </c>
      <c r="K20" s="300" t="s">
        <v>858</v>
      </c>
      <c r="L20" s="300" t="s">
        <v>874</v>
      </c>
      <c r="M20" s="300" t="s">
        <v>875</v>
      </c>
      <c r="N20" s="300" t="s">
        <v>876</v>
      </c>
      <c r="O20" s="300" t="s">
        <v>875</v>
      </c>
      <c r="P20" s="300" t="s">
        <v>825</v>
      </c>
      <c r="Q20" s="302" t="s">
        <v>877</v>
      </c>
      <c r="R20" s="302" t="s">
        <v>827</v>
      </c>
      <c r="S20" s="302" t="s">
        <v>109</v>
      </c>
      <c r="T20" s="302" t="s">
        <v>878</v>
      </c>
      <c r="U20" s="302" t="s">
        <v>867</v>
      </c>
      <c r="V20" s="60" t="s">
        <v>70</v>
      </c>
      <c r="W20" s="53">
        <f>+(W21*X20)</f>
        <v>0</v>
      </c>
      <c r="X20" s="70">
        <f>SUM(Y20:AK20)</f>
        <v>0</v>
      </c>
      <c r="Y20" s="43"/>
      <c r="Z20" s="43"/>
      <c r="AA20" s="43"/>
      <c r="AB20" s="43"/>
      <c r="AC20" s="43"/>
      <c r="AD20" s="43"/>
      <c r="AE20" s="43"/>
      <c r="AF20" s="43"/>
      <c r="AG20" s="44"/>
      <c r="AH20" s="44"/>
      <c r="AI20" s="44"/>
      <c r="AJ20" s="44"/>
      <c r="AK20" s="44"/>
      <c r="AL20" s="233"/>
      <c r="AM20" s="235"/>
      <c r="AN20" s="231"/>
      <c r="AO20" s="231"/>
    </row>
    <row r="21" spans="1:41" ht="36.950000000000003" customHeight="1" thickBot="1">
      <c r="A21" s="301"/>
      <c r="B21" s="301"/>
      <c r="C21" s="301"/>
      <c r="D21" s="301"/>
      <c r="E21" s="301"/>
      <c r="F21" s="311"/>
      <c r="G21" s="301"/>
      <c r="H21" s="301"/>
      <c r="I21" s="301"/>
      <c r="J21" s="301"/>
      <c r="K21" s="301"/>
      <c r="L21" s="301"/>
      <c r="M21" s="301"/>
      <c r="N21" s="301"/>
      <c r="O21" s="301"/>
      <c r="P21" s="301"/>
      <c r="Q21" s="303"/>
      <c r="R21" s="303"/>
      <c r="S21" s="303"/>
      <c r="T21" s="303"/>
      <c r="U21" s="303"/>
      <c r="V21" s="60" t="s">
        <v>71</v>
      </c>
      <c r="W21" s="52">
        <f>100%/8</f>
        <v>0.125</v>
      </c>
      <c r="X21" s="70">
        <f>SUM(Y21:AK21)</f>
        <v>1</v>
      </c>
      <c r="Y21" s="42"/>
      <c r="Z21" s="42"/>
      <c r="AA21" s="42"/>
      <c r="AB21" s="42"/>
      <c r="AC21" s="42"/>
      <c r="AD21" s="42"/>
      <c r="AE21" s="42">
        <v>0.5</v>
      </c>
      <c r="AF21" s="42"/>
      <c r="AG21" s="42"/>
      <c r="AH21" s="42"/>
      <c r="AI21" s="42"/>
      <c r="AJ21" s="42"/>
      <c r="AK21" s="42">
        <v>0.5</v>
      </c>
      <c r="AL21" s="234"/>
      <c r="AM21" s="236"/>
      <c r="AN21" s="232"/>
      <c r="AO21" s="232"/>
    </row>
    <row r="22" spans="1:41" ht="36.950000000000003" customHeight="1" thickBot="1">
      <c r="A22" s="300">
        <v>5</v>
      </c>
      <c r="B22" s="300" t="s">
        <v>184</v>
      </c>
      <c r="C22" s="300" t="s">
        <v>165</v>
      </c>
      <c r="D22" s="300" t="s">
        <v>98</v>
      </c>
      <c r="E22" s="300" t="s">
        <v>99</v>
      </c>
      <c r="F22" s="310" t="s">
        <v>62</v>
      </c>
      <c r="G22" s="300" t="s">
        <v>855</v>
      </c>
      <c r="H22" s="300" t="s">
        <v>879</v>
      </c>
      <c r="I22" s="300" t="s">
        <v>880</v>
      </c>
      <c r="J22" s="300" t="s">
        <v>858</v>
      </c>
      <c r="K22" s="300" t="s">
        <v>858</v>
      </c>
      <c r="L22" s="300" t="s">
        <v>859</v>
      </c>
      <c r="M22" s="300" t="s">
        <v>860</v>
      </c>
      <c r="N22" s="300" t="s">
        <v>861</v>
      </c>
      <c r="O22" s="300" t="s">
        <v>860</v>
      </c>
      <c r="P22" s="300" t="s">
        <v>825</v>
      </c>
      <c r="Q22" s="302" t="s">
        <v>826</v>
      </c>
      <c r="R22" s="302" t="s">
        <v>827</v>
      </c>
      <c r="S22" s="302" t="s">
        <v>109</v>
      </c>
      <c r="T22" s="300" t="s">
        <v>881</v>
      </c>
      <c r="U22" s="300" t="s">
        <v>882</v>
      </c>
      <c r="V22" s="60" t="s">
        <v>70</v>
      </c>
      <c r="W22" s="53">
        <f>+(W23*X22)</f>
        <v>0</v>
      </c>
      <c r="X22" s="70">
        <f>SUM(Y22:AK22)</f>
        <v>0</v>
      </c>
      <c r="Y22" s="45"/>
      <c r="Z22" s="45"/>
      <c r="AA22" s="45"/>
      <c r="AB22" s="43"/>
      <c r="AC22" s="43"/>
      <c r="AD22" s="43"/>
      <c r="AE22" s="43"/>
      <c r="AF22" s="43"/>
      <c r="AG22" s="44"/>
      <c r="AH22" s="44"/>
      <c r="AI22" s="44"/>
      <c r="AJ22" s="44"/>
      <c r="AK22" s="44"/>
      <c r="AL22" s="233"/>
      <c r="AM22" s="235"/>
      <c r="AN22" s="231"/>
      <c r="AO22" s="231"/>
    </row>
    <row r="23" spans="1:41" ht="36.950000000000003" customHeight="1" thickBot="1">
      <c r="A23" s="301"/>
      <c r="B23" s="301"/>
      <c r="C23" s="301"/>
      <c r="D23" s="301"/>
      <c r="E23" s="301"/>
      <c r="F23" s="311"/>
      <c r="G23" s="301"/>
      <c r="H23" s="301"/>
      <c r="I23" s="301"/>
      <c r="J23" s="301"/>
      <c r="K23" s="301"/>
      <c r="L23" s="301"/>
      <c r="M23" s="301"/>
      <c r="N23" s="301"/>
      <c r="O23" s="301"/>
      <c r="P23" s="301"/>
      <c r="Q23" s="303"/>
      <c r="R23" s="303"/>
      <c r="S23" s="303"/>
      <c r="T23" s="301"/>
      <c r="U23" s="301"/>
      <c r="V23" s="60" t="s">
        <v>71</v>
      </c>
      <c r="W23" s="52">
        <f>100%/8</f>
        <v>0.125</v>
      </c>
      <c r="X23" s="70">
        <f>SUM(Y23:AK23)</f>
        <v>1</v>
      </c>
      <c r="Y23" s="42"/>
      <c r="Z23" s="42"/>
      <c r="AA23" s="42"/>
      <c r="AB23" s="42"/>
      <c r="AC23" s="42"/>
      <c r="AD23" s="42"/>
      <c r="AE23" s="42">
        <v>0.5</v>
      </c>
      <c r="AF23" s="42"/>
      <c r="AG23" s="42"/>
      <c r="AH23" s="42"/>
      <c r="AI23" s="42"/>
      <c r="AJ23" s="42"/>
      <c r="AK23" s="42">
        <v>0.5</v>
      </c>
      <c r="AL23" s="234"/>
      <c r="AM23" s="236"/>
      <c r="AN23" s="232"/>
      <c r="AO23" s="232"/>
    </row>
    <row r="24" spans="1:41" ht="36.950000000000003" customHeight="1" thickBot="1">
      <c r="A24" s="300">
        <v>6</v>
      </c>
      <c r="B24" s="300" t="s">
        <v>184</v>
      </c>
      <c r="C24" s="300" t="s">
        <v>97</v>
      </c>
      <c r="D24" s="300" t="s">
        <v>98</v>
      </c>
      <c r="E24" s="300" t="s">
        <v>99</v>
      </c>
      <c r="F24" s="310" t="s">
        <v>62</v>
      </c>
      <c r="G24" s="300" t="s">
        <v>864</v>
      </c>
      <c r="H24" s="300" t="s">
        <v>883</v>
      </c>
      <c r="I24" s="300" t="s">
        <v>97</v>
      </c>
      <c r="J24" s="300" t="s">
        <v>858</v>
      </c>
      <c r="K24" s="300" t="s">
        <v>858</v>
      </c>
      <c r="L24" s="300" t="s">
        <v>859</v>
      </c>
      <c r="M24" s="300" t="s">
        <v>860</v>
      </c>
      <c r="N24" s="300" t="s">
        <v>861</v>
      </c>
      <c r="O24" s="300" t="s">
        <v>860</v>
      </c>
      <c r="P24" s="300" t="s">
        <v>825</v>
      </c>
      <c r="Q24" s="302" t="s">
        <v>826</v>
      </c>
      <c r="R24" s="302" t="s">
        <v>827</v>
      </c>
      <c r="S24" s="302" t="s">
        <v>109</v>
      </c>
      <c r="T24" s="300" t="s">
        <v>881</v>
      </c>
      <c r="U24" s="302" t="s">
        <v>867</v>
      </c>
      <c r="V24" s="60" t="s">
        <v>70</v>
      </c>
      <c r="W24" s="53">
        <f>+(W25*X24)</f>
        <v>0</v>
      </c>
      <c r="X24" s="70">
        <f>SUM(Y24:AK24)</f>
        <v>0</v>
      </c>
      <c r="Y24" s="59"/>
      <c r="Z24" s="59"/>
      <c r="AA24" s="59"/>
      <c r="AB24" s="43"/>
      <c r="AC24" s="43"/>
      <c r="AD24" s="43"/>
      <c r="AE24" s="43"/>
      <c r="AF24" s="43"/>
      <c r="AG24" s="44"/>
      <c r="AH24" s="44"/>
      <c r="AI24" s="44"/>
      <c r="AJ24" s="44"/>
      <c r="AK24" s="44"/>
      <c r="AL24" s="233"/>
      <c r="AM24" s="235"/>
      <c r="AN24" s="231"/>
      <c r="AO24" s="231"/>
    </row>
    <row r="25" spans="1:41" ht="39.950000000000003" customHeight="1" thickBot="1">
      <c r="A25" s="301"/>
      <c r="B25" s="301"/>
      <c r="C25" s="301"/>
      <c r="D25" s="301"/>
      <c r="E25" s="301"/>
      <c r="F25" s="311"/>
      <c r="G25" s="301"/>
      <c r="H25" s="301"/>
      <c r="I25" s="301"/>
      <c r="J25" s="301"/>
      <c r="K25" s="301"/>
      <c r="L25" s="301"/>
      <c r="M25" s="301"/>
      <c r="N25" s="301"/>
      <c r="O25" s="301"/>
      <c r="P25" s="301"/>
      <c r="Q25" s="303"/>
      <c r="R25" s="303"/>
      <c r="S25" s="303"/>
      <c r="T25" s="301"/>
      <c r="U25" s="303"/>
      <c r="V25" s="60" t="s">
        <v>71</v>
      </c>
      <c r="W25" s="52">
        <f>100%/8</f>
        <v>0.125</v>
      </c>
      <c r="X25" s="70">
        <f>SUM(Y25:AK25)</f>
        <v>1</v>
      </c>
      <c r="Y25" s="42"/>
      <c r="Z25" s="42"/>
      <c r="AA25" s="42"/>
      <c r="AB25" s="42"/>
      <c r="AC25" s="42"/>
      <c r="AD25" s="42"/>
      <c r="AE25" s="42">
        <v>0.5</v>
      </c>
      <c r="AF25" s="42"/>
      <c r="AG25" s="42"/>
      <c r="AH25" s="42"/>
      <c r="AI25" s="42"/>
      <c r="AJ25" s="42"/>
      <c r="AK25" s="42">
        <v>0.5</v>
      </c>
      <c r="AL25" s="234"/>
      <c r="AM25" s="236"/>
      <c r="AN25" s="232"/>
      <c r="AO25" s="232"/>
    </row>
    <row r="26" spans="1:41" ht="36.950000000000003" customHeight="1" thickBot="1">
      <c r="A26" s="300">
        <v>7</v>
      </c>
      <c r="B26" s="300" t="s">
        <v>184</v>
      </c>
      <c r="C26" s="300" t="s">
        <v>97</v>
      </c>
      <c r="D26" s="300" t="s">
        <v>98</v>
      </c>
      <c r="E26" s="300" t="s">
        <v>99</v>
      </c>
      <c r="F26" s="307" t="s">
        <v>62</v>
      </c>
      <c r="G26" s="300" t="s">
        <v>871</v>
      </c>
      <c r="H26" s="300" t="s">
        <v>884</v>
      </c>
      <c r="I26" s="300" t="s">
        <v>885</v>
      </c>
      <c r="J26" s="300" t="s">
        <v>858</v>
      </c>
      <c r="K26" s="300" t="s">
        <v>858</v>
      </c>
      <c r="L26" s="300" t="s">
        <v>859</v>
      </c>
      <c r="M26" s="300" t="s">
        <v>860</v>
      </c>
      <c r="N26" s="300" t="s">
        <v>861</v>
      </c>
      <c r="O26" s="300" t="s">
        <v>860</v>
      </c>
      <c r="P26" s="300" t="s">
        <v>825</v>
      </c>
      <c r="Q26" s="302" t="s">
        <v>826</v>
      </c>
      <c r="R26" s="302" t="s">
        <v>827</v>
      </c>
      <c r="S26" s="302" t="s">
        <v>109</v>
      </c>
      <c r="T26" s="300" t="s">
        <v>886</v>
      </c>
      <c r="U26" s="300" t="s">
        <v>886</v>
      </c>
      <c r="V26" s="60" t="s">
        <v>70</v>
      </c>
      <c r="W26" s="53">
        <f>+(W27*X26)</f>
        <v>0</v>
      </c>
      <c r="X26" s="70">
        <f>SUM(Y26:AK26)</f>
        <v>0</v>
      </c>
      <c r="Y26" s="45"/>
      <c r="Z26" s="45"/>
      <c r="AA26" s="45"/>
      <c r="AB26" s="45"/>
      <c r="AC26" s="45"/>
      <c r="AD26" s="45"/>
      <c r="AE26" s="45"/>
      <c r="AF26" s="45"/>
      <c r="AG26" s="45"/>
      <c r="AH26" s="45"/>
      <c r="AI26" s="45"/>
      <c r="AJ26" s="45"/>
      <c r="AK26" s="45"/>
      <c r="AL26" s="233"/>
      <c r="AM26" s="235"/>
      <c r="AN26" s="231"/>
      <c r="AO26" s="231"/>
    </row>
    <row r="27" spans="1:41" ht="36.950000000000003" customHeight="1" thickBot="1">
      <c r="A27" s="301"/>
      <c r="B27" s="301"/>
      <c r="C27" s="301"/>
      <c r="D27" s="301"/>
      <c r="E27" s="301"/>
      <c r="F27" s="307"/>
      <c r="G27" s="301"/>
      <c r="H27" s="301"/>
      <c r="I27" s="301"/>
      <c r="J27" s="301"/>
      <c r="K27" s="301"/>
      <c r="L27" s="301"/>
      <c r="M27" s="301"/>
      <c r="N27" s="301"/>
      <c r="O27" s="301"/>
      <c r="P27" s="301"/>
      <c r="Q27" s="303"/>
      <c r="R27" s="303"/>
      <c r="S27" s="303"/>
      <c r="T27" s="301"/>
      <c r="U27" s="301"/>
      <c r="V27" s="60" t="s">
        <v>71</v>
      </c>
      <c r="W27" s="52">
        <f>100%/8</f>
        <v>0.125</v>
      </c>
      <c r="X27" s="70">
        <f>SUM(Y27:AK27)</f>
        <v>1</v>
      </c>
      <c r="Y27" s="42"/>
      <c r="Z27" s="42"/>
      <c r="AA27" s="42"/>
      <c r="AB27" s="42"/>
      <c r="AC27" s="42"/>
      <c r="AD27" s="42"/>
      <c r="AE27" s="42">
        <v>0.5</v>
      </c>
      <c r="AF27" s="42"/>
      <c r="AG27" s="42"/>
      <c r="AH27" s="42"/>
      <c r="AI27" s="42"/>
      <c r="AJ27" s="42"/>
      <c r="AK27" s="42">
        <v>0.5</v>
      </c>
      <c r="AL27" s="234"/>
      <c r="AM27" s="236"/>
      <c r="AN27" s="232"/>
      <c r="AO27" s="232"/>
    </row>
    <row r="28" spans="1:41" ht="36.950000000000003" customHeight="1" thickBot="1">
      <c r="A28" s="300">
        <v>8</v>
      </c>
      <c r="B28" s="300" t="s">
        <v>184</v>
      </c>
      <c r="C28" s="300" t="s">
        <v>97</v>
      </c>
      <c r="D28" s="300" t="s">
        <v>98</v>
      </c>
      <c r="E28" s="300" t="s">
        <v>99</v>
      </c>
      <c r="F28" s="307" t="s">
        <v>62</v>
      </c>
      <c r="G28" s="300" t="s">
        <v>855</v>
      </c>
      <c r="H28" s="328" t="s">
        <v>887</v>
      </c>
      <c r="I28" s="300" t="s">
        <v>888</v>
      </c>
      <c r="J28" s="300" t="s">
        <v>889</v>
      </c>
      <c r="K28" s="300" t="s">
        <v>858</v>
      </c>
      <c r="L28" s="300" t="s">
        <v>859</v>
      </c>
      <c r="M28" s="300" t="s">
        <v>860</v>
      </c>
      <c r="N28" s="300" t="s">
        <v>861</v>
      </c>
      <c r="O28" s="300" t="s">
        <v>860</v>
      </c>
      <c r="P28" s="300" t="s">
        <v>825</v>
      </c>
      <c r="Q28" s="302" t="s">
        <v>890</v>
      </c>
      <c r="R28" s="302" t="s">
        <v>827</v>
      </c>
      <c r="S28" s="302" t="s">
        <v>109</v>
      </c>
      <c r="T28" s="300" t="s">
        <v>886</v>
      </c>
      <c r="U28" s="300" t="s">
        <v>886</v>
      </c>
      <c r="V28" s="60" t="s">
        <v>70</v>
      </c>
      <c r="W28" s="53">
        <f>+(W29*X28)</f>
        <v>0</v>
      </c>
      <c r="X28" s="70">
        <f>SUM(Y28:AK28)</f>
        <v>0</v>
      </c>
      <c r="Y28" s="45"/>
      <c r="Z28" s="45"/>
      <c r="AA28" s="45"/>
      <c r="AB28" s="45"/>
      <c r="AC28" s="45"/>
      <c r="AD28" s="45"/>
      <c r="AE28" s="45"/>
      <c r="AF28" s="45"/>
      <c r="AG28" s="45"/>
      <c r="AH28" s="45"/>
      <c r="AI28" s="45"/>
      <c r="AJ28" s="45"/>
      <c r="AK28" s="45"/>
      <c r="AL28" s="233"/>
      <c r="AM28" s="235"/>
      <c r="AN28" s="231"/>
      <c r="AO28" s="231"/>
    </row>
    <row r="29" spans="1:41" ht="36.950000000000003" customHeight="1">
      <c r="A29" s="301"/>
      <c r="B29" s="301"/>
      <c r="C29" s="301"/>
      <c r="D29" s="301"/>
      <c r="E29" s="301"/>
      <c r="F29" s="307"/>
      <c r="G29" s="301"/>
      <c r="H29" s="369"/>
      <c r="I29" s="301"/>
      <c r="J29" s="301"/>
      <c r="K29" s="301"/>
      <c r="L29" s="301"/>
      <c r="M29" s="301"/>
      <c r="N29" s="301"/>
      <c r="O29" s="301"/>
      <c r="P29" s="301"/>
      <c r="Q29" s="303"/>
      <c r="R29" s="303"/>
      <c r="S29" s="303"/>
      <c r="T29" s="301"/>
      <c r="U29" s="301"/>
      <c r="V29" s="60" t="s">
        <v>71</v>
      </c>
      <c r="W29" s="52">
        <f>100%/8</f>
        <v>0.125</v>
      </c>
      <c r="X29" s="70">
        <f>SUM(Y29:AK29)</f>
        <v>1</v>
      </c>
      <c r="Y29" s="42"/>
      <c r="Z29" s="42"/>
      <c r="AA29" s="42"/>
      <c r="AB29" s="42"/>
      <c r="AC29" s="42"/>
      <c r="AD29" s="42"/>
      <c r="AE29" s="42">
        <v>0.5</v>
      </c>
      <c r="AF29" s="42"/>
      <c r="AG29" s="42"/>
      <c r="AH29" s="42"/>
      <c r="AI29" s="42"/>
      <c r="AJ29" s="42"/>
      <c r="AK29" s="42">
        <v>0.5</v>
      </c>
      <c r="AL29" s="234"/>
      <c r="AM29" s="236"/>
      <c r="AN29" s="232"/>
      <c r="AO29" s="232"/>
    </row>
    <row r="30" spans="1:41" s="13" customFormat="1" ht="30" hidden="1" customHeight="1">
      <c r="D30" s="332"/>
      <c r="E30" s="332"/>
      <c r="F30" s="21"/>
      <c r="H30" s="369"/>
      <c r="I30" s="15" t="s">
        <v>112</v>
      </c>
      <c r="J30" s="17"/>
      <c r="K30" s="34"/>
      <c r="L30" s="34"/>
      <c r="M30" s="34"/>
      <c r="N30" s="34"/>
      <c r="O30" s="34"/>
      <c r="P30" s="34"/>
      <c r="Q30" s="34"/>
      <c r="R30" s="34"/>
      <c r="S30" s="34"/>
      <c r="T30" s="34"/>
      <c r="U30" s="34"/>
      <c r="V30" s="34">
        <f>SUM(V29:V29)</f>
        <v>0</v>
      </c>
      <c r="W30" s="37"/>
      <c r="X30" s="34"/>
      <c r="Y30" s="34"/>
      <c r="Z30" s="27">
        <f>SUM(W29:Z29)</f>
        <v>1.125</v>
      </c>
      <c r="AA30" s="27"/>
      <c r="AB30" s="27"/>
      <c r="AC30" s="27"/>
      <c r="AD30" s="27">
        <f>SUM(AA29:AD29)</f>
        <v>0</v>
      </c>
      <c r="AE30" s="27"/>
      <c r="AF30" s="27"/>
      <c r="AG30" s="27"/>
      <c r="AH30" s="27">
        <f>SUM(AE29:AH29)</f>
        <v>0.5</v>
      </c>
      <c r="AI30" s="39"/>
      <c r="AJ30" s="27"/>
      <c r="AK30" s="62"/>
    </row>
    <row r="31" spans="1:41" s="13" customFormat="1" ht="30" hidden="1" customHeight="1">
      <c r="H31" s="369"/>
      <c r="I31" s="15" t="s">
        <v>113</v>
      </c>
      <c r="J31" s="14"/>
      <c r="K31" s="34"/>
      <c r="L31" s="34"/>
      <c r="M31" s="34"/>
      <c r="N31" s="34"/>
      <c r="O31" s="34"/>
      <c r="P31" s="34"/>
      <c r="Q31" s="34"/>
      <c r="R31" s="34"/>
      <c r="S31" s="34"/>
      <c r="T31" s="34"/>
      <c r="U31" s="34"/>
      <c r="V31" s="34" t="e">
        <f>+#REF!+V30</f>
        <v>#REF!</v>
      </c>
      <c r="W31" s="37"/>
      <c r="X31" s="34"/>
      <c r="Y31" s="34"/>
      <c r="Z31" s="26"/>
      <c r="AA31" s="27"/>
      <c r="AB31" s="27"/>
      <c r="AC31" s="27"/>
      <c r="AD31" s="27"/>
      <c r="AE31" s="27"/>
      <c r="AF31" s="27"/>
      <c r="AG31" s="27"/>
      <c r="AH31" s="27">
        <f>+Z30+AD30+AH30</f>
        <v>1.625</v>
      </c>
      <c r="AI31" s="39"/>
      <c r="AJ31" s="27"/>
      <c r="AK31" s="62"/>
    </row>
    <row r="32" spans="1:41" s="13" customFormat="1" ht="30" hidden="1" customHeight="1">
      <c r="H32" s="330"/>
      <c r="I32" s="18" t="s">
        <v>114</v>
      </c>
      <c r="J32" s="19"/>
      <c r="K32" s="35"/>
      <c r="L32" s="35"/>
      <c r="M32" s="35"/>
      <c r="N32" s="35"/>
      <c r="O32" s="35"/>
      <c r="P32" s="35"/>
      <c r="Q32" s="35"/>
      <c r="R32" s="35"/>
      <c r="S32" s="35"/>
      <c r="T32" s="35"/>
      <c r="U32" s="35"/>
      <c r="V32" s="35"/>
      <c r="W32" s="38"/>
      <c r="X32" s="35"/>
      <c r="Y32" s="35"/>
      <c r="Z32" s="28"/>
      <c r="AA32" s="29"/>
      <c r="AB32" s="29"/>
      <c r="AC32" s="29"/>
      <c r="AD32" s="29"/>
      <c r="AE32" s="29"/>
      <c r="AF32" s="29"/>
      <c r="AG32" s="29"/>
      <c r="AH32" s="29" t="e">
        <f>+V31+AH31</f>
        <v>#REF!</v>
      </c>
      <c r="AI32" s="40"/>
      <c r="AJ32" s="29"/>
      <c r="AK32" s="62"/>
    </row>
    <row r="33" spans="8:37" s="13" customFormat="1" ht="30" hidden="1" customHeight="1">
      <c r="H33" s="331" t="s">
        <v>115</v>
      </c>
      <c r="I33" s="15" t="s">
        <v>116</v>
      </c>
      <c r="J33" s="23" t="e">
        <f>SUM(O33:AJ33)</f>
        <v>#REF!</v>
      </c>
      <c r="K33" s="34"/>
      <c r="L33" s="34"/>
      <c r="M33" s="34"/>
      <c r="N33" s="34"/>
      <c r="O33" s="34" t="e">
        <f>+(AC15*$W$15)+(AC17*$W$17)+(AC19*$W$19)+(AC21*$W$21)+(#REF!*$W$23)+(AC26*$W$25)+(#REF!*$W$27)+(#REF!*#REF!)+(#REF!*#REF!)+(#REF!*#REF!)+(#REF!*#REF!)+(#REF!*#REF!)+(#REF!*#REF!)</f>
        <v>#REF!</v>
      </c>
      <c r="P33" s="34"/>
      <c r="Q33" s="34"/>
      <c r="R33" s="34"/>
      <c r="S33" s="34"/>
      <c r="T33" s="34"/>
      <c r="U33" s="34"/>
      <c r="V33" s="34" t="e">
        <f>+(AJ15*$W$15)+(AJ17*$W$17)+(AJ19*$W$19)+(AJ21*$W$21)+(#REF!*$W$23)+(AJ26*$W$25)+(#REF!*$W$27)+(#REF!*#REF!)+(#REF!*#REF!)+(#REF!*#REF!)+(#REF!*#REF!)+(#REF!*#REF!)+(#REF!*#REF!)</f>
        <v>#REF!</v>
      </c>
      <c r="W33" s="37" t="e">
        <f>+(#REF!*$W$15)+(#REF!*$W$17)+(#REF!*$W$19)+(#REF!*$W$21)+(#REF!*$W$23)+(#REF!*$W$25)+(#REF!*$W$27)+(#REF!*#REF!)+(#REF!*#REF!)+(#REF!*#REF!)+(#REF!*#REF!)+(#REF!*#REF!)+(#REF!*#REF!)</f>
        <v>#REF!</v>
      </c>
      <c r="X33" s="34" t="e">
        <f>+(#REF!*$W$15)+(#REF!*$W$17)+(#REF!*$W$19)+(#REF!*$W$21)+(#REF!*$W$23)+(#REF!*$W$25)+(#REF!*$W$27)+(#REF!*#REF!)+(#REF!*#REF!)+(#REF!*#REF!)+(#REF!*#REF!)+(#REF!*#REF!)+(#REF!*#REF!)</f>
        <v>#REF!</v>
      </c>
      <c r="Y33" s="34" t="e">
        <f>+(#REF!*$W$15)+(#REF!*$W$17)+(#REF!*$W$19)+(#REF!*$W$21)+(#REF!*$W$23)+(#REF!*$W$25)+(#REF!*$W$27)+(#REF!*#REF!)+(#REF!*#REF!)+(#REF!*#REF!)+(#REF!*#REF!)+(#REF!*#REF!)+(#REF!*#REF!)</f>
        <v>#REF!</v>
      </c>
      <c r="Z33" s="34" t="e">
        <f>+(#REF!*$W$15)+(#REF!*$W$17)+(#REF!*$W$19)+(#REF!*$W$21)+(#REF!*$W$23)+(#REF!*$W$25)+(Y26*$W$27)+(#REF!*#REF!)+(#REF!*#REF!)+(#REF!*#REF!)+(#REF!*#REF!)+(#REF!*#REF!)+(#REF!*#REF!)</f>
        <v>#REF!</v>
      </c>
      <c r="AA33" s="34" t="e">
        <f>+(#REF!*$W$15)+(#REF!*$W$17)+(#REF!*$W$19)+(#REF!*$W$21)+(#REF!*$W$23)+(#REF!*$W$25)+(#REF!*$W$27)+(#REF!*#REF!)+(#REF!*#REF!)+(#REF!*#REF!)+(#REF!*#REF!)+(#REF!*#REF!)+(#REF!*#REF!)</f>
        <v>#REF!</v>
      </c>
      <c r="AB33" s="34" t="e">
        <f>+(#REF!*$W$15)+(#REF!*$W$17)+(#REF!*$W$19)+(#REF!*$W$21)+(#REF!*$W$23)+(#REF!*$W$25)+(#REF!*$W$27)+(#REF!*#REF!)+(#REF!*#REF!)+(#REF!*#REF!)+(#REF!*#REF!)+(#REF!*#REF!)+(#REF!*#REF!)</f>
        <v>#REF!</v>
      </c>
      <c r="AC33" s="34" t="e">
        <f>+(#REF!*$W$15)+(#REF!*$W$17)+(#REF!*$W$19)+(#REF!*$W$21)+(#REF!*$W$23)+(#REF!*$W$25)+(#REF!*$W$27)+(#REF!*#REF!)+(#REF!*#REF!)+(#REF!*#REF!)+(#REF!*#REF!)+(#REF!*#REF!)+(#REF!*#REF!)</f>
        <v>#REF!</v>
      </c>
      <c r="AD33" s="34" t="e">
        <f>+(#REF!*$W$15)+(#REF!*$W$17)+(#REF!*$W$19)+(#REF!*$W$21)+(#REF!*$W$23)+(#REF!*$W$25)+(#REF!*$W$27)+(#REF!*#REF!)+(#REF!*#REF!)+(#REF!*#REF!)+(#REF!*#REF!)+(#REF!*#REF!)+(#REF!*#REF!)</f>
        <v>#REF!</v>
      </c>
      <c r="AE33" s="34" t="e">
        <f>+(#REF!*$W$15)+(#REF!*$W$17)+(#REF!*$W$19)+(#REF!*$W$21)+(#REF!*$W$23)+(#REF!*$W$25)+(#REF!*$W$27)+(#REF!*#REF!)+(#REF!*#REF!)+(#REF!*#REF!)+(#REF!*#REF!)+(#REF!*#REF!)+(#REF!*#REF!)</f>
        <v>#REF!</v>
      </c>
      <c r="AF33" s="34" t="e">
        <f>+(#REF!*$W$15)+(#REF!*$W$17)+(#REF!*$W$19)+(#REF!*$W$21)+(#REF!*$W$23)+(#REF!*$W$25)+(#REF!*$W$27)+(#REF!*#REF!)+(#REF!*#REF!)+(#REF!*#REF!)+(#REF!*#REF!)+(#REF!*#REF!)+(#REF!*#REF!)</f>
        <v>#REF!</v>
      </c>
      <c r="AG33" s="34" t="e">
        <f>+(#REF!*$W$15)+(#REF!*$W$17)+(#REF!*$W$19)+(#REF!*$W$21)+(#REF!*$W$23)+(#REF!*$W$25)+(#REF!*$W$27)+(#REF!*#REF!)+(#REF!*#REF!)+(#REF!*#REF!)+(#REF!*#REF!)+(#REF!*#REF!)+(#REF!*#REF!)</f>
        <v>#REF!</v>
      </c>
      <c r="AH33" s="34" t="e">
        <f>+(#REF!*$W$15)+(#REF!*$W$17)+(#REF!*$W$19)+(#REF!*$W$21)+(#REF!*$W$23)+(#REF!*$W$25)+(#REF!*$W$27)+(#REF!*#REF!)+(#REF!*#REF!)+(#REF!*#REF!)+(#REF!*#REF!)+(#REF!*#REF!)+(#REF!*#REF!)</f>
        <v>#REF!</v>
      </c>
      <c r="AI33" s="37" t="e">
        <f>+(#REF!*$W$15)+(#REF!*$W$17)+(#REF!*$W$19)+(#REF!*$W$21)+(#REF!*$W$23)+(#REF!*$W$25)+(#REF!*$W$27)+(#REF!*#REF!)+(#REF!*#REF!)+(#REF!*#REF!)+(#REF!*#REF!)+(#REF!*#REF!)+(#REF!*#REF!)</f>
        <v>#REF!</v>
      </c>
      <c r="AJ33" s="34" t="e">
        <f>+(#REF!*$W$15)+(#REF!*$W$17)+(#REF!*$W$19)+(#REF!*$W$21)+(#REF!*$W$23)+(#REF!*$W$25)+(#REF!*$W$27)+(#REF!*#REF!)+(#REF!*#REF!)+(#REF!*#REF!)+(#REF!*#REF!)+(#REF!*#REF!)+(#REF!*#REF!)</f>
        <v>#REF!</v>
      </c>
      <c r="AK33" s="61"/>
    </row>
    <row r="34" spans="8:37" s="13" customFormat="1" ht="30" hidden="1" customHeight="1">
      <c r="H34" s="329"/>
      <c r="I34" s="15" t="s">
        <v>117</v>
      </c>
      <c r="J34" s="16"/>
      <c r="K34" s="34"/>
      <c r="L34" s="34"/>
      <c r="M34" s="34"/>
      <c r="N34" s="34"/>
      <c r="O34" s="34"/>
      <c r="P34" s="34"/>
      <c r="Q34" s="34"/>
      <c r="R34" s="34"/>
      <c r="S34" s="34"/>
      <c r="T34" s="34"/>
      <c r="U34" s="34"/>
      <c r="V34" s="34" t="e">
        <f>SUM(V33:V33)</f>
        <v>#REF!</v>
      </c>
      <c r="W34" s="37"/>
      <c r="X34" s="34"/>
      <c r="Y34" s="34"/>
      <c r="Z34" s="34" t="e">
        <f>SUM(W33:Z33)</f>
        <v>#REF!</v>
      </c>
      <c r="AA34" s="34"/>
      <c r="AB34" s="34"/>
      <c r="AC34" s="34"/>
      <c r="AD34" s="34" t="e">
        <f>SUM(AA33:AD33)</f>
        <v>#REF!</v>
      </c>
      <c r="AE34" s="34"/>
      <c r="AF34" s="34"/>
      <c r="AG34" s="34"/>
      <c r="AH34" s="34" t="e">
        <f>SUM(AE33:AH33)</f>
        <v>#REF!</v>
      </c>
      <c r="AI34" s="37"/>
      <c r="AJ34" s="34"/>
      <c r="AK34" s="61"/>
    </row>
    <row r="35" spans="8:37" s="13" customFormat="1" ht="30" hidden="1" customHeight="1">
      <c r="H35" s="329"/>
      <c r="I35" s="15" t="s">
        <v>118</v>
      </c>
      <c r="J35" s="14"/>
      <c r="K35" s="34"/>
      <c r="L35" s="34"/>
      <c r="M35" s="34"/>
      <c r="N35" s="34"/>
      <c r="O35" s="34"/>
      <c r="P35" s="34"/>
      <c r="Q35" s="34"/>
      <c r="R35" s="34"/>
      <c r="S35" s="34"/>
      <c r="T35" s="34"/>
      <c r="U35" s="34"/>
      <c r="V35" s="34" t="e">
        <f>+#REF!+V34</f>
        <v>#REF!</v>
      </c>
      <c r="W35" s="37"/>
      <c r="X35" s="34"/>
      <c r="Y35" s="34"/>
      <c r="Z35" s="26"/>
      <c r="AA35" s="27"/>
      <c r="AB35" s="27"/>
      <c r="AC35" s="27"/>
      <c r="AD35" s="27"/>
      <c r="AE35" s="27"/>
      <c r="AF35" s="27"/>
      <c r="AG35" s="27"/>
      <c r="AH35" s="27" t="e">
        <f>+Z34+AD34+AH34</f>
        <v>#REF!</v>
      </c>
      <c r="AI35" s="39"/>
      <c r="AJ35" s="27"/>
      <c r="AK35" s="62"/>
    </row>
    <row r="36" spans="8:37" s="13" customFormat="1" ht="30" hidden="1" customHeight="1">
      <c r="H36" s="330"/>
      <c r="I36" s="20" t="s">
        <v>119</v>
      </c>
      <c r="J36" s="19"/>
      <c r="K36" s="35"/>
      <c r="L36" s="35"/>
      <c r="M36" s="35"/>
      <c r="N36" s="35"/>
      <c r="O36" s="35"/>
      <c r="P36" s="35"/>
      <c r="Q36" s="35"/>
      <c r="R36" s="35"/>
      <c r="S36" s="35"/>
      <c r="T36" s="35"/>
      <c r="U36" s="35"/>
      <c r="V36" s="35"/>
      <c r="W36" s="38"/>
      <c r="X36" s="35"/>
      <c r="Y36" s="35"/>
      <c r="Z36" s="28"/>
      <c r="AA36" s="29"/>
      <c r="AB36" s="29"/>
      <c r="AC36" s="29"/>
      <c r="AD36" s="29"/>
      <c r="AE36" s="29"/>
      <c r="AF36" s="29"/>
      <c r="AG36" s="29"/>
      <c r="AH36" s="29" t="e">
        <f>+V35+AH35</f>
        <v>#REF!</v>
      </c>
      <c r="AI36" s="40"/>
      <c r="AJ36" s="41"/>
      <c r="AK36" s="62"/>
    </row>
    <row r="37" spans="8:37" ht="30" hidden="1" customHeight="1">
      <c r="H37" s="24"/>
      <c r="I37" s="326" t="s">
        <v>120</v>
      </c>
      <c r="J37" s="326"/>
      <c r="K37" s="46"/>
      <c r="L37" s="46"/>
      <c r="M37" s="46"/>
      <c r="N37" s="46"/>
      <c r="O37" s="46" t="e">
        <f>+O29/O33</f>
        <v>#REF!</v>
      </c>
      <c r="P37" s="46"/>
      <c r="Q37" s="46"/>
      <c r="R37" s="46"/>
      <c r="S37" s="46"/>
      <c r="T37" s="46"/>
      <c r="U37" s="46"/>
      <c r="V37" s="47" t="e">
        <f>+(O29+#REF!+#REF!+#REF!+#REF!+#REF!+#REF!+V29)/(O33+#REF!+#REF!+#REF!+#REF!+#REF!+#REF!+V33)</f>
        <v>#REF!</v>
      </c>
      <c r="W37" s="48" t="e">
        <f>+(O29+#REF!+#REF!+#REF!+#REF!+#REF!+#REF!+V29+W29)/(O33+#REF!+#REF!+#REF!+#REF!+#REF!+#REF!+V33+W33)</f>
        <v>#REF!</v>
      </c>
      <c r="X37" s="46" t="e">
        <f>+(O29+#REF!+#REF!+#REF!+#REF!+#REF!+#REF!+V29+W29+X29)/(O33+#REF!+#REF!+#REF!+#REF!+#REF!+#REF!+V33+W33+X33)</f>
        <v>#REF!</v>
      </c>
      <c r="Y37" s="46" t="e">
        <f>+(O29+#REF!+#REF!+#REF!+#REF!+#REF!+#REF!+V29+W29+X29+Y29)/(O33+#REF!+#REF!+#REF!+#REF!+#REF!+#REF!+V33+W33+X33+Y33)</f>
        <v>#REF!</v>
      </c>
      <c r="Z37" s="47" t="e">
        <f>+(O29+#REF!+#REF!+#REF!+#REF!+#REF!+#REF!+V29+W29+X29+Y29+Z29)/(O33+#REF!+#REF!+#REF!+#REF!+#REF!+#REF!+V33+W33+X33+Y33+Z33)</f>
        <v>#REF!</v>
      </c>
      <c r="AA37" s="46" t="e">
        <f>+(O29+#REF!+#REF!+#REF!+#REF!+#REF!+#REF!+V29+W29+X29+Y29+Z29+AA29)/(O33+#REF!+#REF!+#REF!+#REF!+#REF!+#REF!+V33+W33+X33+Y33+Z33+AA33)</f>
        <v>#REF!</v>
      </c>
      <c r="AB37" s="46" t="e">
        <f>+(O29+#REF!+#REF!+#REF!+#REF!+#REF!+#REF!+V29+W29+X29+Y29+Z29+AA29+AB29)/(O33+#REF!+#REF!+#REF!+#REF!+#REF!+#REF!+V33+W33+X33+Y33+Z33+AA33+AB33)</f>
        <v>#REF!</v>
      </c>
      <c r="AC37" s="46" t="e">
        <f>+(O29+#REF!+#REF!+#REF!+#REF!+#REF!+#REF!+V29+W29+X29+Y29+Z29+AA29+AB29+AC29)/(O33+#REF!+#REF!+#REF!+#REF!+#REF!+#REF!+V33+W33+X33+Y33+Z33+AA33+AB33+AC33)</f>
        <v>#REF!</v>
      </c>
      <c r="AD37" s="47" t="e">
        <f>+(O29+#REF!+#REF!+#REF!+#REF!+#REF!+#REF!+V29+W29+X29+Y29+Z29+AA29+AB29+AC29+AD29)/(O33+#REF!+#REF!+#REF!+#REF!+#REF!+#REF!+V33+W33+X33+Y33+Z33+AA33+AB33+AC33+AD33)</f>
        <v>#REF!</v>
      </c>
      <c r="AE37" s="46" t="e">
        <f>+(O29+#REF!+#REF!+#REF!+#REF!+#REF!+#REF!+V29+W29+X29+Y29+Z29+AA29+AB29+AC29+AD29+AE29)/(O33+#REF!+#REF!+#REF!+#REF!+#REF!+#REF!+V33+W33+X33+Y33+Z33+AA33+AB33+AC33+AD33+AE33)</f>
        <v>#REF!</v>
      </c>
      <c r="AF37" s="46" t="e">
        <f>+(O29+#REF!+#REF!+#REF!+#REF!+#REF!+#REF!+V29+W29+X29+Y29+Z29+AA29+AB29+AC29+AD29+AE29+AF29)/(O33+#REF!+#REF!+#REF!+#REF!+#REF!+#REF!+V33+W33+X33+Y33+Z33+AA33+AB33+AC33+AD33+AE33+AF33)</f>
        <v>#REF!</v>
      </c>
      <c r="AG37" s="46" t="e">
        <f>+(O29+#REF!+#REF!+#REF!+#REF!+#REF!+#REF!+V29+W29+X29+Y29+Z29+AA29+AB29+AC29+AD29+AE29+AF29+AG29)/(O33+#REF!+#REF!+#REF!+#REF!+#REF!+#REF!+V33+W33+X33+Y33+Z33+AA33+AB33+AC33+AD33+AE33+AF33+AG33)</f>
        <v>#REF!</v>
      </c>
      <c r="AH37" s="47" t="e">
        <f>+(O29+#REF!+#REF!+#REF!+#REF!+#REF!+#REF!+V29+W29+X29+Y29+Z29+AA29+AB29+AC29+AD29+AE29+AF29+AG29+AH29)/(O33+#REF!+#REF!+#REF!+#REF!+#REF!+#REF!+V33+W33+X33+Y33+Z33+AA33+AB33+AC33+AD33+AE33+AF33+AG33+AH33)</f>
        <v>#REF!</v>
      </c>
      <c r="AI37" s="48" t="e">
        <f>+(O29+#REF!+#REF!+#REF!+#REF!+#REF!+#REF!+V29+W29+X29+Y29+Z29+AA29+AB29+AC29+AD29+AE29+AF29+AG29+AH29+AI29)/(O33+#REF!+#REF!+#REF!+#REF!+#REF!+#REF!+V33+W33+X33+Y33+Z33+AA33+AB33+AC33+AD33+AE33+AF33+AG33+AH33+AI33)</f>
        <v>#REF!</v>
      </c>
      <c r="AJ37" s="46" t="e">
        <f>+(O29+#REF!+#REF!+#REF!+#REF!+#REF!+#REF!+V29+W29+X29+Y29+Z29+AA29+AB29+AC29+AD29+AE29+AF29+AG29+AH29+AI29+AJ29)/(O33+#REF!+#REF!+#REF!+#REF!+#REF!+#REF!+V33+W33+X33+Y33+Z33+AA33+AB33+AC33+AD33+AE33+AF33+AG33+AH33+AI33+AJ33)</f>
        <v>#REF!</v>
      </c>
      <c r="AK37" s="63"/>
    </row>
    <row r="38" spans="8:37" ht="30" hidden="1" customHeight="1">
      <c r="H38" s="24"/>
      <c r="I38" s="327" t="s">
        <v>121</v>
      </c>
      <c r="J38" s="327"/>
      <c r="K38" s="47"/>
      <c r="L38" s="47"/>
      <c r="M38" s="47"/>
      <c r="N38" s="47"/>
      <c r="O38" s="47" t="e">
        <f>+O29/$F$29</f>
        <v>#DIV/0!</v>
      </c>
      <c r="P38" s="47"/>
      <c r="Q38" s="47"/>
      <c r="R38" s="47"/>
      <c r="S38" s="47"/>
      <c r="T38" s="47"/>
      <c r="U38" s="47"/>
      <c r="V38" s="47" t="e">
        <f>+(O29+#REF!+#REF!+#REF!+#REF!+#REF!+#REF!+V29)/$F$29</f>
        <v>#REF!</v>
      </c>
      <c r="W38" s="49" t="e">
        <f>+(O29+#REF!+#REF!+#REF!+#REF!+#REF!+#REF!+V29+W29)/$F$29</f>
        <v>#REF!</v>
      </c>
      <c r="X38" s="47" t="e">
        <f>+(O29+#REF!+#REF!+#REF!+#REF!+#REF!+#REF!+V29+W29+X29)/$F$29</f>
        <v>#REF!</v>
      </c>
      <c r="Y38" s="47" t="e">
        <f>+(O29+#REF!+#REF!+#REF!+#REF!+#REF!+#REF!+V29+W29+X29+Y29)/$F$29</f>
        <v>#REF!</v>
      </c>
      <c r="Z38" s="47" t="e">
        <f>+(O29+#REF!+#REF!+#REF!+#REF!+#REF!+#REF!+V29+W29+X29+Y29+Z29)/$F$29</f>
        <v>#REF!</v>
      </c>
      <c r="AA38" s="47" t="e">
        <f>+(O29+#REF!+#REF!+#REF!+#REF!+#REF!+#REF!+V29+W29+X29+Y29+Z29+AA29)/$F$29</f>
        <v>#REF!</v>
      </c>
      <c r="AB38" s="47" t="e">
        <f>+(O29+#REF!+#REF!+#REF!+#REF!+#REF!+#REF!+V29+W29+X29+Y29+Z29+AA29+AB29)/$F$29</f>
        <v>#REF!</v>
      </c>
      <c r="AC38" s="47" t="e">
        <f>+(O29+#REF!+#REF!+#REF!+#REF!+#REF!+#REF!+V29+W29+X29+Y29+Z29+AA29+AB29+AC29)/$F$29</f>
        <v>#REF!</v>
      </c>
      <c r="AD38" s="47" t="e">
        <f>+(O29+#REF!+#REF!+#REF!+#REF!+#REF!+#REF!+V29+W29+X29+Y29+Z29+AA29+AB29+AC29+AD29)/$F$29</f>
        <v>#REF!</v>
      </c>
      <c r="AE38" s="47" t="e">
        <f>+(O29+#REF!+#REF!+#REF!+#REF!+#REF!+#REF!+V29+W29+X29+Y29+Z29+AA29+AB29+AC29+AD29+AE29)/$F$29</f>
        <v>#REF!</v>
      </c>
      <c r="AF38" s="47" t="e">
        <f>+(O29+#REF!+#REF!+#REF!+#REF!+#REF!+#REF!+V29+W29+X29+Y29+Z29+AA29+AB29+AC29+AD29+AE29+AF29)/$F$29</f>
        <v>#REF!</v>
      </c>
      <c r="AG38" s="47" t="e">
        <f>+(O29+#REF!+#REF!+#REF!+#REF!+#REF!+#REF!+V29+W29+X29+Y29+Z29+AA29+AB29+AC29+AD29+AE29+AF29+AG29)/$F$29</f>
        <v>#REF!</v>
      </c>
      <c r="AH38" s="47" t="e">
        <f>+(O29+#REF!+#REF!+#REF!+#REF!+#REF!+#REF!+V29+W29+X29+Y29+Z29+AA29+AB29+AC29+AD29+AE29+AF29+AG29+AH29)/$F$29</f>
        <v>#REF!</v>
      </c>
      <c r="AI38" s="49" t="e">
        <f>+(O29+#REF!+#REF!+#REF!+#REF!+#REF!+#REF!+V29+W29+X29+Y29+Z29+AA29+AB29+AC29+AD29+AE29+AF29+AG29+AH29+AI29)/$F$29</f>
        <v>#REF!</v>
      </c>
      <c r="AJ38" s="47" t="e">
        <f>+(O29+#REF!+#REF!+#REF!+#REF!+#REF!+#REF!+V29+W29+X29+Y29+Z29+AA29+AB29+AC29+AD29+AE29+AF29+AG29+AH29+AI29+AJ29)/$F$29</f>
        <v>#REF!</v>
      </c>
      <c r="AK38" s="64"/>
    </row>
    <row r="39" spans="8:37" ht="30" hidden="1" customHeight="1">
      <c r="I39" s="326" t="s">
        <v>122</v>
      </c>
      <c r="J39" s="326"/>
      <c r="K39" s="50"/>
      <c r="L39" s="50"/>
      <c r="M39" s="50"/>
      <c r="N39" s="50"/>
      <c r="O39" s="50"/>
      <c r="P39" s="50"/>
      <c r="Q39" s="50"/>
      <c r="R39" s="50"/>
      <c r="S39" s="50"/>
      <c r="T39" s="50"/>
      <c r="U39" s="50"/>
      <c r="V39" s="47" t="e">
        <f>+V30/V34</f>
        <v>#REF!</v>
      </c>
      <c r="W39" s="51"/>
      <c r="X39" s="50"/>
      <c r="Y39" s="50"/>
      <c r="Z39" s="47" t="e">
        <f>+Z30/Z34</f>
        <v>#REF!</v>
      </c>
      <c r="AA39" s="50"/>
      <c r="AB39" s="50"/>
      <c r="AC39" s="50"/>
      <c r="AD39" s="47" t="e">
        <f>+AD30/AD34</f>
        <v>#REF!</v>
      </c>
      <c r="AE39" s="50"/>
      <c r="AF39" s="50"/>
      <c r="AG39" s="50"/>
      <c r="AH39" s="47" t="e">
        <f>+AH30/AH34</f>
        <v>#REF!</v>
      </c>
      <c r="AI39" s="51"/>
      <c r="AJ39" s="50"/>
      <c r="AK39" s="65"/>
    </row>
    <row r="40" spans="8:37" ht="30" hidden="1" customHeight="1">
      <c r="I40" s="327" t="s">
        <v>123</v>
      </c>
      <c r="J40" s="327"/>
      <c r="K40" s="50"/>
      <c r="L40" s="50"/>
      <c r="M40" s="50"/>
      <c r="N40" s="50"/>
      <c r="O40" s="50"/>
      <c r="P40" s="50"/>
      <c r="Q40" s="50"/>
      <c r="R40" s="50"/>
      <c r="S40" s="50"/>
      <c r="T40" s="50"/>
      <c r="U40" s="50"/>
      <c r="V40" s="47" t="e">
        <f>+(#REF!+V30)/$F$29</f>
        <v>#REF!</v>
      </c>
      <c r="W40" s="51"/>
      <c r="X40" s="50"/>
      <c r="Y40" s="50"/>
      <c r="Z40" s="47" t="e">
        <f>+(#REF!+V30+Z30)/$F$29</f>
        <v>#REF!</v>
      </c>
      <c r="AA40" s="50"/>
      <c r="AB40" s="50"/>
      <c r="AC40" s="50"/>
      <c r="AD40" s="47" t="e">
        <f>+(#REF!+V30+Z30+AD30)/$F$29</f>
        <v>#REF!</v>
      </c>
      <c r="AE40" s="50"/>
      <c r="AF40" s="50"/>
      <c r="AG40" s="50"/>
      <c r="AH40" s="47" t="e">
        <f>+(#REF!+V30+Z30+AD30+AH30)/$F$29</f>
        <v>#REF!</v>
      </c>
      <c r="AI40" s="51"/>
      <c r="AJ40" s="50"/>
      <c r="AK40" s="65"/>
    </row>
    <row r="41" spans="8:37" ht="30" hidden="1" customHeight="1">
      <c r="I41" s="326" t="s">
        <v>124</v>
      </c>
      <c r="J41" s="326"/>
      <c r="K41" s="50"/>
      <c r="L41" s="50"/>
      <c r="M41" s="50"/>
      <c r="N41" s="50"/>
      <c r="O41" s="50"/>
      <c r="P41" s="50"/>
      <c r="Q41" s="50"/>
      <c r="R41" s="50"/>
      <c r="S41" s="50"/>
      <c r="T41" s="50"/>
      <c r="U41" s="50"/>
      <c r="V41" s="47" t="e">
        <f>+(#REF!+V30)/(#REF!+V34)</f>
        <v>#REF!</v>
      </c>
      <c r="W41" s="51"/>
      <c r="X41" s="50"/>
      <c r="Y41" s="50"/>
      <c r="Z41" s="50"/>
      <c r="AA41" s="50"/>
      <c r="AB41" s="50"/>
      <c r="AC41" s="50"/>
      <c r="AD41" s="50"/>
      <c r="AE41" s="50"/>
      <c r="AF41" s="50"/>
      <c r="AG41" s="50"/>
      <c r="AH41" s="47" t="e">
        <f>+(#REF!+V30+Z30+AD30+AH30)/(#REF!+V34+Z34+AD34+AH34)</f>
        <v>#REF!</v>
      </c>
      <c r="AI41" s="51"/>
      <c r="AJ41" s="50"/>
      <c r="AK41" s="65"/>
    </row>
    <row r="42" spans="8:37" ht="30" hidden="1" customHeight="1">
      <c r="I42" s="326" t="s">
        <v>125</v>
      </c>
      <c r="J42" s="326"/>
      <c r="K42" s="50"/>
      <c r="L42" s="50"/>
      <c r="M42" s="50"/>
      <c r="N42" s="50"/>
      <c r="O42" s="50"/>
      <c r="P42" s="50"/>
      <c r="Q42" s="50"/>
      <c r="R42" s="50"/>
      <c r="S42" s="50"/>
      <c r="T42" s="50"/>
      <c r="U42" s="50"/>
      <c r="V42" s="47" t="e">
        <f>+(#REF!+V30)/$F$29</f>
        <v>#REF!</v>
      </c>
      <c r="W42" s="51"/>
      <c r="X42" s="50"/>
      <c r="Y42" s="50"/>
      <c r="Z42" s="50"/>
      <c r="AA42" s="50"/>
      <c r="AB42" s="50"/>
      <c r="AC42" s="50"/>
      <c r="AD42" s="50"/>
      <c r="AE42" s="50"/>
      <c r="AF42" s="50"/>
      <c r="AG42" s="50"/>
      <c r="AH42" s="47" t="e">
        <f>+(+#REF!+V30+Z30+AD30+AH30)/$F$29</f>
        <v>#REF!</v>
      </c>
      <c r="AI42" s="51"/>
      <c r="AJ42" s="50"/>
      <c r="AK42" s="65"/>
    </row>
    <row r="43" spans="8:37" ht="15" hidden="1" customHeight="1"/>
    <row r="44" spans="8:37" ht="35.1" hidden="1" customHeight="1">
      <c r="H44" s="325" t="s">
        <v>126</v>
      </c>
      <c r="I44" s="325"/>
      <c r="J44" s="30" t="e">
        <f>+#REF!</f>
        <v>#REF!</v>
      </c>
      <c r="K44" s="32"/>
      <c r="L44" s="32"/>
      <c r="M44" s="32"/>
      <c r="N44" s="32"/>
      <c r="O44" s="32"/>
      <c r="P44" s="32"/>
      <c r="Q44" s="32"/>
      <c r="R44" s="32"/>
      <c r="S44" s="32"/>
      <c r="T44" s="32"/>
      <c r="U44" s="32"/>
    </row>
    <row r="45" spans="8:37" ht="35.1" hidden="1" customHeight="1">
      <c r="H45" s="325" t="s">
        <v>127</v>
      </c>
      <c r="I45" s="325"/>
      <c r="J45" s="25">
        <f>+F29</f>
        <v>0</v>
      </c>
      <c r="K45" s="32"/>
      <c r="L45" s="32"/>
      <c r="M45" s="32"/>
      <c r="N45" s="32"/>
      <c r="O45" s="32"/>
      <c r="P45" s="32"/>
      <c r="Q45" s="32"/>
      <c r="R45" s="32"/>
      <c r="S45" s="32"/>
      <c r="T45" s="32"/>
      <c r="U45" s="32"/>
    </row>
    <row r="46" spans="8:37" ht="35.1" hidden="1" customHeight="1">
      <c r="H46" s="325" t="s">
        <v>128</v>
      </c>
      <c r="I46" s="325"/>
      <c r="J46" s="31" t="e">
        <f>+J44/J45</f>
        <v>#REF!</v>
      </c>
      <c r="K46" s="32"/>
      <c r="L46" s="32"/>
      <c r="M46" s="32"/>
      <c r="N46" s="32"/>
      <c r="O46" s="32"/>
      <c r="P46" s="32"/>
      <c r="Q46" s="32"/>
      <c r="R46" s="32"/>
      <c r="S46" s="32"/>
      <c r="T46" s="32"/>
      <c r="U46" s="32"/>
    </row>
    <row r="47" spans="8:37" ht="15" customHeight="1">
      <c r="K47" s="32"/>
      <c r="L47" s="32"/>
      <c r="M47" s="32"/>
      <c r="N47" s="32"/>
      <c r="O47" s="32"/>
      <c r="P47" s="32"/>
      <c r="Q47" s="32"/>
      <c r="R47" s="32"/>
      <c r="S47" s="32"/>
      <c r="T47" s="32"/>
      <c r="U47" s="32"/>
    </row>
    <row r="48" spans="8:37" ht="15" customHeight="1">
      <c r="K48" s="32"/>
      <c r="L48" s="32"/>
      <c r="M48" s="32"/>
      <c r="N48" s="32"/>
      <c r="O48" s="32"/>
      <c r="P48" s="32"/>
      <c r="Q48" s="32"/>
      <c r="R48" s="32"/>
      <c r="S48" s="32"/>
      <c r="T48" s="32"/>
      <c r="U48" s="32"/>
    </row>
    <row r="49" spans="11:21" ht="15" customHeight="1">
      <c r="K49" s="32"/>
      <c r="L49" s="32"/>
      <c r="M49" s="32"/>
      <c r="N49" s="32"/>
      <c r="O49" s="32"/>
      <c r="P49" s="32"/>
      <c r="Q49" s="32"/>
      <c r="R49" s="32"/>
      <c r="S49" s="32"/>
      <c r="T49" s="32"/>
      <c r="U49" s="32"/>
    </row>
  </sheetData>
  <mergeCells count="273">
    <mergeCell ref="AL11:AO11"/>
    <mergeCell ref="P6:R10"/>
    <mergeCell ref="K6:L10"/>
    <mergeCell ref="M6:M10"/>
    <mergeCell ref="N6:O10"/>
    <mergeCell ref="A1:C3"/>
    <mergeCell ref="D1:AO3"/>
    <mergeCell ref="A4:A5"/>
    <mergeCell ref="G4:G5"/>
    <mergeCell ref="A6:B10"/>
    <mergeCell ref="C6:D10"/>
    <mergeCell ref="E6:F10"/>
    <mergeCell ref="G6:G10"/>
    <mergeCell ref="H6:I10"/>
    <mergeCell ref="J6:J10"/>
    <mergeCell ref="A12:A13"/>
    <mergeCell ref="B12:B13"/>
    <mergeCell ref="C12:C13"/>
    <mergeCell ref="D12:D13"/>
    <mergeCell ref="E12:E13"/>
    <mergeCell ref="F12:F13"/>
    <mergeCell ref="A11:F11"/>
    <mergeCell ref="G11:O11"/>
    <mergeCell ref="V11:AK11"/>
    <mergeCell ref="M12:M13"/>
    <mergeCell ref="N12:N13"/>
    <mergeCell ref="O12:O13"/>
    <mergeCell ref="V12:V13"/>
    <mergeCell ref="W12:W13"/>
    <mergeCell ref="X12:X13"/>
    <mergeCell ref="G12:G13"/>
    <mergeCell ref="H12:H13"/>
    <mergeCell ref="I12:I13"/>
    <mergeCell ref="J12:J13"/>
    <mergeCell ref="K12:K13"/>
    <mergeCell ref="L12:L13"/>
    <mergeCell ref="J14:J15"/>
    <mergeCell ref="K14:K15"/>
    <mergeCell ref="AK12:AK13"/>
    <mergeCell ref="AL12:AL13"/>
    <mergeCell ref="AM12:AM13"/>
    <mergeCell ref="AN12:AN13"/>
    <mergeCell ref="AO12:AO13"/>
    <mergeCell ref="A14:A15"/>
    <mergeCell ref="B14:B15"/>
    <mergeCell ref="C14:C15"/>
    <mergeCell ref="D14:D15"/>
    <mergeCell ref="E14:E15"/>
    <mergeCell ref="AE12:AE13"/>
    <mergeCell ref="AF12:AF13"/>
    <mergeCell ref="AG12:AG13"/>
    <mergeCell ref="AH12:AH13"/>
    <mergeCell ref="AI12:AI13"/>
    <mergeCell ref="AJ12:AJ13"/>
    <mergeCell ref="Y12:Y13"/>
    <mergeCell ref="Z12:Z13"/>
    <mergeCell ref="AA12:AA13"/>
    <mergeCell ref="AB12:AB13"/>
    <mergeCell ref="AC12:AC13"/>
    <mergeCell ref="AD12:AD13"/>
    <mergeCell ref="AN14:AN15"/>
    <mergeCell ref="AO14:AO15"/>
    <mergeCell ref="A16:A17"/>
    <mergeCell ref="B16:B17"/>
    <mergeCell ref="C16:C17"/>
    <mergeCell ref="D16:D17"/>
    <mergeCell ref="E16:E17"/>
    <mergeCell ref="F16:F17"/>
    <mergeCell ref="G16:G17"/>
    <mergeCell ref="H16:H17"/>
    <mergeCell ref="L14:L15"/>
    <mergeCell ref="M14:M15"/>
    <mergeCell ref="N14:N15"/>
    <mergeCell ref="O14:O15"/>
    <mergeCell ref="AL14:AL15"/>
    <mergeCell ref="AM14:AM15"/>
    <mergeCell ref="Q14:Q15"/>
    <mergeCell ref="R14:R15"/>
    <mergeCell ref="S14:S15"/>
    <mergeCell ref="T14:T15"/>
    <mergeCell ref="F14:F15"/>
    <mergeCell ref="G14:G15"/>
    <mergeCell ref="H14:H15"/>
    <mergeCell ref="I14:I15"/>
    <mergeCell ref="AN16:AN17"/>
    <mergeCell ref="AO16:AO17"/>
    <mergeCell ref="A18:A19"/>
    <mergeCell ref="B18:B19"/>
    <mergeCell ref="C18:C19"/>
    <mergeCell ref="D18:D19"/>
    <mergeCell ref="E18:E19"/>
    <mergeCell ref="I16:I17"/>
    <mergeCell ref="J16:J17"/>
    <mergeCell ref="K16:K17"/>
    <mergeCell ref="L16:L17"/>
    <mergeCell ref="M16:M17"/>
    <mergeCell ref="N16:N17"/>
    <mergeCell ref="F18:F19"/>
    <mergeCell ref="G18:G19"/>
    <mergeCell ref="H18:H19"/>
    <mergeCell ref="I18:I19"/>
    <mergeCell ref="J18:J19"/>
    <mergeCell ref="K18:K19"/>
    <mergeCell ref="O16:O17"/>
    <mergeCell ref="AL16:AL17"/>
    <mergeCell ref="AM16:AM17"/>
    <mergeCell ref="L18:L19"/>
    <mergeCell ref="M18:M19"/>
    <mergeCell ref="N18:N19"/>
    <mergeCell ref="O18:O19"/>
    <mergeCell ref="AL18:AL19"/>
    <mergeCell ref="AM18:AM19"/>
    <mergeCell ref="P18:P19"/>
    <mergeCell ref="Q18:Q19"/>
    <mergeCell ref="R18:R19"/>
    <mergeCell ref="S18:S19"/>
    <mergeCell ref="A22:A23"/>
    <mergeCell ref="B22:B23"/>
    <mergeCell ref="C22:C23"/>
    <mergeCell ref="D22:D23"/>
    <mergeCell ref="E22:E23"/>
    <mergeCell ref="I20:I21"/>
    <mergeCell ref="J20:J21"/>
    <mergeCell ref="K20:K21"/>
    <mergeCell ref="L20:L21"/>
    <mergeCell ref="A20:A21"/>
    <mergeCell ref="B20:B21"/>
    <mergeCell ref="C20:C21"/>
    <mergeCell ref="D20:D21"/>
    <mergeCell ref="E20:E21"/>
    <mergeCell ref="F20:F21"/>
    <mergeCell ref="G20:G21"/>
    <mergeCell ref="H20:H21"/>
    <mergeCell ref="F22:F23"/>
    <mergeCell ref="G22:G23"/>
    <mergeCell ref="H22:H23"/>
    <mergeCell ref="I22:I23"/>
    <mergeCell ref="J22:J23"/>
    <mergeCell ref="K22:K23"/>
    <mergeCell ref="O20:O21"/>
    <mergeCell ref="AL20:AL21"/>
    <mergeCell ref="AM20:AM21"/>
    <mergeCell ref="M20:M21"/>
    <mergeCell ref="N20:N21"/>
    <mergeCell ref="L22:L23"/>
    <mergeCell ref="M22:M23"/>
    <mergeCell ref="N22:N23"/>
    <mergeCell ref="O22:O23"/>
    <mergeCell ref="AL22:AL23"/>
    <mergeCell ref="AM22:AM23"/>
    <mergeCell ref="P22:P23"/>
    <mergeCell ref="Q22:Q23"/>
    <mergeCell ref="R22:R23"/>
    <mergeCell ref="S22:S23"/>
    <mergeCell ref="A26:A27"/>
    <mergeCell ref="B26:B27"/>
    <mergeCell ref="C26:C27"/>
    <mergeCell ref="D26:D27"/>
    <mergeCell ref="E26:E27"/>
    <mergeCell ref="I24:I25"/>
    <mergeCell ref="J24:J25"/>
    <mergeCell ref="K24:K25"/>
    <mergeCell ref="L24:L25"/>
    <mergeCell ref="A24:A25"/>
    <mergeCell ref="B24:B25"/>
    <mergeCell ref="C24:C25"/>
    <mergeCell ref="D24:D25"/>
    <mergeCell ref="E24:E25"/>
    <mergeCell ref="F24:F25"/>
    <mergeCell ref="G24:G25"/>
    <mergeCell ref="H24:H25"/>
    <mergeCell ref="F26:F27"/>
    <mergeCell ref="G26:G27"/>
    <mergeCell ref="H26:H27"/>
    <mergeCell ref="I26:I27"/>
    <mergeCell ref="J26:J27"/>
    <mergeCell ref="K26:K27"/>
    <mergeCell ref="O24:O25"/>
    <mergeCell ref="AL24:AL25"/>
    <mergeCell ref="AM24:AM25"/>
    <mergeCell ref="M24:M25"/>
    <mergeCell ref="N24:N25"/>
    <mergeCell ref="K28:K29"/>
    <mergeCell ref="L28:L29"/>
    <mergeCell ref="L26:L27"/>
    <mergeCell ref="M26:M27"/>
    <mergeCell ref="N26:N27"/>
    <mergeCell ref="O26:O27"/>
    <mergeCell ref="AL26:AL27"/>
    <mergeCell ref="AM26:AM27"/>
    <mergeCell ref="P26:P27"/>
    <mergeCell ref="Q26:Q27"/>
    <mergeCell ref="R26:R27"/>
    <mergeCell ref="S26:S27"/>
    <mergeCell ref="H44:I44"/>
    <mergeCell ref="H45:I45"/>
    <mergeCell ref="H46:I46"/>
    <mergeCell ref="A28:A29"/>
    <mergeCell ref="B28:B29"/>
    <mergeCell ref="C28:C29"/>
    <mergeCell ref="D28:D29"/>
    <mergeCell ref="E28:E29"/>
    <mergeCell ref="F28:F29"/>
    <mergeCell ref="G28:G29"/>
    <mergeCell ref="I37:J37"/>
    <mergeCell ref="I38:J38"/>
    <mergeCell ref="I39:J39"/>
    <mergeCell ref="I40:J40"/>
    <mergeCell ref="I41:J41"/>
    <mergeCell ref="I42:J42"/>
    <mergeCell ref="D30:E30"/>
    <mergeCell ref="H33:H36"/>
    <mergeCell ref="I28:I29"/>
    <mergeCell ref="J28:J29"/>
    <mergeCell ref="AO28:AO29"/>
    <mergeCell ref="P12:P13"/>
    <mergeCell ref="Q12:Q13"/>
    <mergeCell ref="R12:R13"/>
    <mergeCell ref="S12:S13"/>
    <mergeCell ref="T12:T13"/>
    <mergeCell ref="U12:U13"/>
    <mergeCell ref="P14:P15"/>
    <mergeCell ref="M28:M29"/>
    <mergeCell ref="N28:N29"/>
    <mergeCell ref="O28:O29"/>
    <mergeCell ref="AL28:AL29"/>
    <mergeCell ref="AM28:AM29"/>
    <mergeCell ref="AN28:AN29"/>
    <mergeCell ref="AN26:AN27"/>
    <mergeCell ref="AO26:AO27"/>
    <mergeCell ref="AN24:AN25"/>
    <mergeCell ref="AO24:AO25"/>
    <mergeCell ref="AN22:AN23"/>
    <mergeCell ref="AO22:AO23"/>
    <mergeCell ref="AN20:AN21"/>
    <mergeCell ref="AO20:AO21"/>
    <mergeCell ref="AN18:AN19"/>
    <mergeCell ref="AO18:AO19"/>
    <mergeCell ref="R20:R21"/>
    <mergeCell ref="S20:S21"/>
    <mergeCell ref="T20:T21"/>
    <mergeCell ref="U20:U21"/>
    <mergeCell ref="U14:U15"/>
    <mergeCell ref="P16:P17"/>
    <mergeCell ref="Q16:Q17"/>
    <mergeCell ref="R16:R17"/>
    <mergeCell ref="S16:S17"/>
    <mergeCell ref="T16:T17"/>
    <mergeCell ref="U16:U17"/>
    <mergeCell ref="S6:T10"/>
    <mergeCell ref="U6:W10"/>
    <mergeCell ref="X6:AO10"/>
    <mergeCell ref="T26:T27"/>
    <mergeCell ref="U26:U27"/>
    <mergeCell ref="H28:H32"/>
    <mergeCell ref="P28:P29"/>
    <mergeCell ref="Q28:Q29"/>
    <mergeCell ref="R28:R29"/>
    <mergeCell ref="S28:S29"/>
    <mergeCell ref="T28:T29"/>
    <mergeCell ref="U28:U29"/>
    <mergeCell ref="T22:T23"/>
    <mergeCell ref="U22:U23"/>
    <mergeCell ref="P24:P25"/>
    <mergeCell ref="Q24:Q25"/>
    <mergeCell ref="R24:R25"/>
    <mergeCell ref="S24:S25"/>
    <mergeCell ref="T24:T25"/>
    <mergeCell ref="U24:U25"/>
    <mergeCell ref="T18:T19"/>
    <mergeCell ref="U18:U19"/>
    <mergeCell ref="P20:P21"/>
    <mergeCell ref="Q20:Q21"/>
  </mergeCells>
  <conditionalFormatting sqref="J46 V37:V42 Z37:Z40 AD37:AD40 AH37:AH42 K38:U38 W38:Y38 AA38:AC38 AE38:AG38 AI38:AK38">
    <cfRule type="cellIs" dxfId="85" priority="20" operator="greaterThanOrEqual">
      <formula>$D$9</formula>
    </cfRule>
    <cfRule type="cellIs" dxfId="84" priority="21" operator="lessThanOrEqual">
      <formula>$C$6</formula>
    </cfRule>
    <cfRule type="cellIs" dxfId="83" priority="22" operator="between">
      <formula>$C$6</formula>
      <formula>$D$9</formula>
    </cfRule>
  </conditionalFormatting>
  <conditionalFormatting sqref="J6">
    <cfRule type="cellIs" dxfId="82" priority="17" operator="greaterThanOrEqual">
      <formula>$C$5</formula>
    </cfRule>
    <cfRule type="cellIs" dxfId="81" priority="18" operator="lessThanOrEqual">
      <formula>$C$4</formula>
    </cfRule>
    <cfRule type="cellIs" dxfId="80" priority="19" operator="between">
      <formula>$C$5</formula>
      <formula>$C$4</formula>
    </cfRule>
  </conditionalFormatting>
  <conditionalFormatting sqref="I4">
    <cfRule type="cellIs" dxfId="79" priority="16" operator="lessThanOrEqual">
      <formula>$C$4</formula>
    </cfRule>
  </conditionalFormatting>
  <conditionalFormatting sqref="P6">
    <cfRule type="cellIs" dxfId="78" priority="13" operator="greaterThanOrEqual">
      <formula>$I$5</formula>
    </cfRule>
    <cfRule type="cellIs" dxfId="77" priority="14" operator="lessThanOrEqual">
      <formula>$I$4</formula>
    </cfRule>
    <cfRule type="cellIs" dxfId="76" priority="15" operator="between">
      <formula>$I$5</formula>
      <formula>$I$4</formula>
    </cfRule>
  </conditionalFormatting>
  <conditionalFormatting sqref="X14:X29">
    <cfRule type="cellIs" dxfId="75" priority="10" operator="greaterThanOrEqual">
      <formula>$C$5</formula>
    </cfRule>
    <cfRule type="cellIs" dxfId="74" priority="11" operator="lessThanOrEqual">
      <formula>$C$4</formula>
    </cfRule>
    <cfRule type="cellIs" dxfId="73" priority="12" operator="between">
      <formula>$C$5</formula>
      <formula>$C$4</formula>
    </cfRule>
  </conditionalFormatting>
  <conditionalFormatting sqref="U6">
    <cfRule type="cellIs" dxfId="72" priority="7" operator="greaterThanOrEqual">
      <formula>$I$5</formula>
    </cfRule>
    <cfRule type="cellIs" dxfId="71" priority="8" operator="lessThanOrEqual">
      <formula>$I$4</formula>
    </cfRule>
    <cfRule type="cellIs" dxfId="70" priority="9" operator="between">
      <formula>$I$5</formula>
      <formula>$I$4</formula>
    </cfRule>
  </conditionalFormatting>
  <dataValidations xWindow="1493" yWindow="747" count="4">
    <dataValidation type="decimal" allowBlank="1" showInputMessage="1" showErrorMessage="1" prompt="valor porcentual de la activida - Indique el peso porcentual de la actividad dentro del proyecto" sqref="W14 W22 W18 W16 W20 W26 W24 W28" xr:uid="{B9304C16-77DA-4127-BC59-6191F8ED3579}">
      <formula1>0</formula1>
      <formula2>1</formula2>
    </dataValidation>
    <dataValidation type="decimal" allowBlank="1" showInputMessage="1" showErrorMessage="1" prompt="campo calculado  - indica el % de avance  que aporta la activadad a todo el proyecto" sqref="W23 W21 W19 W15 W17 W27 W25 W29" xr:uid="{52304C28-041D-491F-82DC-6DAF366126DB}">
      <formula1>0</formula1>
      <formula2>1</formula2>
    </dataValidation>
    <dataValidation type="decimal" allowBlank="1" showInputMessage="1" showErrorMessage="1" prompt="% de avance en la actividad - indique el % programado de avance durante esta semana_x000a_" sqref="Y14:AA23 Y25:AA29 AB14:AK29" xr:uid="{CE2FFFDA-F91D-4E14-8947-4ED249C62EA2}">
      <formula1>0</formula1>
      <formula2>1</formula2>
    </dataValidation>
    <dataValidation allowBlank="1" showErrorMessage="1" sqref="X14:X29" xr:uid="{63CB21F1-C858-4BE2-9278-FC48220247D7}"/>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97E4-155D-458B-9E28-78AED7DA54BC}">
  <dimension ref="A1:S18"/>
  <sheetViews>
    <sheetView zoomScale="50" zoomScaleNormal="50" workbookViewId="0">
      <selection activeCell="F1" sqref="F1:S3"/>
    </sheetView>
  </sheetViews>
  <sheetFormatPr defaultColWidth="11.42578125" defaultRowHeight="14.45"/>
  <cols>
    <col min="1" max="19" width="30.42578125" style="89" customWidth="1"/>
    <col min="20" max="16384" width="11.42578125" style="89"/>
  </cols>
  <sheetData>
    <row r="1" spans="1:19" ht="14.45" customHeight="1">
      <c r="A1" s="390"/>
      <c r="B1" s="391"/>
      <c r="C1" s="391"/>
      <c r="D1" s="391"/>
      <c r="E1" s="392"/>
      <c r="F1" s="221" t="s">
        <v>891</v>
      </c>
      <c r="G1" s="221"/>
      <c r="H1" s="221"/>
      <c r="I1" s="221"/>
      <c r="J1" s="221"/>
      <c r="K1" s="221"/>
      <c r="L1" s="221"/>
      <c r="M1" s="221"/>
      <c r="N1" s="221"/>
      <c r="O1" s="221"/>
      <c r="P1" s="221"/>
      <c r="Q1" s="221"/>
      <c r="R1" s="221"/>
      <c r="S1" s="221"/>
    </row>
    <row r="2" spans="1:19" ht="14.45" customHeight="1">
      <c r="A2" s="393"/>
      <c r="B2" s="394"/>
      <c r="C2" s="394"/>
      <c r="D2" s="394"/>
      <c r="E2" s="395"/>
      <c r="F2" s="221"/>
      <c r="G2" s="221"/>
      <c r="H2" s="221"/>
      <c r="I2" s="221"/>
      <c r="J2" s="221"/>
      <c r="K2" s="221"/>
      <c r="L2" s="221"/>
      <c r="M2" s="221"/>
      <c r="N2" s="221"/>
      <c r="O2" s="221"/>
      <c r="P2" s="221"/>
      <c r="Q2" s="221"/>
      <c r="R2" s="221"/>
      <c r="S2" s="221"/>
    </row>
    <row r="3" spans="1:19" ht="15" customHeight="1" thickBot="1">
      <c r="A3" s="396"/>
      <c r="B3" s="397"/>
      <c r="C3" s="397"/>
      <c r="D3" s="397"/>
      <c r="E3" s="398"/>
      <c r="F3" s="221"/>
      <c r="G3" s="221"/>
      <c r="H3" s="221"/>
      <c r="I3" s="221"/>
      <c r="J3" s="221"/>
      <c r="K3" s="221"/>
      <c r="L3" s="221"/>
      <c r="M3" s="221"/>
      <c r="N3" s="221"/>
      <c r="O3" s="221"/>
      <c r="P3" s="221"/>
      <c r="Q3" s="221"/>
      <c r="R3" s="221"/>
      <c r="S3" s="221"/>
    </row>
    <row r="4" spans="1:19" ht="45" customHeight="1" thickBot="1">
      <c r="A4" s="399" t="s">
        <v>20</v>
      </c>
      <c r="B4" s="399"/>
      <c r="C4" s="399"/>
      <c r="D4" s="399"/>
      <c r="E4" s="399"/>
      <c r="F4" s="400"/>
      <c r="G4" s="401" t="s">
        <v>21</v>
      </c>
      <c r="H4" s="402"/>
      <c r="I4" s="402"/>
      <c r="J4" s="402"/>
      <c r="K4" s="402"/>
      <c r="L4" s="402"/>
      <c r="M4" s="402"/>
      <c r="N4" s="402"/>
      <c r="O4" s="402"/>
      <c r="P4" s="402"/>
      <c r="Q4" s="402"/>
      <c r="R4" s="402"/>
      <c r="S4" s="402"/>
    </row>
    <row r="5" spans="1:19" ht="42" customHeight="1">
      <c r="A5" s="389" t="s">
        <v>24</v>
      </c>
      <c r="B5" s="387" t="s">
        <v>25</v>
      </c>
      <c r="C5" s="387" t="s">
        <v>26</v>
      </c>
      <c r="D5" s="387" t="s">
        <v>27</v>
      </c>
      <c r="E5" s="387" t="s">
        <v>28</v>
      </c>
      <c r="F5" s="387" t="s">
        <v>29</v>
      </c>
      <c r="G5" s="387" t="s">
        <v>892</v>
      </c>
      <c r="H5" s="387" t="s">
        <v>893</v>
      </c>
      <c r="I5" s="387" t="s">
        <v>894</v>
      </c>
      <c r="J5" s="387" t="s">
        <v>895</v>
      </c>
      <c r="K5" s="387" t="s">
        <v>896</v>
      </c>
      <c r="L5" s="387" t="s">
        <v>849</v>
      </c>
      <c r="M5" s="387" t="s">
        <v>850</v>
      </c>
      <c r="N5" s="389" t="s">
        <v>33</v>
      </c>
      <c r="O5" s="389" t="s">
        <v>34</v>
      </c>
      <c r="P5" s="389" t="s">
        <v>35</v>
      </c>
      <c r="Q5" s="389" t="s">
        <v>36</v>
      </c>
      <c r="R5" s="202" t="s">
        <v>37</v>
      </c>
      <c r="S5" s="203" t="s">
        <v>38</v>
      </c>
    </row>
    <row r="6" spans="1:19">
      <c r="A6" s="388"/>
      <c r="B6" s="388"/>
      <c r="C6" s="388"/>
      <c r="D6" s="388"/>
      <c r="E6" s="388"/>
      <c r="F6" s="388"/>
      <c r="G6" s="388"/>
      <c r="H6" s="388"/>
      <c r="I6" s="388"/>
      <c r="J6" s="388"/>
      <c r="K6" s="388"/>
      <c r="L6" s="388"/>
      <c r="M6" s="388"/>
      <c r="N6" s="388"/>
      <c r="O6" s="388"/>
      <c r="P6" s="388"/>
      <c r="Q6" s="388"/>
      <c r="R6" s="204" t="s">
        <v>897</v>
      </c>
      <c r="S6" s="204" t="s">
        <v>898</v>
      </c>
    </row>
    <row r="7" spans="1:19" ht="409.6" customHeight="1">
      <c r="A7" s="383">
        <v>1</v>
      </c>
      <c r="B7" s="383" t="s">
        <v>184</v>
      </c>
      <c r="C7" s="383" t="s">
        <v>97</v>
      </c>
      <c r="D7" s="383" t="s">
        <v>98</v>
      </c>
      <c r="E7" s="383" t="s">
        <v>99</v>
      </c>
      <c r="F7" s="385" t="s">
        <v>899</v>
      </c>
      <c r="G7" s="383" t="s">
        <v>900</v>
      </c>
      <c r="H7" s="383" t="s">
        <v>901</v>
      </c>
      <c r="I7" s="383" t="s">
        <v>902</v>
      </c>
      <c r="J7" s="383" t="s">
        <v>100</v>
      </c>
      <c r="K7" s="383" t="s">
        <v>903</v>
      </c>
      <c r="L7" s="383" t="s">
        <v>904</v>
      </c>
      <c r="M7" s="383" t="s">
        <v>905</v>
      </c>
      <c r="N7" s="383" t="s">
        <v>831</v>
      </c>
      <c r="O7" s="381" t="s">
        <v>832</v>
      </c>
      <c r="P7" s="381" t="s">
        <v>832</v>
      </c>
      <c r="Q7" s="381" t="s">
        <v>841</v>
      </c>
      <c r="R7" s="381" t="s">
        <v>45</v>
      </c>
      <c r="S7" s="381" t="s">
        <v>47</v>
      </c>
    </row>
    <row r="8" spans="1:19">
      <c r="A8" s="384"/>
      <c r="B8" s="384"/>
      <c r="C8" s="384"/>
      <c r="D8" s="384"/>
      <c r="E8" s="384"/>
      <c r="F8" s="386"/>
      <c r="G8" s="384"/>
      <c r="H8" s="384"/>
      <c r="I8" s="384"/>
      <c r="J8" s="384"/>
      <c r="K8" s="384"/>
      <c r="L8" s="384"/>
      <c r="M8" s="384"/>
      <c r="N8" s="384"/>
      <c r="O8" s="382"/>
      <c r="P8" s="382"/>
      <c r="Q8" s="382"/>
      <c r="R8" s="382"/>
      <c r="S8" s="382"/>
    </row>
    <row r="9" spans="1:19" ht="304.5" customHeight="1">
      <c r="A9" s="383">
        <v>2</v>
      </c>
      <c r="B9" s="383" t="s">
        <v>184</v>
      </c>
      <c r="C9" s="383" t="s">
        <v>97</v>
      </c>
      <c r="D9" s="383" t="s">
        <v>98</v>
      </c>
      <c r="E9" s="383" t="s">
        <v>99</v>
      </c>
      <c r="F9" s="385" t="s">
        <v>899</v>
      </c>
      <c r="G9" s="383" t="s">
        <v>906</v>
      </c>
      <c r="H9" s="383" t="s">
        <v>907</v>
      </c>
      <c r="I9" s="383" t="s">
        <v>908</v>
      </c>
      <c r="J9" s="383" t="s">
        <v>100</v>
      </c>
      <c r="K9" s="383" t="s">
        <v>909</v>
      </c>
      <c r="L9" s="383" t="s">
        <v>859</v>
      </c>
      <c r="M9" s="383" t="s">
        <v>905</v>
      </c>
      <c r="N9" s="383" t="s">
        <v>831</v>
      </c>
      <c r="O9" s="381" t="s">
        <v>832</v>
      </c>
      <c r="P9" s="381" t="s">
        <v>832</v>
      </c>
      <c r="Q9" s="381" t="s">
        <v>69</v>
      </c>
      <c r="R9" s="381" t="s">
        <v>44</v>
      </c>
      <c r="S9" s="381" t="s">
        <v>52</v>
      </c>
    </row>
    <row r="10" spans="1:19">
      <c r="A10" s="384"/>
      <c r="B10" s="384"/>
      <c r="C10" s="384"/>
      <c r="D10" s="384"/>
      <c r="E10" s="384"/>
      <c r="F10" s="386"/>
      <c r="G10" s="384"/>
      <c r="H10" s="384"/>
      <c r="I10" s="384"/>
      <c r="J10" s="384"/>
      <c r="K10" s="384"/>
      <c r="L10" s="384"/>
      <c r="M10" s="384"/>
      <c r="N10" s="384"/>
      <c r="O10" s="382"/>
      <c r="P10" s="382"/>
      <c r="Q10" s="382"/>
      <c r="R10" s="382"/>
      <c r="S10" s="382"/>
    </row>
    <row r="11" spans="1:19" ht="290.10000000000002" customHeight="1">
      <c r="A11" s="383">
        <v>3</v>
      </c>
      <c r="B11" s="383" t="s">
        <v>184</v>
      </c>
      <c r="C11" s="383" t="s">
        <v>59</v>
      </c>
      <c r="D11" s="383" t="s">
        <v>173</v>
      </c>
      <c r="E11" s="383" t="s">
        <v>61</v>
      </c>
      <c r="F11" s="385" t="s">
        <v>899</v>
      </c>
      <c r="G11" s="383" t="s">
        <v>910</v>
      </c>
      <c r="H11" s="383" t="s">
        <v>911</v>
      </c>
      <c r="I11" s="383" t="s">
        <v>912</v>
      </c>
      <c r="J11" s="383" t="s">
        <v>63</v>
      </c>
      <c r="K11" s="383" t="s">
        <v>909</v>
      </c>
      <c r="L11" s="383" t="s">
        <v>859</v>
      </c>
      <c r="M11" s="383" t="s">
        <v>905</v>
      </c>
      <c r="N11" s="383" t="s">
        <v>831</v>
      </c>
      <c r="O11" s="381" t="s">
        <v>832</v>
      </c>
      <c r="P11" s="381" t="s">
        <v>832</v>
      </c>
      <c r="Q11" s="381" t="s">
        <v>841</v>
      </c>
      <c r="R11" s="381" t="s">
        <v>43</v>
      </c>
      <c r="S11" s="381" t="s">
        <v>44</v>
      </c>
    </row>
    <row r="12" spans="1:19">
      <c r="A12" s="384"/>
      <c r="B12" s="384"/>
      <c r="C12" s="384"/>
      <c r="D12" s="384"/>
      <c r="E12" s="384"/>
      <c r="F12" s="386"/>
      <c r="G12" s="384"/>
      <c r="H12" s="384"/>
      <c r="I12" s="384"/>
      <c r="J12" s="384"/>
      <c r="K12" s="384"/>
      <c r="L12" s="384"/>
      <c r="M12" s="384"/>
      <c r="N12" s="384"/>
      <c r="O12" s="382"/>
      <c r="P12" s="382"/>
      <c r="Q12" s="382"/>
      <c r="R12" s="382"/>
      <c r="S12" s="382"/>
    </row>
    <row r="13" spans="1:19" ht="409.6" customHeight="1">
      <c r="A13" s="383">
        <v>4</v>
      </c>
      <c r="B13" s="383" t="s">
        <v>161</v>
      </c>
      <c r="C13" s="383" t="s">
        <v>80</v>
      </c>
      <c r="D13" s="383" t="s">
        <v>81</v>
      </c>
      <c r="E13" s="383" t="s">
        <v>82</v>
      </c>
      <c r="F13" s="385" t="s">
        <v>899</v>
      </c>
      <c r="G13" s="383" t="s">
        <v>913</v>
      </c>
      <c r="H13" s="383" t="s">
        <v>914</v>
      </c>
      <c r="I13" s="383" t="s">
        <v>915</v>
      </c>
      <c r="J13" s="383" t="s">
        <v>916</v>
      </c>
      <c r="K13" s="383" t="s">
        <v>909</v>
      </c>
      <c r="L13" s="383" t="s">
        <v>859</v>
      </c>
      <c r="M13" s="383" t="s">
        <v>905</v>
      </c>
      <c r="N13" s="383" t="s">
        <v>831</v>
      </c>
      <c r="O13" s="381" t="s">
        <v>832</v>
      </c>
      <c r="P13" s="381" t="s">
        <v>832</v>
      </c>
      <c r="Q13" s="381" t="s">
        <v>69</v>
      </c>
      <c r="R13" s="381" t="s">
        <v>44</v>
      </c>
      <c r="S13" s="381" t="s">
        <v>52</v>
      </c>
    </row>
    <row r="14" spans="1:19">
      <c r="A14" s="384"/>
      <c r="B14" s="384"/>
      <c r="C14" s="384"/>
      <c r="D14" s="384"/>
      <c r="E14" s="384"/>
      <c r="F14" s="386"/>
      <c r="G14" s="384"/>
      <c r="H14" s="384"/>
      <c r="I14" s="384"/>
      <c r="J14" s="384"/>
      <c r="K14" s="384"/>
      <c r="L14" s="384"/>
      <c r="M14" s="384"/>
      <c r="N14" s="384"/>
      <c r="O14" s="382"/>
      <c r="P14" s="382"/>
      <c r="Q14" s="382"/>
      <c r="R14" s="382"/>
      <c r="S14" s="382"/>
    </row>
    <row r="15" spans="1:19" ht="231.95" customHeight="1">
      <c r="A15" s="383">
        <v>5</v>
      </c>
      <c r="B15" s="383" t="s">
        <v>131</v>
      </c>
      <c r="C15" s="383" t="s">
        <v>85</v>
      </c>
      <c r="D15" s="383" t="s">
        <v>917</v>
      </c>
      <c r="E15" s="383" t="s">
        <v>918</v>
      </c>
      <c r="F15" s="385" t="s">
        <v>899</v>
      </c>
      <c r="G15" s="383" t="s">
        <v>919</v>
      </c>
      <c r="H15" s="383" t="s">
        <v>920</v>
      </c>
      <c r="I15" s="383" t="s">
        <v>921</v>
      </c>
      <c r="J15" s="383" t="s">
        <v>155</v>
      </c>
      <c r="K15" s="383" t="s">
        <v>909</v>
      </c>
      <c r="L15" s="383" t="s">
        <v>859</v>
      </c>
      <c r="M15" s="383" t="s">
        <v>905</v>
      </c>
      <c r="N15" s="383" t="s">
        <v>831</v>
      </c>
      <c r="O15" s="381" t="s">
        <v>832</v>
      </c>
      <c r="P15" s="381" t="s">
        <v>832</v>
      </c>
      <c r="Q15" s="381" t="s">
        <v>69</v>
      </c>
      <c r="R15" s="381" t="s">
        <v>44</v>
      </c>
      <c r="S15" s="381" t="s">
        <v>52</v>
      </c>
    </row>
    <row r="16" spans="1:19">
      <c r="A16" s="384"/>
      <c r="B16" s="384"/>
      <c r="C16" s="384"/>
      <c r="D16" s="384"/>
      <c r="E16" s="384"/>
      <c r="F16" s="386"/>
      <c r="G16" s="384"/>
      <c r="H16" s="384"/>
      <c r="I16" s="384"/>
      <c r="J16" s="384"/>
      <c r="K16" s="384"/>
      <c r="L16" s="384"/>
      <c r="M16" s="384"/>
      <c r="N16" s="384"/>
      <c r="O16" s="382"/>
      <c r="P16" s="382"/>
      <c r="Q16" s="382"/>
      <c r="R16" s="382"/>
      <c r="S16" s="382"/>
    </row>
    <row r="17" spans="1:19" ht="275.45" customHeight="1">
      <c r="A17" s="383">
        <v>6</v>
      </c>
      <c r="B17" s="383" t="s">
        <v>184</v>
      </c>
      <c r="C17" s="383" t="s">
        <v>97</v>
      </c>
      <c r="D17" s="383" t="s">
        <v>98</v>
      </c>
      <c r="E17" s="383" t="s">
        <v>99</v>
      </c>
      <c r="F17" s="385" t="s">
        <v>899</v>
      </c>
      <c r="G17" s="383" t="s">
        <v>922</v>
      </c>
      <c r="H17" s="383" t="s">
        <v>923</v>
      </c>
      <c r="I17" s="383" t="s">
        <v>924</v>
      </c>
      <c r="J17" s="383" t="s">
        <v>100</v>
      </c>
      <c r="K17" s="383" t="s">
        <v>909</v>
      </c>
      <c r="L17" s="383" t="s">
        <v>859</v>
      </c>
      <c r="M17" s="383" t="s">
        <v>905</v>
      </c>
      <c r="N17" s="383" t="s">
        <v>831</v>
      </c>
      <c r="O17" s="381" t="s">
        <v>832</v>
      </c>
      <c r="P17" s="381" t="s">
        <v>832</v>
      </c>
      <c r="Q17" s="381" t="s">
        <v>69</v>
      </c>
      <c r="R17" s="381" t="s">
        <v>44</v>
      </c>
      <c r="S17" s="381" t="s">
        <v>52</v>
      </c>
    </row>
    <row r="18" spans="1:19">
      <c r="A18" s="384"/>
      <c r="B18" s="384"/>
      <c r="C18" s="384"/>
      <c r="D18" s="384"/>
      <c r="E18" s="384"/>
      <c r="F18" s="386"/>
      <c r="G18" s="384"/>
      <c r="H18" s="384"/>
      <c r="I18" s="384"/>
      <c r="J18" s="384"/>
      <c r="K18" s="384"/>
      <c r="L18" s="384"/>
      <c r="M18" s="384"/>
      <c r="N18" s="384"/>
      <c r="O18" s="382"/>
      <c r="P18" s="382"/>
      <c r="Q18" s="382"/>
      <c r="R18" s="382"/>
      <c r="S18" s="382"/>
    </row>
  </sheetData>
  <mergeCells count="135">
    <mergeCell ref="A1:E3"/>
    <mergeCell ref="F1:S3"/>
    <mergeCell ref="A4:F4"/>
    <mergeCell ref="G4:S4"/>
    <mergeCell ref="A5:A6"/>
    <mergeCell ref="B5:B6"/>
    <mergeCell ref="C5:C6"/>
    <mergeCell ref="D5:D6"/>
    <mergeCell ref="E5:E6"/>
    <mergeCell ref="F5:F6"/>
    <mergeCell ref="M5:M6"/>
    <mergeCell ref="N5:N6"/>
    <mergeCell ref="O5:O6"/>
    <mergeCell ref="P5:P6"/>
    <mergeCell ref="Q5:Q6"/>
    <mergeCell ref="A7:A8"/>
    <mergeCell ref="B7:B8"/>
    <mergeCell ref="C7:C8"/>
    <mergeCell ref="D7:D8"/>
    <mergeCell ref="E7:E8"/>
    <mergeCell ref="G5:G6"/>
    <mergeCell ref="H5:H6"/>
    <mergeCell ref="I5:I6"/>
    <mergeCell ref="J5:J6"/>
    <mergeCell ref="K5:K6"/>
    <mergeCell ref="L5:L6"/>
    <mergeCell ref="R7:R8"/>
    <mergeCell ref="S7:S8"/>
    <mergeCell ref="A9:A10"/>
    <mergeCell ref="B9:B10"/>
    <mergeCell ref="C9:C10"/>
    <mergeCell ref="D9:D10"/>
    <mergeCell ref="E9:E10"/>
    <mergeCell ref="F9:F10"/>
    <mergeCell ref="G9:G10"/>
    <mergeCell ref="H9:H10"/>
    <mergeCell ref="L7:L8"/>
    <mergeCell ref="M7:M8"/>
    <mergeCell ref="N7:N8"/>
    <mergeCell ref="O7:O8"/>
    <mergeCell ref="P7:P8"/>
    <mergeCell ref="Q7:Q8"/>
    <mergeCell ref="F7:F8"/>
    <mergeCell ref="G7:G8"/>
    <mergeCell ref="H7:H8"/>
    <mergeCell ref="I7:I8"/>
    <mergeCell ref="J7:J8"/>
    <mergeCell ref="K7:K8"/>
    <mergeCell ref="O9:O10"/>
    <mergeCell ref="P9:P10"/>
    <mergeCell ref="Q9:Q10"/>
    <mergeCell ref="R9:R10"/>
    <mergeCell ref="S9:S10"/>
    <mergeCell ref="A11:A12"/>
    <mergeCell ref="B11:B12"/>
    <mergeCell ref="C11:C12"/>
    <mergeCell ref="D11:D12"/>
    <mergeCell ref="E11:E12"/>
    <mergeCell ref="I9:I10"/>
    <mergeCell ref="J9:J10"/>
    <mergeCell ref="K9:K10"/>
    <mergeCell ref="L9:L10"/>
    <mergeCell ref="M9:M10"/>
    <mergeCell ref="N9:N10"/>
    <mergeCell ref="R11:R12"/>
    <mergeCell ref="S11:S12"/>
    <mergeCell ref="A13:A14"/>
    <mergeCell ref="B13:B14"/>
    <mergeCell ref="C13:C14"/>
    <mergeCell ref="D13:D14"/>
    <mergeCell ref="E13:E14"/>
    <mergeCell ref="F13:F14"/>
    <mergeCell ref="G13:G14"/>
    <mergeCell ref="H13:H14"/>
    <mergeCell ref="L11:L12"/>
    <mergeCell ref="M11:M12"/>
    <mergeCell ref="N11:N12"/>
    <mergeCell ref="O11:O12"/>
    <mergeCell ref="P11:P12"/>
    <mergeCell ref="Q11:Q12"/>
    <mergeCell ref="F11:F12"/>
    <mergeCell ref="G11:G12"/>
    <mergeCell ref="H11:H12"/>
    <mergeCell ref="I11:I12"/>
    <mergeCell ref="J11:J12"/>
    <mergeCell ref="K11:K12"/>
    <mergeCell ref="O13:O14"/>
    <mergeCell ref="P13:P14"/>
    <mergeCell ref="Q13:Q14"/>
    <mergeCell ref="R13:R14"/>
    <mergeCell ref="S13:S14"/>
    <mergeCell ref="A15:A16"/>
    <mergeCell ref="B15:B16"/>
    <mergeCell ref="C15:C16"/>
    <mergeCell ref="D15:D16"/>
    <mergeCell ref="E15:E16"/>
    <mergeCell ref="I13:I14"/>
    <mergeCell ref="J13:J14"/>
    <mergeCell ref="K13:K14"/>
    <mergeCell ref="L13:L14"/>
    <mergeCell ref="M13:M14"/>
    <mergeCell ref="N13:N14"/>
    <mergeCell ref="R15:R16"/>
    <mergeCell ref="S15:S16"/>
    <mergeCell ref="A17:A18"/>
    <mergeCell ref="B17:B18"/>
    <mergeCell ref="C17:C18"/>
    <mergeCell ref="D17:D18"/>
    <mergeCell ref="E17:E18"/>
    <mergeCell ref="F17:F18"/>
    <mergeCell ref="G17:G18"/>
    <mergeCell ref="H17:H18"/>
    <mergeCell ref="L15:L16"/>
    <mergeCell ref="M15:M16"/>
    <mergeCell ref="N15:N16"/>
    <mergeCell ref="O15:O16"/>
    <mergeCell ref="P15:P16"/>
    <mergeCell ref="Q15:Q16"/>
    <mergeCell ref="F15:F16"/>
    <mergeCell ref="G15:G16"/>
    <mergeCell ref="H15:H16"/>
    <mergeCell ref="I15:I16"/>
    <mergeCell ref="J15:J16"/>
    <mergeCell ref="K15:K16"/>
    <mergeCell ref="O17:O18"/>
    <mergeCell ref="P17:P18"/>
    <mergeCell ref="Q17:Q18"/>
    <mergeCell ref="R17:R18"/>
    <mergeCell ref="S17:S18"/>
    <mergeCell ref="I17:I18"/>
    <mergeCell ref="J17:J18"/>
    <mergeCell ref="K17:K18"/>
    <mergeCell ref="L17:L18"/>
    <mergeCell ref="M17:M18"/>
    <mergeCell ref="N17:N18"/>
  </mergeCells>
  <pageMargins left="0.7" right="0.7" top="0.75" bottom="0.75" header="0.3" footer="0.3"/>
  <headerFooter>
    <oddFooter>&amp;C_x000D_&amp;1#&amp;"Calibri"&amp;10&amp;K008000 DOCUMENTO PÚBLICO</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51CB-FFDF-4B66-9DFF-B1AA7CAF69BE}">
  <dimension ref="A1:BJ113"/>
  <sheetViews>
    <sheetView showGridLines="0" view="pageBreakPreview" zoomScale="59" zoomScaleNormal="10" zoomScaleSheetLayoutView="59" zoomScalePageLayoutView="48" workbookViewId="0">
      <selection activeCell="C6" sqref="C6:D10"/>
    </sheetView>
  </sheetViews>
  <sheetFormatPr defaultColWidth="12.5703125" defaultRowHeight="15" customHeight="1"/>
  <cols>
    <col min="1" max="1" width="7.140625" style="1" customWidth="1"/>
    <col min="2" max="4" width="28.5703125" style="1" customWidth="1"/>
    <col min="5" max="5" width="36.42578125" style="1" customWidth="1"/>
    <col min="6" max="6" width="28.5703125" style="1" hidden="1" customWidth="1"/>
    <col min="7" max="10" width="28.5703125" style="1" customWidth="1"/>
    <col min="11" max="12" width="19.5703125" style="1" customWidth="1"/>
    <col min="13" max="13" width="28.5703125" style="1" customWidth="1"/>
    <col min="14" max="17" width="18.140625" style="1" customWidth="1"/>
    <col min="18" max="20" width="13.85546875" style="1" customWidth="1"/>
    <col min="21" max="33" width="9.5703125" style="1" customWidth="1"/>
    <col min="34" max="34" width="35.85546875" style="1" customWidth="1"/>
    <col min="35" max="37" width="42.5703125" style="1" customWidth="1"/>
    <col min="38" max="16384" width="12.5703125" style="1"/>
  </cols>
  <sheetData>
    <row r="1" spans="1:62" s="55" customFormat="1" ht="15" customHeight="1">
      <c r="A1" s="290"/>
      <c r="B1" s="291"/>
      <c r="C1" s="292"/>
      <c r="D1" s="221" t="s">
        <v>925</v>
      </c>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2" spans="1:62" s="55" customFormat="1" ht="20.100000000000001" customHeight="1">
      <c r="A2" s="293"/>
      <c r="B2" s="294"/>
      <c r="C2" s="295"/>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69"/>
      <c r="AM2" s="69"/>
      <c r="AN2" s="69"/>
      <c r="AO2" s="69"/>
      <c r="AP2" s="69"/>
      <c r="AQ2" s="69"/>
      <c r="AR2" s="69"/>
      <c r="AS2" s="69"/>
      <c r="AT2" s="69"/>
      <c r="AU2" s="69"/>
      <c r="AV2" s="69"/>
      <c r="AW2" s="69"/>
      <c r="AX2" s="69"/>
      <c r="AY2" s="69"/>
      <c r="AZ2" s="69"/>
      <c r="BA2" s="69"/>
      <c r="BB2" s="69"/>
      <c r="BC2" s="69"/>
      <c r="BD2" s="69"/>
      <c r="BE2" s="69"/>
      <c r="BF2" s="69"/>
      <c r="BG2" s="69"/>
      <c r="BH2" s="69"/>
      <c r="BI2" s="69"/>
      <c r="BJ2" s="69"/>
    </row>
    <row r="3" spans="1:62" s="55" customFormat="1" ht="60" customHeight="1" thickBot="1">
      <c r="A3" s="296"/>
      <c r="B3" s="297"/>
      <c r="C3" s="298"/>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69"/>
      <c r="AM3" s="69"/>
      <c r="AN3" s="69"/>
      <c r="AO3" s="69"/>
      <c r="AP3" s="69"/>
      <c r="AQ3" s="69"/>
      <c r="AR3" s="69"/>
      <c r="AS3" s="69"/>
      <c r="AT3" s="69"/>
      <c r="AU3" s="69"/>
      <c r="AV3" s="69"/>
      <c r="AW3" s="69"/>
      <c r="AX3" s="69"/>
      <c r="AY3" s="69"/>
      <c r="AZ3" s="69"/>
      <c r="BA3" s="69"/>
      <c r="BB3" s="69"/>
      <c r="BC3" s="69"/>
      <c r="BD3" s="69"/>
      <c r="BE3" s="69"/>
      <c r="BF3" s="69"/>
      <c r="BG3" s="69"/>
      <c r="BH3" s="69"/>
      <c r="BI3" s="69"/>
      <c r="BJ3" s="69"/>
    </row>
    <row r="4" spans="1:62" s="55" customFormat="1" ht="60" hidden="1" customHeight="1">
      <c r="A4" s="282" t="s">
        <v>7</v>
      </c>
      <c r="B4" s="8" t="s">
        <v>8</v>
      </c>
      <c r="C4" s="10">
        <v>0.7</v>
      </c>
      <c r="D4" s="10"/>
      <c r="E4" s="10"/>
      <c r="F4" s="9"/>
      <c r="G4" s="282" t="s">
        <v>9</v>
      </c>
      <c r="H4" s="8" t="s">
        <v>8</v>
      </c>
      <c r="I4" s="10">
        <v>0.7</v>
      </c>
      <c r="J4" s="56"/>
      <c r="K4" s="57"/>
      <c r="L4" s="57"/>
      <c r="M4" s="57"/>
      <c r="N4" s="57"/>
      <c r="O4" s="57"/>
      <c r="P4" s="57"/>
      <c r="Q4" s="57"/>
      <c r="R4" s="57"/>
      <c r="S4" s="57"/>
      <c r="T4" s="57"/>
      <c r="U4" s="57"/>
      <c r="V4" s="57"/>
      <c r="W4" s="57"/>
      <c r="X4" s="57"/>
      <c r="Y4" s="57"/>
      <c r="Z4" s="57"/>
      <c r="AA4" s="57"/>
      <c r="AB4" s="57"/>
      <c r="AC4" s="57"/>
      <c r="AD4" s="57"/>
      <c r="AE4" s="57"/>
      <c r="AF4" s="57"/>
      <c r="AG4" s="57"/>
      <c r="AH4" s="57"/>
      <c r="AI4" s="57"/>
    </row>
    <row r="5" spans="1:62" s="55" customFormat="1" ht="60" hidden="1" customHeight="1" thickBot="1">
      <c r="A5" s="282"/>
      <c r="B5" s="8" t="s">
        <v>10</v>
      </c>
      <c r="C5" s="11">
        <v>0.9</v>
      </c>
      <c r="D5" s="11"/>
      <c r="E5" s="11"/>
      <c r="F5" s="11">
        <v>1</v>
      </c>
      <c r="G5" s="282"/>
      <c r="H5" s="8" t="s">
        <v>10</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c r="AI5" s="57"/>
    </row>
    <row r="6" spans="1:62" ht="20.100000000000001" customHeight="1">
      <c r="A6" s="289" t="s">
        <v>11</v>
      </c>
      <c r="B6" s="289"/>
      <c r="C6" s="299" t="s">
        <v>100</v>
      </c>
      <c r="D6" s="299"/>
      <c r="E6" s="274" t="s">
        <v>13</v>
      </c>
      <c r="F6" s="274"/>
      <c r="G6" s="271">
        <f>+S15+S17+S19+S21+S23+S25+S27+S29+S31+S33+S35+S37+S39+S41+S43+S45+S47+S49+S51+S53+S55+S57+S59+S61+S63+S65+S67+S69+S71+S73+S75+S77+S79+S81+S83+S85+S87+S89+S91+S95+S99+S101+S103+S105+S107+S109+S111+S113+S93+S97</f>
        <v>1.0000000000000004</v>
      </c>
      <c r="H6" s="274" t="s">
        <v>14</v>
      </c>
      <c r="I6" s="274"/>
      <c r="J6" s="275">
        <f>+S14+S16+S18+S20+S22+S24+S26+S28+S30+S32+S34+S36+S38+S40+S42+S44+S46+S48+S50+S52+S54+S56+S58+S60+S62+S64+S66+S68+S72+S74+S76+S78+S80+S82+S84+S86+S88+S90+S92+S94+S96+S98+S100+S102+S104+S106+S108+S110+S112</f>
        <v>0</v>
      </c>
      <c r="K6" s="283" t="s">
        <v>15</v>
      </c>
      <c r="L6" s="284"/>
      <c r="M6" s="278">
        <v>0.95</v>
      </c>
      <c r="N6" s="228" t="s">
        <v>16</v>
      </c>
      <c r="O6" s="256"/>
      <c r="P6" s="256"/>
      <c r="Q6" s="257"/>
      <c r="R6" s="281">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c r="S6" s="281"/>
      <c r="T6" s="281"/>
      <c r="U6" s="228" t="s">
        <v>17</v>
      </c>
      <c r="V6" s="256"/>
      <c r="W6" s="256"/>
      <c r="X6" s="257"/>
      <c r="Y6" s="262">
        <f>(SUM(AA14,AA16,AA18,AA20,AA22,AA24,X26,X28,X30,X32,X34,V36:X36,X38,X40,X42,X44,X46,X48,X50,X52,X54,X56,V58:X58,X60,X62,V64:X64,X66,X68,X70,V72:X72,X74,V76:X76,X78,X80,V82:X82,X84,X86,X88,X90,X92,X94,X96,X98,V100:X100,X104,X106,X108,X110,X112)/SUM(AA15,AA17,AA19,AA21,X23,X25,X27,X29,X31,X33,X35,V37:X37,X39,X41,X43,X45,X47,X49,X51,X53,X55,X57,V59:X59,X61,X63,V65:X65,X67,X69,X71,V73:X73,X75,V77:X77,X79,X81,V83:X83,X85,X87,X89,X91,X93,X95,X97,X99,X101,X103,X105,X107,X109,X111,X113))</f>
        <v>0</v>
      </c>
      <c r="Z6" s="263"/>
      <c r="AA6" s="263"/>
      <c r="AB6" s="264"/>
      <c r="AC6" s="228" t="s">
        <v>18</v>
      </c>
      <c r="AD6" s="256"/>
      <c r="AE6" s="256"/>
      <c r="AF6" s="257"/>
      <c r="AG6" s="222">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c r="AH6" s="223"/>
      <c r="AI6" s="228" t="s">
        <v>19</v>
      </c>
      <c r="AJ6" s="222">
        <f>(SUM(X14,X16,X18,X20,X22,X24,X26,X28,X30,X32,X34,V36:X36,X38,X40,X42,X44,X46,X48,X50,X52,X54,X56,V58:X58,X60,X62,V64:X64,X66,X68,X70,V72:X72,X74,V76:X76,X78,X80,V82:X82,X84,X86,X88,X90,X92,X94,X96,X98,V100:X100,X104,X106,X108,X110,X112)/SUM(X15,X17,X19,X21,X23,X25,X27,X29,X31,X33,X35,V37:X37,X39,X41,X43,X45,X47,X49,X51,X53,X55,X57,V59:X59,X61,X63,V65:X65,X67,X69,X71,V73:X73,X75,V77:X77,X79,X81,V83:X83,X85,X87,X89,X91,X93,X95,X97,X99,X101,X103,X105,X107,X109,X111,X113))</f>
        <v>0</v>
      </c>
    </row>
    <row r="7" spans="1:62" ht="15" customHeight="1">
      <c r="A7" s="289"/>
      <c r="B7" s="289"/>
      <c r="C7" s="299"/>
      <c r="D7" s="299"/>
      <c r="E7" s="274"/>
      <c r="F7" s="274"/>
      <c r="G7" s="272"/>
      <c r="H7" s="274"/>
      <c r="I7" s="274"/>
      <c r="J7" s="276"/>
      <c r="K7" s="285"/>
      <c r="L7" s="286"/>
      <c r="M7" s="279"/>
      <c r="N7" s="229"/>
      <c r="O7" s="258"/>
      <c r="P7" s="258"/>
      <c r="Q7" s="259"/>
      <c r="R7" s="281"/>
      <c r="S7" s="281"/>
      <c r="T7" s="281"/>
      <c r="U7" s="229"/>
      <c r="V7" s="258"/>
      <c r="W7" s="258"/>
      <c r="X7" s="259"/>
      <c r="Y7" s="265"/>
      <c r="Z7" s="266"/>
      <c r="AA7" s="266"/>
      <c r="AB7" s="267"/>
      <c r="AC7" s="229"/>
      <c r="AD7" s="258"/>
      <c r="AE7" s="258"/>
      <c r="AF7" s="259"/>
      <c r="AG7" s="224"/>
      <c r="AH7" s="225"/>
      <c r="AI7" s="229"/>
      <c r="AJ7" s="224"/>
    </row>
    <row r="8" spans="1:62" ht="24.95" hidden="1" customHeight="1" thickBot="1">
      <c r="A8" s="289"/>
      <c r="B8" s="289"/>
      <c r="C8" s="299"/>
      <c r="D8" s="299"/>
      <c r="E8" s="274"/>
      <c r="F8" s="274"/>
      <c r="G8" s="272"/>
      <c r="H8" s="274"/>
      <c r="I8" s="274"/>
      <c r="J8" s="276"/>
      <c r="K8" s="285"/>
      <c r="L8" s="286"/>
      <c r="M8" s="279"/>
      <c r="N8" s="229"/>
      <c r="O8" s="258"/>
      <c r="P8" s="258"/>
      <c r="Q8" s="259"/>
      <c r="R8" s="281"/>
      <c r="S8" s="281"/>
      <c r="T8" s="281"/>
      <c r="U8" s="229"/>
      <c r="V8" s="258"/>
      <c r="W8" s="258"/>
      <c r="X8" s="259"/>
      <c r="Y8" s="265"/>
      <c r="Z8" s="266"/>
      <c r="AA8" s="266"/>
      <c r="AB8" s="267"/>
      <c r="AC8" s="229"/>
      <c r="AD8" s="258"/>
      <c r="AE8" s="258"/>
      <c r="AF8" s="259"/>
      <c r="AG8" s="224"/>
      <c r="AH8" s="225"/>
      <c r="AI8" s="229"/>
      <c r="AJ8" s="224"/>
    </row>
    <row r="9" spans="1:62" ht="24.95" hidden="1" customHeight="1" thickBot="1">
      <c r="A9" s="289"/>
      <c r="B9" s="289"/>
      <c r="C9" s="299"/>
      <c r="D9" s="299"/>
      <c r="E9" s="274"/>
      <c r="F9" s="274"/>
      <c r="G9" s="272"/>
      <c r="H9" s="274"/>
      <c r="I9" s="274"/>
      <c r="J9" s="276"/>
      <c r="K9" s="285"/>
      <c r="L9" s="286"/>
      <c r="M9" s="279"/>
      <c r="N9" s="229"/>
      <c r="O9" s="258"/>
      <c r="P9" s="258"/>
      <c r="Q9" s="259"/>
      <c r="R9" s="281"/>
      <c r="S9" s="281"/>
      <c r="T9" s="281"/>
      <c r="U9" s="229"/>
      <c r="V9" s="258"/>
      <c r="W9" s="258"/>
      <c r="X9" s="259"/>
      <c r="Y9" s="265"/>
      <c r="Z9" s="266"/>
      <c r="AA9" s="266"/>
      <c r="AB9" s="267"/>
      <c r="AC9" s="229"/>
      <c r="AD9" s="258"/>
      <c r="AE9" s="258"/>
      <c r="AF9" s="259"/>
      <c r="AG9" s="224"/>
      <c r="AH9" s="225"/>
      <c r="AI9" s="229"/>
      <c r="AJ9" s="224"/>
    </row>
    <row r="10" spans="1:62" ht="15" customHeight="1" thickBot="1">
      <c r="A10" s="289"/>
      <c r="B10" s="289"/>
      <c r="C10" s="299"/>
      <c r="D10" s="299"/>
      <c r="E10" s="274"/>
      <c r="F10" s="274"/>
      <c r="G10" s="273"/>
      <c r="H10" s="274"/>
      <c r="I10" s="274"/>
      <c r="J10" s="277"/>
      <c r="K10" s="287"/>
      <c r="L10" s="288"/>
      <c r="M10" s="280"/>
      <c r="N10" s="230"/>
      <c r="O10" s="260"/>
      <c r="P10" s="260"/>
      <c r="Q10" s="261"/>
      <c r="R10" s="281"/>
      <c r="S10" s="281"/>
      <c r="T10" s="281"/>
      <c r="U10" s="230"/>
      <c r="V10" s="260"/>
      <c r="W10" s="260"/>
      <c r="X10" s="261"/>
      <c r="Y10" s="268"/>
      <c r="Z10" s="269"/>
      <c r="AA10" s="269"/>
      <c r="AB10" s="270"/>
      <c r="AC10" s="230"/>
      <c r="AD10" s="260"/>
      <c r="AE10" s="260"/>
      <c r="AF10" s="261"/>
      <c r="AG10" s="226"/>
      <c r="AH10" s="227"/>
      <c r="AI10" s="230"/>
      <c r="AJ10" s="226"/>
    </row>
    <row r="11" spans="1:62" s="12" customFormat="1" ht="39.950000000000003" customHeight="1" thickBot="1">
      <c r="A11" s="314" t="s">
        <v>20</v>
      </c>
      <c r="B11" s="314"/>
      <c r="C11" s="314"/>
      <c r="D11" s="314"/>
      <c r="E11" s="314"/>
      <c r="F11" s="315"/>
      <c r="G11" s="403" t="s">
        <v>21</v>
      </c>
      <c r="H11" s="404"/>
      <c r="I11" s="404"/>
      <c r="J11" s="404"/>
      <c r="K11" s="404"/>
      <c r="L11" s="404"/>
      <c r="M11" s="404"/>
      <c r="N11" s="404"/>
      <c r="O11" s="404"/>
      <c r="P11" s="404"/>
      <c r="Q11" s="405"/>
      <c r="R11" s="238" t="s">
        <v>22</v>
      </c>
      <c r="S11" s="239"/>
      <c r="T11" s="239"/>
      <c r="U11" s="239"/>
      <c r="V11" s="239"/>
      <c r="W11" s="239"/>
      <c r="X11" s="239"/>
      <c r="Y11" s="239"/>
      <c r="Z11" s="239"/>
      <c r="AA11" s="239"/>
      <c r="AB11" s="239"/>
      <c r="AC11" s="239"/>
      <c r="AD11" s="239"/>
      <c r="AE11" s="239"/>
      <c r="AF11" s="239"/>
      <c r="AG11" s="240"/>
      <c r="AH11" s="238" t="s">
        <v>23</v>
      </c>
      <c r="AI11" s="239"/>
      <c r="AJ11" s="239"/>
      <c r="AK11" s="239"/>
    </row>
    <row r="12" spans="1:62" ht="39" customHeight="1">
      <c r="A12" s="319" t="s">
        <v>24</v>
      </c>
      <c r="B12" s="321" t="s">
        <v>25</v>
      </c>
      <c r="C12" s="321" t="s">
        <v>26</v>
      </c>
      <c r="D12" s="321" t="s">
        <v>27</v>
      </c>
      <c r="E12" s="321" t="s">
        <v>28</v>
      </c>
      <c r="F12" s="321" t="s">
        <v>29</v>
      </c>
      <c r="G12" s="321" t="s">
        <v>926</v>
      </c>
      <c r="H12" s="321" t="s">
        <v>15</v>
      </c>
      <c r="I12" s="321" t="s">
        <v>927</v>
      </c>
      <c r="J12" s="321" t="s">
        <v>928</v>
      </c>
      <c r="K12" s="321" t="s">
        <v>929</v>
      </c>
      <c r="L12" s="321" t="s">
        <v>930</v>
      </c>
      <c r="M12" s="321" t="s">
        <v>33</v>
      </c>
      <c r="N12" s="321" t="s">
        <v>34</v>
      </c>
      <c r="O12" s="321" t="s">
        <v>931</v>
      </c>
      <c r="P12" s="321" t="s">
        <v>37</v>
      </c>
      <c r="Q12" s="321" t="s">
        <v>38</v>
      </c>
      <c r="R12" s="251" t="s">
        <v>39</v>
      </c>
      <c r="S12" s="252" t="s">
        <v>40</v>
      </c>
      <c r="T12" s="253" t="s">
        <v>41</v>
      </c>
      <c r="U12" s="247" t="s">
        <v>42</v>
      </c>
      <c r="V12" s="245" t="s">
        <v>43</v>
      </c>
      <c r="W12" s="243" t="s">
        <v>44</v>
      </c>
      <c r="X12" s="249" t="s">
        <v>45</v>
      </c>
      <c r="Y12" s="254" t="s">
        <v>46</v>
      </c>
      <c r="Z12" s="249" t="s">
        <v>47</v>
      </c>
      <c r="AA12" s="243" t="s">
        <v>47</v>
      </c>
      <c r="AB12" s="245" t="s">
        <v>48</v>
      </c>
      <c r="AC12" s="247" t="s">
        <v>49</v>
      </c>
      <c r="AD12" s="245" t="s">
        <v>50</v>
      </c>
      <c r="AE12" s="243" t="s">
        <v>51</v>
      </c>
      <c r="AF12" s="249" t="s">
        <v>52</v>
      </c>
      <c r="AG12" s="241" t="s">
        <v>53</v>
      </c>
      <c r="AH12" s="237" t="s">
        <v>54</v>
      </c>
      <c r="AI12" s="237" t="s">
        <v>55</v>
      </c>
      <c r="AJ12" s="237" t="s">
        <v>56</v>
      </c>
      <c r="AK12" s="237" t="s">
        <v>57</v>
      </c>
    </row>
    <row r="13" spans="1:62" ht="60" customHeight="1" thickBot="1">
      <c r="A13" s="320"/>
      <c r="B13" s="320"/>
      <c r="C13" s="320"/>
      <c r="D13" s="320"/>
      <c r="E13" s="320"/>
      <c r="F13" s="320"/>
      <c r="G13" s="320"/>
      <c r="H13" s="320"/>
      <c r="I13" s="320"/>
      <c r="J13" s="320"/>
      <c r="K13" s="320"/>
      <c r="L13" s="320"/>
      <c r="M13" s="320"/>
      <c r="N13" s="320"/>
      <c r="O13" s="320"/>
      <c r="P13" s="320"/>
      <c r="Q13" s="320"/>
      <c r="R13" s="251"/>
      <c r="S13" s="252"/>
      <c r="T13" s="253"/>
      <c r="U13" s="248"/>
      <c r="V13" s="246"/>
      <c r="W13" s="244"/>
      <c r="X13" s="250"/>
      <c r="Y13" s="255"/>
      <c r="Z13" s="250"/>
      <c r="AA13" s="244"/>
      <c r="AB13" s="246"/>
      <c r="AC13" s="248"/>
      <c r="AD13" s="246"/>
      <c r="AE13" s="244"/>
      <c r="AF13" s="250"/>
      <c r="AG13" s="242"/>
      <c r="AH13" s="237"/>
      <c r="AI13" s="237"/>
      <c r="AJ13" s="237"/>
      <c r="AK13" s="237"/>
    </row>
    <row r="14" spans="1:62" ht="39.950000000000003" customHeight="1" thickBot="1">
      <c r="A14" s="300">
        <v>1</v>
      </c>
      <c r="B14" s="300" t="s">
        <v>184</v>
      </c>
      <c r="C14" s="300" t="s">
        <v>97</v>
      </c>
      <c r="D14" s="300" t="s">
        <v>98</v>
      </c>
      <c r="E14" s="300" t="s">
        <v>99</v>
      </c>
      <c r="F14" s="310" t="s">
        <v>62</v>
      </c>
      <c r="G14" s="300" t="s">
        <v>932</v>
      </c>
      <c r="H14" s="406">
        <v>1</v>
      </c>
      <c r="I14" s="300" t="s">
        <v>933</v>
      </c>
      <c r="J14" s="410" t="s">
        <v>934</v>
      </c>
      <c r="K14" s="410" t="s">
        <v>935</v>
      </c>
      <c r="L14" s="300" t="s">
        <v>936</v>
      </c>
      <c r="M14" s="300" t="s">
        <v>937</v>
      </c>
      <c r="N14" s="302" t="s">
        <v>938</v>
      </c>
      <c r="O14" s="302" t="s">
        <v>841</v>
      </c>
      <c r="P14" s="304">
        <v>44958</v>
      </c>
      <c r="Q14" s="304">
        <v>44985</v>
      </c>
      <c r="R14" s="60" t="s">
        <v>70</v>
      </c>
      <c r="S14" s="53">
        <f>+(S15*T14)</f>
        <v>0</v>
      </c>
      <c r="T14" s="70">
        <f>SUM(U14:AG14)</f>
        <v>0</v>
      </c>
      <c r="U14" s="43"/>
      <c r="V14" s="43"/>
      <c r="W14" s="43"/>
      <c r="X14" s="43"/>
      <c r="Y14" s="43"/>
      <c r="Z14" s="43"/>
      <c r="AA14" s="43"/>
      <c r="AB14" s="43"/>
      <c r="AC14" s="44"/>
      <c r="AD14" s="44"/>
      <c r="AE14" s="44"/>
      <c r="AF14" s="44"/>
      <c r="AG14" s="44"/>
      <c r="AH14" s="233"/>
      <c r="AI14" s="235"/>
      <c r="AJ14" s="231"/>
      <c r="AK14" s="231"/>
    </row>
    <row r="15" spans="1:62" ht="36.950000000000003" customHeight="1" thickBot="1">
      <c r="A15" s="301"/>
      <c r="B15" s="301"/>
      <c r="C15" s="301"/>
      <c r="D15" s="301"/>
      <c r="E15" s="301"/>
      <c r="F15" s="313"/>
      <c r="G15" s="301"/>
      <c r="H15" s="407"/>
      <c r="I15" s="301"/>
      <c r="J15" s="411"/>
      <c r="K15" s="411"/>
      <c r="L15" s="301"/>
      <c r="M15" s="301"/>
      <c r="N15" s="303"/>
      <c r="O15" s="303"/>
      <c r="P15" s="305"/>
      <c r="Q15" s="305"/>
      <c r="R15" s="60" t="s">
        <v>71</v>
      </c>
      <c r="S15" s="52">
        <f>100%/50</f>
        <v>0.02</v>
      </c>
      <c r="T15" s="70">
        <f>SUM(U15:AG15)</f>
        <v>1</v>
      </c>
      <c r="U15" s="42"/>
      <c r="V15" s="42"/>
      <c r="W15" s="42"/>
      <c r="X15" s="42"/>
      <c r="Y15" s="42"/>
      <c r="Z15" s="42"/>
      <c r="AA15" s="42"/>
      <c r="AB15" s="42"/>
      <c r="AC15" s="42"/>
      <c r="AD15" s="42"/>
      <c r="AE15" s="42"/>
      <c r="AF15" s="42"/>
      <c r="AG15" s="42">
        <v>1</v>
      </c>
      <c r="AH15" s="234"/>
      <c r="AI15" s="236"/>
      <c r="AJ15" s="232"/>
      <c r="AK15" s="232"/>
    </row>
    <row r="16" spans="1:62" ht="36.950000000000003" customHeight="1" thickBot="1">
      <c r="A16" s="300">
        <v>2</v>
      </c>
      <c r="B16" s="300" t="s">
        <v>184</v>
      </c>
      <c r="C16" s="300" t="s">
        <v>97</v>
      </c>
      <c r="D16" s="300" t="s">
        <v>98</v>
      </c>
      <c r="E16" s="300" t="s">
        <v>99</v>
      </c>
      <c r="F16" s="310" t="s">
        <v>62</v>
      </c>
      <c r="G16" s="300" t="s">
        <v>932</v>
      </c>
      <c r="H16" s="406">
        <v>1</v>
      </c>
      <c r="I16" s="300" t="s">
        <v>939</v>
      </c>
      <c r="J16" s="410" t="s">
        <v>940</v>
      </c>
      <c r="K16" s="410" t="s">
        <v>941</v>
      </c>
      <c r="L16" s="300" t="s">
        <v>936</v>
      </c>
      <c r="M16" s="300" t="s">
        <v>942</v>
      </c>
      <c r="N16" s="302" t="s">
        <v>68</v>
      </c>
      <c r="O16" s="302" t="s">
        <v>841</v>
      </c>
      <c r="P16" s="304">
        <v>44958</v>
      </c>
      <c r="Q16" s="304">
        <v>44985</v>
      </c>
      <c r="R16" s="60" t="s">
        <v>70</v>
      </c>
      <c r="S16" s="53">
        <f>+(S17*T16)</f>
        <v>0</v>
      </c>
      <c r="T16" s="70">
        <f>SUM(U16:AG16)</f>
        <v>0</v>
      </c>
      <c r="U16" s="43"/>
      <c r="V16" s="43"/>
      <c r="W16" s="43"/>
      <c r="X16" s="43"/>
      <c r="Y16" s="43"/>
      <c r="Z16" s="43"/>
      <c r="AA16" s="43"/>
      <c r="AB16" s="43"/>
      <c r="AC16" s="44"/>
      <c r="AD16" s="44"/>
      <c r="AE16" s="44"/>
      <c r="AF16" s="44"/>
      <c r="AG16" s="44"/>
      <c r="AH16" s="233"/>
      <c r="AI16" s="235"/>
      <c r="AJ16" s="231"/>
      <c r="AK16" s="231"/>
    </row>
    <row r="17" spans="1:37" ht="36.950000000000003" customHeight="1" thickBot="1">
      <c r="A17" s="301"/>
      <c r="B17" s="301"/>
      <c r="C17" s="301"/>
      <c r="D17" s="301"/>
      <c r="E17" s="301"/>
      <c r="F17" s="311"/>
      <c r="G17" s="301"/>
      <c r="H17" s="407"/>
      <c r="I17" s="301"/>
      <c r="J17" s="411"/>
      <c r="K17" s="411"/>
      <c r="L17" s="301"/>
      <c r="M17" s="301"/>
      <c r="N17" s="303"/>
      <c r="O17" s="303"/>
      <c r="P17" s="305"/>
      <c r="Q17" s="305"/>
      <c r="R17" s="60" t="s">
        <v>71</v>
      </c>
      <c r="S17" s="52">
        <f>100%/50</f>
        <v>0.02</v>
      </c>
      <c r="T17" s="70">
        <f>SUM(U17:AG17)</f>
        <v>1</v>
      </c>
      <c r="U17" s="42"/>
      <c r="V17" s="42"/>
      <c r="W17" s="42"/>
      <c r="X17" s="42"/>
      <c r="Y17" s="42"/>
      <c r="Z17" s="42"/>
      <c r="AA17" s="42"/>
      <c r="AB17" s="42"/>
      <c r="AC17" s="42"/>
      <c r="AD17" s="42"/>
      <c r="AE17" s="42"/>
      <c r="AF17" s="42"/>
      <c r="AG17" s="42">
        <v>1</v>
      </c>
      <c r="AH17" s="234"/>
      <c r="AI17" s="236"/>
      <c r="AJ17" s="232"/>
      <c r="AK17" s="232"/>
    </row>
    <row r="18" spans="1:37" ht="36.950000000000003" customHeight="1" thickBot="1">
      <c r="A18" s="300">
        <v>3</v>
      </c>
      <c r="B18" s="300" t="s">
        <v>184</v>
      </c>
      <c r="C18" s="300" t="s">
        <v>97</v>
      </c>
      <c r="D18" s="300" t="s">
        <v>98</v>
      </c>
      <c r="E18" s="300" t="s">
        <v>99</v>
      </c>
      <c r="F18" s="310" t="s">
        <v>62</v>
      </c>
      <c r="G18" s="300" t="s">
        <v>932</v>
      </c>
      <c r="H18" s="406">
        <v>1</v>
      </c>
      <c r="I18" s="300" t="s">
        <v>939</v>
      </c>
      <c r="J18" s="410" t="s">
        <v>943</v>
      </c>
      <c r="K18" s="410" t="s">
        <v>944</v>
      </c>
      <c r="L18" s="300" t="s">
        <v>936</v>
      </c>
      <c r="M18" s="300" t="s">
        <v>945</v>
      </c>
      <c r="N18" s="300" t="s">
        <v>68</v>
      </c>
      <c r="O18" s="302" t="s">
        <v>109</v>
      </c>
      <c r="P18" s="304">
        <v>45078</v>
      </c>
      <c r="Q18" s="304">
        <v>45290</v>
      </c>
      <c r="R18" s="60" t="s">
        <v>70</v>
      </c>
      <c r="S18" s="53">
        <f>+(S19*T18)</f>
        <v>0</v>
      </c>
      <c r="T18" s="70">
        <f>SUM(U18:AG18)</f>
        <v>0</v>
      </c>
      <c r="U18" s="43"/>
      <c r="V18" s="43"/>
      <c r="W18" s="43"/>
      <c r="X18" s="43"/>
      <c r="Y18" s="43"/>
      <c r="Z18" s="43"/>
      <c r="AA18" s="43"/>
      <c r="AB18" s="43"/>
      <c r="AC18" s="44"/>
      <c r="AD18" s="44"/>
      <c r="AE18" s="44"/>
      <c r="AF18" s="44"/>
      <c r="AG18" s="44"/>
      <c r="AH18" s="233"/>
      <c r="AI18" s="235"/>
      <c r="AJ18" s="231"/>
      <c r="AK18" s="231"/>
    </row>
    <row r="19" spans="1:37" ht="36.950000000000003" customHeight="1" thickBot="1">
      <c r="A19" s="301"/>
      <c r="B19" s="301"/>
      <c r="C19" s="301"/>
      <c r="D19" s="301"/>
      <c r="E19" s="301"/>
      <c r="F19" s="311"/>
      <c r="G19" s="301"/>
      <c r="H19" s="407"/>
      <c r="I19" s="301"/>
      <c r="J19" s="411"/>
      <c r="K19" s="411"/>
      <c r="L19" s="301"/>
      <c r="M19" s="301"/>
      <c r="N19" s="301"/>
      <c r="O19" s="303"/>
      <c r="P19" s="305"/>
      <c r="Q19" s="305"/>
      <c r="R19" s="60" t="s">
        <v>71</v>
      </c>
      <c r="S19" s="52">
        <f>100%/50</f>
        <v>0.02</v>
      </c>
      <c r="T19" s="70">
        <f>SUM(U19:AG19)</f>
        <v>1</v>
      </c>
      <c r="U19" s="42"/>
      <c r="V19" s="42"/>
      <c r="W19" s="42"/>
      <c r="X19" s="42"/>
      <c r="Y19" s="42"/>
      <c r="Z19" s="42"/>
      <c r="AA19" s="42">
        <v>0.5</v>
      </c>
      <c r="AB19" s="42"/>
      <c r="AC19" s="42"/>
      <c r="AD19" s="42"/>
      <c r="AE19" s="42"/>
      <c r="AF19" s="42"/>
      <c r="AG19" s="42">
        <v>0.5</v>
      </c>
      <c r="AH19" s="234"/>
      <c r="AI19" s="236"/>
      <c r="AJ19" s="232"/>
      <c r="AK19" s="232"/>
    </row>
    <row r="20" spans="1:37" ht="36.950000000000003" customHeight="1" thickBot="1">
      <c r="A20" s="300">
        <v>4</v>
      </c>
      <c r="B20" s="300" t="s">
        <v>184</v>
      </c>
      <c r="C20" s="300" t="s">
        <v>97</v>
      </c>
      <c r="D20" s="300" t="s">
        <v>98</v>
      </c>
      <c r="E20" s="300" t="s">
        <v>99</v>
      </c>
      <c r="F20" s="310" t="s">
        <v>62</v>
      </c>
      <c r="G20" s="300" t="s">
        <v>946</v>
      </c>
      <c r="H20" s="406">
        <v>1</v>
      </c>
      <c r="I20" s="300" t="s">
        <v>939</v>
      </c>
      <c r="J20" s="410" t="s">
        <v>947</v>
      </c>
      <c r="K20" s="410" t="s">
        <v>948</v>
      </c>
      <c r="L20" s="300" t="s">
        <v>936</v>
      </c>
      <c r="M20" s="300" t="s">
        <v>949</v>
      </c>
      <c r="N20" s="300" t="s">
        <v>68</v>
      </c>
      <c r="O20" s="302" t="s">
        <v>841</v>
      </c>
      <c r="P20" s="304">
        <v>45047</v>
      </c>
      <c r="Q20" s="304">
        <v>45076</v>
      </c>
      <c r="R20" s="60" t="s">
        <v>70</v>
      </c>
      <c r="S20" s="53">
        <f>+(S21*T20)</f>
        <v>0</v>
      </c>
      <c r="T20" s="70">
        <f>SUM(U20:AG20)</f>
        <v>0</v>
      </c>
      <c r="U20" s="43"/>
      <c r="V20" s="43"/>
      <c r="W20" s="43"/>
      <c r="X20" s="43"/>
      <c r="Y20" s="43"/>
      <c r="Z20" s="43"/>
      <c r="AA20" s="43"/>
      <c r="AB20" s="43"/>
      <c r="AC20" s="44"/>
      <c r="AD20" s="44"/>
      <c r="AE20" s="44"/>
      <c r="AF20" s="44"/>
      <c r="AG20" s="44"/>
      <c r="AH20" s="233"/>
      <c r="AI20" s="235"/>
      <c r="AJ20" s="231"/>
      <c r="AK20" s="231"/>
    </row>
    <row r="21" spans="1:37" ht="36.950000000000003" customHeight="1" thickBot="1">
      <c r="A21" s="301"/>
      <c r="B21" s="301"/>
      <c r="C21" s="301"/>
      <c r="D21" s="301"/>
      <c r="E21" s="301"/>
      <c r="F21" s="311"/>
      <c r="G21" s="301"/>
      <c r="H21" s="407"/>
      <c r="I21" s="301"/>
      <c r="J21" s="411"/>
      <c r="K21" s="411"/>
      <c r="L21" s="301"/>
      <c r="M21" s="301"/>
      <c r="N21" s="301"/>
      <c r="O21" s="303"/>
      <c r="P21" s="305"/>
      <c r="Q21" s="305"/>
      <c r="R21" s="60" t="s">
        <v>71</v>
      </c>
      <c r="S21" s="52">
        <f>100%/50</f>
        <v>0.02</v>
      </c>
      <c r="T21" s="70">
        <f>SUM(U21:AG21)</f>
        <v>1</v>
      </c>
      <c r="U21" s="42"/>
      <c r="V21" s="42"/>
      <c r="W21" s="42"/>
      <c r="X21" s="42"/>
      <c r="Y21" s="42"/>
      <c r="Z21" s="42"/>
      <c r="AA21" s="42"/>
      <c r="AB21" s="42"/>
      <c r="AC21" s="42"/>
      <c r="AD21" s="42"/>
      <c r="AE21" s="42"/>
      <c r="AF21" s="42"/>
      <c r="AG21" s="42">
        <v>1</v>
      </c>
      <c r="AH21" s="234"/>
      <c r="AI21" s="236"/>
      <c r="AJ21" s="232"/>
      <c r="AK21" s="232"/>
    </row>
    <row r="22" spans="1:37" ht="36.950000000000003" customHeight="1" thickBot="1">
      <c r="A22" s="300">
        <v>5</v>
      </c>
      <c r="B22" s="300" t="s">
        <v>184</v>
      </c>
      <c r="C22" s="300" t="s">
        <v>97</v>
      </c>
      <c r="D22" s="300" t="s">
        <v>98</v>
      </c>
      <c r="E22" s="300" t="s">
        <v>99</v>
      </c>
      <c r="F22" s="310" t="s">
        <v>62</v>
      </c>
      <c r="G22" s="300" t="s">
        <v>946</v>
      </c>
      <c r="H22" s="406">
        <v>1</v>
      </c>
      <c r="I22" s="300" t="s">
        <v>950</v>
      </c>
      <c r="J22" s="412" t="s">
        <v>951</v>
      </c>
      <c r="K22" s="410" t="s">
        <v>952</v>
      </c>
      <c r="L22" s="300" t="s">
        <v>936</v>
      </c>
      <c r="M22" s="300" t="s">
        <v>953</v>
      </c>
      <c r="N22" s="302" t="s">
        <v>938</v>
      </c>
      <c r="O22" s="302" t="s">
        <v>841</v>
      </c>
      <c r="P22" s="334">
        <v>45108</v>
      </c>
      <c r="Q22" s="334">
        <v>45137</v>
      </c>
      <c r="R22" s="60" t="s">
        <v>70</v>
      </c>
      <c r="S22" s="53">
        <f>+(S23*T22)</f>
        <v>0</v>
      </c>
      <c r="T22" s="70">
        <f>SUM(U22:AG22)</f>
        <v>0</v>
      </c>
      <c r="U22" s="45"/>
      <c r="V22" s="45"/>
      <c r="W22" s="45"/>
      <c r="X22" s="43"/>
      <c r="Y22" s="43"/>
      <c r="Z22" s="43"/>
      <c r="AA22" s="43"/>
      <c r="AB22" s="43"/>
      <c r="AC22" s="44"/>
      <c r="AD22" s="44"/>
      <c r="AE22" s="44"/>
      <c r="AF22" s="44"/>
      <c r="AG22" s="44"/>
      <c r="AH22" s="233"/>
      <c r="AI22" s="235"/>
      <c r="AJ22" s="231"/>
      <c r="AK22" s="231"/>
    </row>
    <row r="23" spans="1:37" ht="36.950000000000003" customHeight="1" thickBot="1">
      <c r="A23" s="301"/>
      <c r="B23" s="301"/>
      <c r="C23" s="301"/>
      <c r="D23" s="301"/>
      <c r="E23" s="301"/>
      <c r="F23" s="311"/>
      <c r="G23" s="301"/>
      <c r="H23" s="407"/>
      <c r="I23" s="301"/>
      <c r="J23" s="413"/>
      <c r="K23" s="411"/>
      <c r="L23" s="301"/>
      <c r="M23" s="301"/>
      <c r="N23" s="303"/>
      <c r="O23" s="303"/>
      <c r="P23" s="338"/>
      <c r="Q23" s="338"/>
      <c r="R23" s="60" t="s">
        <v>71</v>
      </c>
      <c r="S23" s="52">
        <f>100%/50</f>
        <v>0.02</v>
      </c>
      <c r="T23" s="70">
        <f>SUM(U23:AG23)</f>
        <v>1</v>
      </c>
      <c r="U23" s="42"/>
      <c r="V23" s="42"/>
      <c r="W23" s="42"/>
      <c r="X23" s="42"/>
      <c r="Y23" s="42"/>
      <c r="Z23" s="42"/>
      <c r="AA23" s="42"/>
      <c r="AB23" s="42"/>
      <c r="AC23" s="42"/>
      <c r="AD23" s="42"/>
      <c r="AE23" s="42"/>
      <c r="AF23" s="42"/>
      <c r="AG23" s="42">
        <v>1</v>
      </c>
      <c r="AH23" s="234"/>
      <c r="AI23" s="236"/>
      <c r="AJ23" s="232"/>
      <c r="AK23" s="232"/>
    </row>
    <row r="24" spans="1:37" ht="36.950000000000003" customHeight="1" thickBot="1">
      <c r="A24" s="300">
        <v>6</v>
      </c>
      <c r="B24" s="300" t="s">
        <v>184</v>
      </c>
      <c r="C24" s="300" t="s">
        <v>97</v>
      </c>
      <c r="D24" s="300" t="s">
        <v>98</v>
      </c>
      <c r="E24" s="300" t="s">
        <v>99</v>
      </c>
      <c r="F24" s="310" t="s">
        <v>62</v>
      </c>
      <c r="G24" s="300" t="s">
        <v>946</v>
      </c>
      <c r="H24" s="406">
        <v>1</v>
      </c>
      <c r="I24" s="300" t="s">
        <v>950</v>
      </c>
      <c r="J24" s="410" t="s">
        <v>954</v>
      </c>
      <c r="K24" s="410" t="s">
        <v>955</v>
      </c>
      <c r="L24" s="300" t="s">
        <v>936</v>
      </c>
      <c r="M24" s="300" t="s">
        <v>953</v>
      </c>
      <c r="N24" s="302" t="s">
        <v>938</v>
      </c>
      <c r="O24" s="302" t="s">
        <v>841</v>
      </c>
      <c r="P24" s="334">
        <v>45017</v>
      </c>
      <c r="Q24" s="334">
        <v>45046</v>
      </c>
      <c r="R24" s="60" t="s">
        <v>70</v>
      </c>
      <c r="S24" s="53">
        <f>+(S25*T24)</f>
        <v>0</v>
      </c>
      <c r="T24" s="70">
        <f>SUM(U24:AG24)</f>
        <v>0</v>
      </c>
      <c r="U24" s="59"/>
      <c r="V24" s="59"/>
      <c r="W24" s="59"/>
      <c r="X24" s="43"/>
      <c r="Y24" s="43"/>
      <c r="Z24" s="43"/>
      <c r="AA24" s="43"/>
      <c r="AB24" s="43"/>
      <c r="AC24" s="44"/>
      <c r="AD24" s="44"/>
      <c r="AE24" s="44"/>
      <c r="AF24" s="44"/>
      <c r="AG24" s="44"/>
      <c r="AH24" s="233"/>
      <c r="AI24" s="235"/>
      <c r="AJ24" s="231"/>
      <c r="AK24" s="231"/>
    </row>
    <row r="25" spans="1:37" ht="39.950000000000003" customHeight="1" thickBot="1">
      <c r="A25" s="301"/>
      <c r="B25" s="301"/>
      <c r="C25" s="301"/>
      <c r="D25" s="301"/>
      <c r="E25" s="301"/>
      <c r="F25" s="311"/>
      <c r="G25" s="301"/>
      <c r="H25" s="407"/>
      <c r="I25" s="301"/>
      <c r="J25" s="411"/>
      <c r="K25" s="411"/>
      <c r="L25" s="301"/>
      <c r="M25" s="301"/>
      <c r="N25" s="303"/>
      <c r="O25" s="303"/>
      <c r="P25" s="338"/>
      <c r="Q25" s="338"/>
      <c r="R25" s="60" t="s">
        <v>71</v>
      </c>
      <c r="S25" s="52">
        <f>100%/50</f>
        <v>0.02</v>
      </c>
      <c r="T25" s="70">
        <f>SUM(U25:AG25)</f>
        <v>1</v>
      </c>
      <c r="U25" s="42"/>
      <c r="V25" s="42"/>
      <c r="W25" s="42"/>
      <c r="X25" s="42"/>
      <c r="Y25" s="42"/>
      <c r="Z25" s="42"/>
      <c r="AA25" s="42"/>
      <c r="AB25" s="42"/>
      <c r="AC25" s="42"/>
      <c r="AD25" s="42"/>
      <c r="AE25" s="42"/>
      <c r="AF25" s="42"/>
      <c r="AG25" s="42">
        <v>1</v>
      </c>
      <c r="AH25" s="234"/>
      <c r="AI25" s="236"/>
      <c r="AJ25" s="232"/>
      <c r="AK25" s="232"/>
    </row>
    <row r="26" spans="1:37" ht="36.950000000000003" customHeight="1" thickBot="1">
      <c r="A26" s="300">
        <v>7</v>
      </c>
      <c r="B26" s="300" t="s">
        <v>184</v>
      </c>
      <c r="C26" s="300" t="s">
        <v>97</v>
      </c>
      <c r="D26" s="300" t="s">
        <v>98</v>
      </c>
      <c r="E26" s="300" t="s">
        <v>99</v>
      </c>
      <c r="F26" s="307" t="s">
        <v>62</v>
      </c>
      <c r="G26" s="300" t="s">
        <v>946</v>
      </c>
      <c r="H26" s="406">
        <v>1</v>
      </c>
      <c r="I26" s="300" t="s">
        <v>950</v>
      </c>
      <c r="J26" s="410" t="s">
        <v>956</v>
      </c>
      <c r="K26" s="410" t="s">
        <v>957</v>
      </c>
      <c r="L26" s="300" t="s">
        <v>936</v>
      </c>
      <c r="M26" s="300" t="s">
        <v>958</v>
      </c>
      <c r="N26" s="300" t="s">
        <v>68</v>
      </c>
      <c r="O26" s="302" t="s">
        <v>841</v>
      </c>
      <c r="P26" s="334">
        <v>44958</v>
      </c>
      <c r="Q26" s="334">
        <v>44985</v>
      </c>
      <c r="R26" s="60" t="s">
        <v>70</v>
      </c>
      <c r="S26" s="53">
        <f>+(S27*T26)</f>
        <v>0</v>
      </c>
      <c r="T26" s="70">
        <f>SUM(U26:AG26)</f>
        <v>0</v>
      </c>
      <c r="U26" s="45"/>
      <c r="V26" s="45"/>
      <c r="W26" s="45"/>
      <c r="X26" s="45"/>
      <c r="Y26" s="45"/>
      <c r="Z26" s="45"/>
      <c r="AA26" s="45"/>
      <c r="AB26" s="45"/>
      <c r="AC26" s="45"/>
      <c r="AD26" s="45"/>
      <c r="AE26" s="45"/>
      <c r="AF26" s="45"/>
      <c r="AG26" s="45"/>
      <c r="AH26" s="233"/>
      <c r="AI26" s="235"/>
      <c r="AJ26" s="231"/>
      <c r="AK26" s="231"/>
    </row>
    <row r="27" spans="1:37" ht="36.950000000000003" customHeight="1" thickBot="1">
      <c r="A27" s="301"/>
      <c r="B27" s="301"/>
      <c r="C27" s="301"/>
      <c r="D27" s="301"/>
      <c r="E27" s="301"/>
      <c r="F27" s="307"/>
      <c r="G27" s="301"/>
      <c r="H27" s="407"/>
      <c r="I27" s="301"/>
      <c r="J27" s="411"/>
      <c r="K27" s="411"/>
      <c r="L27" s="301"/>
      <c r="M27" s="301"/>
      <c r="N27" s="301"/>
      <c r="O27" s="303"/>
      <c r="P27" s="338"/>
      <c r="Q27" s="338"/>
      <c r="R27" s="60" t="s">
        <v>71</v>
      </c>
      <c r="S27" s="52">
        <f>100%/50</f>
        <v>0.02</v>
      </c>
      <c r="T27" s="70">
        <f>SUM(U27:AG27)</f>
        <v>1</v>
      </c>
      <c r="U27" s="42"/>
      <c r="V27" s="42"/>
      <c r="W27" s="42"/>
      <c r="X27" s="42"/>
      <c r="Y27" s="42"/>
      <c r="Z27" s="42"/>
      <c r="AA27" s="42"/>
      <c r="AB27" s="42"/>
      <c r="AC27" s="42"/>
      <c r="AD27" s="42"/>
      <c r="AE27" s="42"/>
      <c r="AF27" s="42"/>
      <c r="AG27" s="42">
        <v>1</v>
      </c>
      <c r="AH27" s="234"/>
      <c r="AI27" s="236"/>
      <c r="AJ27" s="232"/>
      <c r="AK27" s="232"/>
    </row>
    <row r="28" spans="1:37" ht="36.950000000000003" customHeight="1" thickBot="1">
      <c r="A28" s="300">
        <v>8</v>
      </c>
      <c r="B28" s="300" t="s">
        <v>184</v>
      </c>
      <c r="C28" s="300" t="s">
        <v>97</v>
      </c>
      <c r="D28" s="300" t="s">
        <v>98</v>
      </c>
      <c r="E28" s="300" t="s">
        <v>99</v>
      </c>
      <c r="F28" s="307" t="s">
        <v>62</v>
      </c>
      <c r="G28" s="300" t="s">
        <v>946</v>
      </c>
      <c r="H28" s="406">
        <v>1</v>
      </c>
      <c r="I28" s="300" t="s">
        <v>950</v>
      </c>
      <c r="J28" s="410" t="s">
        <v>959</v>
      </c>
      <c r="K28" s="410" t="s">
        <v>960</v>
      </c>
      <c r="L28" s="300" t="s">
        <v>936</v>
      </c>
      <c r="M28" s="300" t="s">
        <v>961</v>
      </c>
      <c r="N28" s="300" t="s">
        <v>962</v>
      </c>
      <c r="O28" s="302" t="s">
        <v>841</v>
      </c>
      <c r="P28" s="334">
        <v>45017</v>
      </c>
      <c r="Q28" s="334">
        <v>45046</v>
      </c>
      <c r="R28" s="60" t="s">
        <v>70</v>
      </c>
      <c r="S28" s="53">
        <f>+(S29*T28)</f>
        <v>0</v>
      </c>
      <c r="T28" s="70">
        <f>SUM(U28:AG28)</f>
        <v>0</v>
      </c>
      <c r="U28" s="45"/>
      <c r="V28" s="45"/>
      <c r="W28" s="45"/>
      <c r="X28" s="45"/>
      <c r="Y28" s="45"/>
      <c r="Z28" s="45"/>
      <c r="AA28" s="45"/>
      <c r="AB28" s="45"/>
      <c r="AC28" s="45"/>
      <c r="AD28" s="45"/>
      <c r="AE28" s="45"/>
      <c r="AF28" s="45"/>
      <c r="AG28" s="45"/>
      <c r="AH28" s="233"/>
      <c r="AI28" s="235"/>
      <c r="AJ28" s="231"/>
      <c r="AK28" s="231"/>
    </row>
    <row r="29" spans="1:37" ht="36.950000000000003" customHeight="1" thickBot="1">
      <c r="A29" s="301"/>
      <c r="B29" s="301"/>
      <c r="C29" s="301"/>
      <c r="D29" s="301"/>
      <c r="E29" s="301"/>
      <c r="F29" s="307"/>
      <c r="G29" s="301"/>
      <c r="H29" s="407"/>
      <c r="I29" s="301"/>
      <c r="J29" s="411"/>
      <c r="K29" s="411"/>
      <c r="L29" s="301"/>
      <c r="M29" s="301"/>
      <c r="N29" s="301"/>
      <c r="O29" s="303"/>
      <c r="P29" s="338"/>
      <c r="Q29" s="338"/>
      <c r="R29" s="60" t="s">
        <v>71</v>
      </c>
      <c r="S29" s="52">
        <f>100%/50</f>
        <v>0.02</v>
      </c>
      <c r="T29" s="70">
        <f>SUM(U29:AG29)</f>
        <v>1</v>
      </c>
      <c r="U29" s="42"/>
      <c r="V29" s="42"/>
      <c r="W29" s="42"/>
      <c r="X29" s="42"/>
      <c r="Y29" s="42"/>
      <c r="Z29" s="42"/>
      <c r="AA29" s="42"/>
      <c r="AB29" s="42"/>
      <c r="AC29" s="42"/>
      <c r="AD29" s="42"/>
      <c r="AE29" s="42"/>
      <c r="AF29" s="42"/>
      <c r="AG29" s="42">
        <v>1</v>
      </c>
      <c r="AH29" s="234"/>
      <c r="AI29" s="236"/>
      <c r="AJ29" s="232"/>
      <c r="AK29" s="232"/>
    </row>
    <row r="30" spans="1:37" ht="36.950000000000003" customHeight="1" thickBot="1">
      <c r="A30" s="300">
        <v>9</v>
      </c>
      <c r="B30" s="300" t="s">
        <v>184</v>
      </c>
      <c r="C30" s="300" t="s">
        <v>97</v>
      </c>
      <c r="D30" s="300" t="s">
        <v>98</v>
      </c>
      <c r="E30" s="300" t="s">
        <v>99</v>
      </c>
      <c r="F30" s="307" t="s">
        <v>62</v>
      </c>
      <c r="G30" s="300" t="s">
        <v>932</v>
      </c>
      <c r="H30" s="406">
        <v>1</v>
      </c>
      <c r="I30" s="300" t="s">
        <v>950</v>
      </c>
      <c r="J30" s="410" t="s">
        <v>963</v>
      </c>
      <c r="K30" s="410" t="s">
        <v>964</v>
      </c>
      <c r="L30" s="300" t="s">
        <v>936</v>
      </c>
      <c r="M30" s="300" t="s">
        <v>965</v>
      </c>
      <c r="N30" s="300" t="s">
        <v>68</v>
      </c>
      <c r="O30" s="302" t="s">
        <v>69</v>
      </c>
      <c r="P30" s="334">
        <v>44986</v>
      </c>
      <c r="Q30" s="334">
        <v>45290</v>
      </c>
      <c r="R30" s="60" t="s">
        <v>70</v>
      </c>
      <c r="S30" s="53">
        <f>+(S31*T30)</f>
        <v>0</v>
      </c>
      <c r="T30" s="70">
        <f>SUM(U30:AG30)</f>
        <v>0</v>
      </c>
      <c r="U30" s="45"/>
      <c r="V30" s="45"/>
      <c r="W30" s="45"/>
      <c r="X30" s="45"/>
      <c r="Y30" s="45"/>
      <c r="Z30" s="45"/>
      <c r="AA30" s="45"/>
      <c r="AB30" s="45"/>
      <c r="AC30" s="45"/>
      <c r="AD30" s="45"/>
      <c r="AE30" s="45"/>
      <c r="AF30" s="45"/>
      <c r="AG30" s="45"/>
      <c r="AH30" s="233"/>
      <c r="AI30" s="235"/>
      <c r="AJ30" s="231"/>
      <c r="AK30" s="231"/>
    </row>
    <row r="31" spans="1:37" ht="36.950000000000003" customHeight="1" thickBot="1">
      <c r="A31" s="301"/>
      <c r="B31" s="301"/>
      <c r="C31" s="301"/>
      <c r="D31" s="301"/>
      <c r="E31" s="301"/>
      <c r="F31" s="307"/>
      <c r="G31" s="301"/>
      <c r="H31" s="407"/>
      <c r="I31" s="301"/>
      <c r="J31" s="411"/>
      <c r="K31" s="411"/>
      <c r="L31" s="301"/>
      <c r="M31" s="301"/>
      <c r="N31" s="301"/>
      <c r="O31" s="303"/>
      <c r="P31" s="338"/>
      <c r="Q31" s="338"/>
      <c r="R31" s="60" t="s">
        <v>71</v>
      </c>
      <c r="S31" s="52">
        <f>100%/50</f>
        <v>0.02</v>
      </c>
      <c r="T31" s="70">
        <f>SUM(U31:AG31)</f>
        <v>1</v>
      </c>
      <c r="U31" s="42"/>
      <c r="V31" s="42"/>
      <c r="W31" s="42"/>
      <c r="X31" s="42">
        <v>0.25</v>
      </c>
      <c r="Y31" s="42"/>
      <c r="Z31" s="42"/>
      <c r="AA31" s="42">
        <v>0.25</v>
      </c>
      <c r="AB31" s="42"/>
      <c r="AC31" s="42"/>
      <c r="AD31" s="42">
        <v>0.25</v>
      </c>
      <c r="AE31" s="42"/>
      <c r="AF31" s="42"/>
      <c r="AG31" s="42">
        <v>0.25</v>
      </c>
      <c r="AH31" s="234"/>
      <c r="AI31" s="236"/>
      <c r="AJ31" s="232"/>
      <c r="AK31" s="232"/>
    </row>
    <row r="32" spans="1:37" ht="36.950000000000003" customHeight="1" thickBot="1">
      <c r="A32" s="300">
        <v>10</v>
      </c>
      <c r="B32" s="300" t="s">
        <v>184</v>
      </c>
      <c r="C32" s="300" t="s">
        <v>97</v>
      </c>
      <c r="D32" s="300" t="s">
        <v>98</v>
      </c>
      <c r="E32" s="300" t="s">
        <v>99</v>
      </c>
      <c r="F32" s="307" t="s">
        <v>62</v>
      </c>
      <c r="G32" s="300" t="s">
        <v>966</v>
      </c>
      <c r="H32" s="406">
        <v>1</v>
      </c>
      <c r="I32" s="300" t="s">
        <v>967</v>
      </c>
      <c r="J32" s="410" t="s">
        <v>968</v>
      </c>
      <c r="K32" s="410" t="s">
        <v>969</v>
      </c>
      <c r="L32" s="300" t="s">
        <v>936</v>
      </c>
      <c r="M32" s="300" t="s">
        <v>970</v>
      </c>
      <c r="N32" s="302" t="s">
        <v>938</v>
      </c>
      <c r="O32" s="302" t="s">
        <v>841</v>
      </c>
      <c r="P32" s="334">
        <v>45108</v>
      </c>
      <c r="Q32" s="334">
        <v>45137</v>
      </c>
      <c r="R32" s="60" t="s">
        <v>70</v>
      </c>
      <c r="S32" s="53">
        <f>+(S33*T32)</f>
        <v>0</v>
      </c>
      <c r="T32" s="70">
        <f>SUM(U32:AG32)</f>
        <v>0</v>
      </c>
      <c r="U32" s="45"/>
      <c r="V32" s="45"/>
      <c r="W32" s="45"/>
      <c r="X32" s="45"/>
      <c r="Y32" s="45"/>
      <c r="Z32" s="45"/>
      <c r="AA32" s="45"/>
      <c r="AB32" s="45"/>
      <c r="AC32" s="45"/>
      <c r="AD32" s="45"/>
      <c r="AE32" s="45"/>
      <c r="AF32" s="45"/>
      <c r="AG32" s="45"/>
      <c r="AH32" s="233"/>
      <c r="AI32" s="235"/>
      <c r="AJ32" s="231"/>
      <c r="AK32" s="231"/>
    </row>
    <row r="33" spans="1:37" ht="36.950000000000003" customHeight="1" thickBot="1">
      <c r="A33" s="301"/>
      <c r="B33" s="301"/>
      <c r="C33" s="301"/>
      <c r="D33" s="301"/>
      <c r="E33" s="301"/>
      <c r="F33" s="307"/>
      <c r="G33" s="301"/>
      <c r="H33" s="407"/>
      <c r="I33" s="301"/>
      <c r="J33" s="411"/>
      <c r="K33" s="411"/>
      <c r="L33" s="301"/>
      <c r="M33" s="301"/>
      <c r="N33" s="303"/>
      <c r="O33" s="303"/>
      <c r="P33" s="338"/>
      <c r="Q33" s="338"/>
      <c r="R33" s="60" t="s">
        <v>71</v>
      </c>
      <c r="S33" s="52">
        <f>100%/50</f>
        <v>0.02</v>
      </c>
      <c r="T33" s="70">
        <f>SUM(U33:AG33)</f>
        <v>1</v>
      </c>
      <c r="U33" s="42"/>
      <c r="V33" s="42"/>
      <c r="W33" s="42"/>
      <c r="X33" s="42"/>
      <c r="Y33" s="42"/>
      <c r="Z33" s="42"/>
      <c r="AA33" s="42"/>
      <c r="AB33" s="42"/>
      <c r="AC33" s="42"/>
      <c r="AD33" s="42"/>
      <c r="AE33" s="42"/>
      <c r="AF33" s="42"/>
      <c r="AG33" s="42">
        <v>1</v>
      </c>
      <c r="AH33" s="234"/>
      <c r="AI33" s="236"/>
      <c r="AJ33" s="232"/>
      <c r="AK33" s="232"/>
    </row>
    <row r="34" spans="1:37" ht="36.950000000000003" customHeight="1" thickBot="1">
      <c r="A34" s="300">
        <v>11</v>
      </c>
      <c r="B34" s="300" t="s">
        <v>184</v>
      </c>
      <c r="C34" s="300" t="s">
        <v>97</v>
      </c>
      <c r="D34" s="300" t="s">
        <v>98</v>
      </c>
      <c r="E34" s="300" t="s">
        <v>99</v>
      </c>
      <c r="F34" s="307" t="s">
        <v>62</v>
      </c>
      <c r="G34" s="300" t="s">
        <v>966</v>
      </c>
      <c r="H34" s="406">
        <v>1</v>
      </c>
      <c r="I34" s="300" t="s">
        <v>971</v>
      </c>
      <c r="J34" s="410" t="s">
        <v>972</v>
      </c>
      <c r="K34" s="410" t="s">
        <v>973</v>
      </c>
      <c r="L34" s="300" t="s">
        <v>936</v>
      </c>
      <c r="M34" s="300" t="s">
        <v>974</v>
      </c>
      <c r="N34" s="302" t="s">
        <v>938</v>
      </c>
      <c r="O34" s="302" t="s">
        <v>841</v>
      </c>
      <c r="P34" s="334">
        <v>45108</v>
      </c>
      <c r="Q34" s="334">
        <v>45137</v>
      </c>
      <c r="R34" s="60" t="s">
        <v>70</v>
      </c>
      <c r="S34" s="53">
        <f>+(S35*T34)</f>
        <v>0</v>
      </c>
      <c r="T34" s="70">
        <f>SUM(U34:AG34)</f>
        <v>0</v>
      </c>
      <c r="U34" s="45"/>
      <c r="V34" s="45"/>
      <c r="W34" s="45"/>
      <c r="X34" s="45"/>
      <c r="Y34" s="45"/>
      <c r="Z34" s="45"/>
      <c r="AA34" s="45"/>
      <c r="AB34" s="45"/>
      <c r="AC34" s="45"/>
      <c r="AD34" s="45"/>
      <c r="AE34" s="45"/>
      <c r="AF34" s="45"/>
      <c r="AG34" s="45"/>
      <c r="AH34" s="233"/>
      <c r="AI34" s="235"/>
      <c r="AJ34" s="231"/>
      <c r="AK34" s="231"/>
    </row>
    <row r="35" spans="1:37" ht="36.950000000000003" customHeight="1" thickBot="1">
      <c r="A35" s="301"/>
      <c r="B35" s="301"/>
      <c r="C35" s="301"/>
      <c r="D35" s="301"/>
      <c r="E35" s="301"/>
      <c r="F35" s="307"/>
      <c r="G35" s="301"/>
      <c r="H35" s="407"/>
      <c r="I35" s="301"/>
      <c r="J35" s="411"/>
      <c r="K35" s="411"/>
      <c r="L35" s="301"/>
      <c r="M35" s="301"/>
      <c r="N35" s="303"/>
      <c r="O35" s="303"/>
      <c r="P35" s="338"/>
      <c r="Q35" s="338"/>
      <c r="R35" s="60" t="s">
        <v>71</v>
      </c>
      <c r="S35" s="52">
        <f>100%/50</f>
        <v>0.02</v>
      </c>
      <c r="T35" s="70">
        <f>SUM(U35:AG35)</f>
        <v>1</v>
      </c>
      <c r="U35" s="42"/>
      <c r="V35" s="42"/>
      <c r="W35" s="42"/>
      <c r="X35" s="42"/>
      <c r="Y35" s="42"/>
      <c r="Z35" s="42"/>
      <c r="AA35" s="42"/>
      <c r="AB35" s="42"/>
      <c r="AC35" s="42"/>
      <c r="AD35" s="42"/>
      <c r="AE35" s="42"/>
      <c r="AF35" s="42"/>
      <c r="AG35" s="42">
        <v>1</v>
      </c>
      <c r="AH35" s="234"/>
      <c r="AI35" s="236"/>
      <c r="AJ35" s="232"/>
      <c r="AK35" s="232"/>
    </row>
    <row r="36" spans="1:37" ht="36.950000000000003" customHeight="1" thickBot="1">
      <c r="A36" s="300">
        <v>12</v>
      </c>
      <c r="B36" s="300" t="s">
        <v>184</v>
      </c>
      <c r="C36" s="300" t="s">
        <v>97</v>
      </c>
      <c r="D36" s="300" t="s">
        <v>98</v>
      </c>
      <c r="E36" s="300" t="s">
        <v>99</v>
      </c>
      <c r="F36" s="307" t="s">
        <v>62</v>
      </c>
      <c r="G36" s="300" t="s">
        <v>932</v>
      </c>
      <c r="H36" s="406">
        <v>1</v>
      </c>
      <c r="I36" s="300" t="s">
        <v>933</v>
      </c>
      <c r="J36" s="410" t="s">
        <v>975</v>
      </c>
      <c r="K36" s="410" t="s">
        <v>976</v>
      </c>
      <c r="L36" s="300" t="s">
        <v>936</v>
      </c>
      <c r="M36" s="300" t="s">
        <v>977</v>
      </c>
      <c r="N36" s="300" t="s">
        <v>68</v>
      </c>
      <c r="O36" s="302" t="s">
        <v>160</v>
      </c>
      <c r="P36" s="334">
        <v>44927</v>
      </c>
      <c r="Q36" s="334">
        <v>45290</v>
      </c>
      <c r="R36" s="60" t="s">
        <v>70</v>
      </c>
      <c r="S36" s="53">
        <f>+(S37*T36)</f>
        <v>0</v>
      </c>
      <c r="T36" s="70">
        <f>SUM(U36:AG36)</f>
        <v>0</v>
      </c>
      <c r="U36" s="45"/>
      <c r="V36" s="45"/>
      <c r="W36" s="45"/>
      <c r="X36" s="45"/>
      <c r="Y36" s="45"/>
      <c r="Z36" s="45"/>
      <c r="AA36" s="45"/>
      <c r="AB36" s="45"/>
      <c r="AC36" s="45"/>
      <c r="AD36" s="45"/>
      <c r="AE36" s="45"/>
      <c r="AF36" s="45"/>
      <c r="AG36" s="45"/>
      <c r="AH36" s="233"/>
      <c r="AI36" s="235"/>
      <c r="AJ36" s="231"/>
      <c r="AK36" s="231"/>
    </row>
    <row r="37" spans="1:37" ht="36.950000000000003" customHeight="1" thickBot="1">
      <c r="A37" s="301"/>
      <c r="B37" s="301"/>
      <c r="C37" s="301"/>
      <c r="D37" s="301"/>
      <c r="E37" s="301"/>
      <c r="F37" s="307"/>
      <c r="G37" s="301"/>
      <c r="H37" s="407"/>
      <c r="I37" s="301"/>
      <c r="J37" s="411"/>
      <c r="K37" s="411"/>
      <c r="L37" s="301"/>
      <c r="M37" s="301"/>
      <c r="N37" s="301"/>
      <c r="O37" s="303"/>
      <c r="P37" s="338"/>
      <c r="Q37" s="338"/>
      <c r="R37" s="60" t="s">
        <v>71</v>
      </c>
      <c r="S37" s="52">
        <f>100%/50</f>
        <v>0.02</v>
      </c>
      <c r="T37" s="70">
        <f>SUM(U37:AG37)</f>
        <v>0.99996000000000007</v>
      </c>
      <c r="U37" s="42"/>
      <c r="V37" s="42">
        <v>8.3330000000000001E-2</v>
      </c>
      <c r="W37" s="42">
        <v>8.3330000000000001E-2</v>
      </c>
      <c r="X37" s="42">
        <v>8.3330000000000001E-2</v>
      </c>
      <c r="Y37" s="42">
        <v>8.3330000000000001E-2</v>
      </c>
      <c r="Z37" s="42">
        <v>8.3330000000000001E-2</v>
      </c>
      <c r="AA37" s="42">
        <v>8.3330000000000001E-2</v>
      </c>
      <c r="AB37" s="42">
        <v>8.3330000000000001E-2</v>
      </c>
      <c r="AC37" s="42">
        <v>8.3330000000000001E-2</v>
      </c>
      <c r="AD37" s="42">
        <v>8.3330000000000001E-2</v>
      </c>
      <c r="AE37" s="42">
        <v>8.3330000000000001E-2</v>
      </c>
      <c r="AF37" s="42">
        <v>8.3330000000000001E-2</v>
      </c>
      <c r="AG37" s="42">
        <v>8.3330000000000001E-2</v>
      </c>
      <c r="AH37" s="234"/>
      <c r="AI37" s="236"/>
      <c r="AJ37" s="232"/>
      <c r="AK37" s="232"/>
    </row>
    <row r="38" spans="1:37" ht="36.950000000000003" customHeight="1" thickBot="1">
      <c r="A38" s="300">
        <v>13</v>
      </c>
      <c r="B38" s="300" t="s">
        <v>184</v>
      </c>
      <c r="C38" s="300" t="s">
        <v>97</v>
      </c>
      <c r="D38" s="300" t="s">
        <v>98</v>
      </c>
      <c r="E38" s="300" t="s">
        <v>99</v>
      </c>
      <c r="F38" s="307" t="s">
        <v>62</v>
      </c>
      <c r="G38" s="300" t="s">
        <v>932</v>
      </c>
      <c r="H38" s="406">
        <v>1</v>
      </c>
      <c r="I38" s="300" t="s">
        <v>933</v>
      </c>
      <c r="J38" s="410" t="s">
        <v>975</v>
      </c>
      <c r="K38" s="410" t="s">
        <v>978</v>
      </c>
      <c r="L38" s="300" t="s">
        <v>936</v>
      </c>
      <c r="M38" s="300" t="s">
        <v>979</v>
      </c>
      <c r="N38" s="302" t="s">
        <v>938</v>
      </c>
      <c r="O38" s="300" t="s">
        <v>69</v>
      </c>
      <c r="P38" s="334">
        <v>44958</v>
      </c>
      <c r="Q38" s="334">
        <v>45290</v>
      </c>
      <c r="R38" s="60" t="s">
        <v>70</v>
      </c>
      <c r="S38" s="53">
        <f>+(S39*T38)</f>
        <v>0</v>
      </c>
      <c r="T38" s="70">
        <f>SUM(U38:AG38)</f>
        <v>0</v>
      </c>
      <c r="U38" s="45"/>
      <c r="V38" s="45"/>
      <c r="W38" s="45"/>
      <c r="X38" s="45"/>
      <c r="Y38" s="45"/>
      <c r="Z38" s="45"/>
      <c r="AA38" s="45"/>
      <c r="AB38" s="45"/>
      <c r="AC38" s="45"/>
      <c r="AD38" s="45"/>
      <c r="AE38" s="45"/>
      <c r="AF38" s="45"/>
      <c r="AG38" s="45"/>
      <c r="AH38" s="233"/>
      <c r="AI38" s="235"/>
      <c r="AJ38" s="231"/>
      <c r="AK38" s="231"/>
    </row>
    <row r="39" spans="1:37" ht="36.950000000000003" customHeight="1" thickBot="1">
      <c r="A39" s="301"/>
      <c r="B39" s="301"/>
      <c r="C39" s="301"/>
      <c r="D39" s="301"/>
      <c r="E39" s="301"/>
      <c r="F39" s="307"/>
      <c r="G39" s="301"/>
      <c r="H39" s="407"/>
      <c r="I39" s="301"/>
      <c r="J39" s="411"/>
      <c r="K39" s="411"/>
      <c r="L39" s="301"/>
      <c r="M39" s="301"/>
      <c r="N39" s="303"/>
      <c r="O39" s="301"/>
      <c r="P39" s="338"/>
      <c r="Q39" s="338"/>
      <c r="R39" s="60" t="s">
        <v>71</v>
      </c>
      <c r="S39" s="52">
        <f>100%/50</f>
        <v>0.02</v>
      </c>
      <c r="T39" s="70">
        <f>SUM(U39:AG39)</f>
        <v>1</v>
      </c>
      <c r="U39" s="42"/>
      <c r="V39" s="42"/>
      <c r="W39" s="42"/>
      <c r="X39" s="42">
        <v>0.25</v>
      </c>
      <c r="Y39" s="42"/>
      <c r="Z39" s="42"/>
      <c r="AA39" s="42">
        <v>0.25</v>
      </c>
      <c r="AB39" s="42"/>
      <c r="AC39" s="42"/>
      <c r="AD39" s="42">
        <v>0.25</v>
      </c>
      <c r="AE39" s="42"/>
      <c r="AF39" s="42"/>
      <c r="AG39" s="42">
        <v>0.25</v>
      </c>
      <c r="AH39" s="234"/>
      <c r="AI39" s="236"/>
      <c r="AJ39" s="232"/>
      <c r="AK39" s="232"/>
    </row>
    <row r="40" spans="1:37" ht="36.950000000000003" customHeight="1" thickBot="1">
      <c r="A40" s="300">
        <v>14</v>
      </c>
      <c r="B40" s="300" t="s">
        <v>184</v>
      </c>
      <c r="C40" s="300" t="s">
        <v>97</v>
      </c>
      <c r="D40" s="300" t="s">
        <v>98</v>
      </c>
      <c r="E40" s="300" t="s">
        <v>99</v>
      </c>
      <c r="F40" s="307" t="s">
        <v>62</v>
      </c>
      <c r="G40" s="300" t="s">
        <v>946</v>
      </c>
      <c r="H40" s="406">
        <v>1</v>
      </c>
      <c r="I40" s="300" t="s">
        <v>939</v>
      </c>
      <c r="J40" s="410" t="s">
        <v>980</v>
      </c>
      <c r="K40" s="410" t="s">
        <v>981</v>
      </c>
      <c r="L40" s="300" t="s">
        <v>936</v>
      </c>
      <c r="M40" s="300" t="s">
        <v>982</v>
      </c>
      <c r="N40" s="300" t="s">
        <v>68</v>
      </c>
      <c r="O40" s="300" t="s">
        <v>841</v>
      </c>
      <c r="P40" s="334">
        <v>45047</v>
      </c>
      <c r="Q40" s="334">
        <v>45076</v>
      </c>
      <c r="R40" s="60" t="s">
        <v>70</v>
      </c>
      <c r="S40" s="53">
        <f>+(S41*T40)</f>
        <v>0</v>
      </c>
      <c r="T40" s="70">
        <f>SUM(U40:AG40)</f>
        <v>0</v>
      </c>
      <c r="U40" s="45"/>
      <c r="V40" s="45"/>
      <c r="W40" s="45"/>
      <c r="X40" s="45"/>
      <c r="Y40" s="45"/>
      <c r="Z40" s="45"/>
      <c r="AA40" s="45"/>
      <c r="AB40" s="45"/>
      <c r="AC40" s="45"/>
      <c r="AD40" s="45"/>
      <c r="AE40" s="45"/>
      <c r="AF40" s="45"/>
      <c r="AG40" s="45"/>
      <c r="AH40" s="233"/>
      <c r="AI40" s="235"/>
      <c r="AJ40" s="231"/>
      <c r="AK40" s="231"/>
    </row>
    <row r="41" spans="1:37" ht="36.950000000000003" customHeight="1" thickBot="1">
      <c r="A41" s="301"/>
      <c r="B41" s="301"/>
      <c r="C41" s="301"/>
      <c r="D41" s="301"/>
      <c r="E41" s="301"/>
      <c r="F41" s="307"/>
      <c r="G41" s="301"/>
      <c r="H41" s="407"/>
      <c r="I41" s="301"/>
      <c r="J41" s="411"/>
      <c r="K41" s="411"/>
      <c r="L41" s="301"/>
      <c r="M41" s="301"/>
      <c r="N41" s="301"/>
      <c r="O41" s="301"/>
      <c r="P41" s="338"/>
      <c r="Q41" s="338"/>
      <c r="R41" s="60" t="s">
        <v>71</v>
      </c>
      <c r="S41" s="52">
        <f>100%/50</f>
        <v>0.02</v>
      </c>
      <c r="T41" s="70">
        <f>SUM(U41:AG41)</f>
        <v>1</v>
      </c>
      <c r="U41" s="42"/>
      <c r="V41" s="42"/>
      <c r="W41" s="42"/>
      <c r="X41" s="42"/>
      <c r="Y41" s="42"/>
      <c r="Z41" s="42"/>
      <c r="AA41" s="42"/>
      <c r="AB41" s="42"/>
      <c r="AC41" s="42"/>
      <c r="AD41" s="42"/>
      <c r="AE41" s="42"/>
      <c r="AF41" s="42"/>
      <c r="AG41" s="42">
        <v>1</v>
      </c>
      <c r="AH41" s="234"/>
      <c r="AI41" s="236"/>
      <c r="AJ41" s="232"/>
      <c r="AK41" s="232"/>
    </row>
    <row r="42" spans="1:37" ht="36.950000000000003" customHeight="1" thickBot="1">
      <c r="A42" s="300">
        <v>15</v>
      </c>
      <c r="B42" s="300" t="s">
        <v>184</v>
      </c>
      <c r="C42" s="300" t="s">
        <v>97</v>
      </c>
      <c r="D42" s="300" t="s">
        <v>98</v>
      </c>
      <c r="E42" s="300" t="s">
        <v>99</v>
      </c>
      <c r="F42" s="307" t="s">
        <v>62</v>
      </c>
      <c r="G42" s="300" t="s">
        <v>932</v>
      </c>
      <c r="H42" s="406">
        <v>1</v>
      </c>
      <c r="I42" s="300" t="s">
        <v>939</v>
      </c>
      <c r="J42" s="410" t="s">
        <v>983</v>
      </c>
      <c r="K42" s="410" t="s">
        <v>984</v>
      </c>
      <c r="L42" s="300" t="s">
        <v>936</v>
      </c>
      <c r="M42" s="300" t="s">
        <v>985</v>
      </c>
      <c r="N42" s="302" t="s">
        <v>938</v>
      </c>
      <c r="O42" s="300" t="s">
        <v>841</v>
      </c>
      <c r="P42" s="334">
        <v>44958</v>
      </c>
      <c r="Q42" s="334">
        <v>44985</v>
      </c>
      <c r="R42" s="60" t="s">
        <v>70</v>
      </c>
      <c r="S42" s="53">
        <f>+(S43*T42)</f>
        <v>0</v>
      </c>
      <c r="T42" s="70">
        <f>SUM(U42:AG42)</f>
        <v>0</v>
      </c>
      <c r="U42" s="45"/>
      <c r="V42" s="45"/>
      <c r="W42" s="45"/>
      <c r="X42" s="45"/>
      <c r="Y42" s="45"/>
      <c r="Z42" s="45"/>
      <c r="AA42" s="45"/>
      <c r="AB42" s="45"/>
      <c r="AC42" s="45"/>
      <c r="AD42" s="45"/>
      <c r="AE42" s="45"/>
      <c r="AF42" s="45"/>
      <c r="AG42" s="45"/>
      <c r="AH42" s="233"/>
      <c r="AI42" s="235"/>
      <c r="AJ42" s="231"/>
      <c r="AK42" s="231"/>
    </row>
    <row r="43" spans="1:37" ht="36.950000000000003" customHeight="1" thickBot="1">
      <c r="A43" s="301"/>
      <c r="B43" s="301"/>
      <c r="C43" s="301"/>
      <c r="D43" s="301"/>
      <c r="E43" s="301"/>
      <c r="F43" s="307"/>
      <c r="G43" s="301"/>
      <c r="H43" s="407"/>
      <c r="I43" s="301"/>
      <c r="J43" s="411"/>
      <c r="K43" s="411"/>
      <c r="L43" s="301"/>
      <c r="M43" s="301"/>
      <c r="N43" s="303"/>
      <c r="O43" s="301"/>
      <c r="P43" s="338"/>
      <c r="Q43" s="338"/>
      <c r="R43" s="60" t="s">
        <v>71</v>
      </c>
      <c r="S43" s="52">
        <f>100%/50</f>
        <v>0.02</v>
      </c>
      <c r="T43" s="70">
        <f>SUM(U43:AG43)</f>
        <v>1</v>
      </c>
      <c r="U43" s="42"/>
      <c r="V43" s="42"/>
      <c r="W43" s="42"/>
      <c r="X43" s="42"/>
      <c r="Y43" s="42"/>
      <c r="Z43" s="42"/>
      <c r="AA43" s="42"/>
      <c r="AB43" s="42"/>
      <c r="AC43" s="42"/>
      <c r="AD43" s="42"/>
      <c r="AE43" s="42"/>
      <c r="AF43" s="42"/>
      <c r="AG43" s="42">
        <v>1</v>
      </c>
      <c r="AH43" s="234"/>
      <c r="AI43" s="236"/>
      <c r="AJ43" s="232"/>
      <c r="AK43" s="232"/>
    </row>
    <row r="44" spans="1:37" ht="36.950000000000003" customHeight="1" thickBot="1">
      <c r="A44" s="300">
        <v>16</v>
      </c>
      <c r="B44" s="300" t="s">
        <v>184</v>
      </c>
      <c r="C44" s="300" t="s">
        <v>97</v>
      </c>
      <c r="D44" s="300" t="s">
        <v>98</v>
      </c>
      <c r="E44" s="300" t="s">
        <v>99</v>
      </c>
      <c r="F44" s="307" t="s">
        <v>62</v>
      </c>
      <c r="G44" s="300" t="s">
        <v>932</v>
      </c>
      <c r="H44" s="406">
        <v>1</v>
      </c>
      <c r="I44" s="300" t="s">
        <v>939</v>
      </c>
      <c r="J44" s="410" t="s">
        <v>943</v>
      </c>
      <c r="K44" s="410" t="s">
        <v>986</v>
      </c>
      <c r="L44" s="300" t="s">
        <v>936</v>
      </c>
      <c r="M44" s="300" t="s">
        <v>987</v>
      </c>
      <c r="N44" s="300" t="s">
        <v>68</v>
      </c>
      <c r="O44" s="300" t="s">
        <v>841</v>
      </c>
      <c r="P44" s="334">
        <v>45200</v>
      </c>
      <c r="Q44" s="334">
        <v>45229</v>
      </c>
      <c r="R44" s="60" t="s">
        <v>70</v>
      </c>
      <c r="S44" s="53">
        <f>+(S45*T44)</f>
        <v>0</v>
      </c>
      <c r="T44" s="70">
        <f>SUM(U44:AG44)</f>
        <v>0</v>
      </c>
      <c r="U44" s="45"/>
      <c r="V44" s="45"/>
      <c r="W44" s="45"/>
      <c r="X44" s="45"/>
      <c r="Y44" s="45"/>
      <c r="Z44" s="45"/>
      <c r="AA44" s="45"/>
      <c r="AB44" s="45"/>
      <c r="AC44" s="45"/>
      <c r="AD44" s="45"/>
      <c r="AE44" s="45"/>
      <c r="AF44" s="45"/>
      <c r="AG44" s="45"/>
      <c r="AH44" s="233"/>
      <c r="AI44" s="235"/>
      <c r="AJ44" s="231"/>
      <c r="AK44" s="231"/>
    </row>
    <row r="45" spans="1:37" ht="36.950000000000003" customHeight="1" thickBot="1">
      <c r="A45" s="301"/>
      <c r="B45" s="301"/>
      <c r="C45" s="301"/>
      <c r="D45" s="301"/>
      <c r="E45" s="301"/>
      <c r="F45" s="307"/>
      <c r="G45" s="301"/>
      <c r="H45" s="407"/>
      <c r="I45" s="301"/>
      <c r="J45" s="411"/>
      <c r="K45" s="411"/>
      <c r="L45" s="301"/>
      <c r="M45" s="301"/>
      <c r="N45" s="301"/>
      <c r="O45" s="301"/>
      <c r="P45" s="338"/>
      <c r="Q45" s="338"/>
      <c r="R45" s="60" t="s">
        <v>71</v>
      </c>
      <c r="S45" s="52">
        <f>100%/50</f>
        <v>0.02</v>
      </c>
      <c r="T45" s="70">
        <f>SUM(U45:AG45)</f>
        <v>1</v>
      </c>
      <c r="U45" s="42"/>
      <c r="V45" s="42"/>
      <c r="W45" s="42"/>
      <c r="X45" s="42"/>
      <c r="Y45" s="42"/>
      <c r="Z45" s="42"/>
      <c r="AA45" s="42"/>
      <c r="AB45" s="42"/>
      <c r="AC45" s="42"/>
      <c r="AD45" s="42"/>
      <c r="AE45" s="42"/>
      <c r="AF45" s="42"/>
      <c r="AG45" s="42">
        <v>1</v>
      </c>
      <c r="AH45" s="234"/>
      <c r="AI45" s="236"/>
      <c r="AJ45" s="232"/>
      <c r="AK45" s="232"/>
    </row>
    <row r="46" spans="1:37" ht="36.950000000000003" customHeight="1" thickBot="1">
      <c r="A46" s="300">
        <v>17</v>
      </c>
      <c r="B46" s="300" t="s">
        <v>184</v>
      </c>
      <c r="C46" s="300" t="s">
        <v>97</v>
      </c>
      <c r="D46" s="300" t="s">
        <v>98</v>
      </c>
      <c r="E46" s="300" t="s">
        <v>99</v>
      </c>
      <c r="F46" s="307" t="s">
        <v>62</v>
      </c>
      <c r="G46" s="300" t="s">
        <v>946</v>
      </c>
      <c r="H46" s="406">
        <v>1</v>
      </c>
      <c r="I46" s="300" t="s">
        <v>939</v>
      </c>
      <c r="J46" s="410" t="s">
        <v>947</v>
      </c>
      <c r="K46" s="410" t="s">
        <v>988</v>
      </c>
      <c r="L46" s="300" t="s">
        <v>936</v>
      </c>
      <c r="M46" s="300" t="s">
        <v>982</v>
      </c>
      <c r="N46" s="300" t="s">
        <v>68</v>
      </c>
      <c r="O46" s="300" t="s">
        <v>841</v>
      </c>
      <c r="P46" s="334">
        <v>45078</v>
      </c>
      <c r="Q46" s="334">
        <v>45107</v>
      </c>
      <c r="R46" s="60" t="s">
        <v>70</v>
      </c>
      <c r="S46" s="53">
        <f>+(S47*T46)</f>
        <v>0</v>
      </c>
      <c r="T46" s="70">
        <f>SUM(U46:AG46)</f>
        <v>0</v>
      </c>
      <c r="U46" s="45"/>
      <c r="V46" s="45"/>
      <c r="W46" s="45"/>
      <c r="X46" s="45"/>
      <c r="Y46" s="45"/>
      <c r="Z46" s="45"/>
      <c r="AA46" s="45"/>
      <c r="AB46" s="45"/>
      <c r="AC46" s="45"/>
      <c r="AD46" s="45"/>
      <c r="AE46" s="45"/>
      <c r="AF46" s="45"/>
      <c r="AG46" s="45"/>
      <c r="AH46" s="233"/>
      <c r="AI46" s="235"/>
      <c r="AJ46" s="231"/>
      <c r="AK46" s="231"/>
    </row>
    <row r="47" spans="1:37" ht="36.950000000000003" customHeight="1" thickBot="1">
      <c r="A47" s="301"/>
      <c r="B47" s="301"/>
      <c r="C47" s="301"/>
      <c r="D47" s="301"/>
      <c r="E47" s="301"/>
      <c r="F47" s="307"/>
      <c r="G47" s="301"/>
      <c r="H47" s="407"/>
      <c r="I47" s="301"/>
      <c r="J47" s="411"/>
      <c r="K47" s="411"/>
      <c r="L47" s="301"/>
      <c r="M47" s="301"/>
      <c r="N47" s="301"/>
      <c r="O47" s="301"/>
      <c r="P47" s="338"/>
      <c r="Q47" s="338"/>
      <c r="R47" s="60" t="s">
        <v>71</v>
      </c>
      <c r="S47" s="52">
        <f>100%/50</f>
        <v>0.02</v>
      </c>
      <c r="T47" s="70">
        <f>SUM(U47:AG47)</f>
        <v>1</v>
      </c>
      <c r="U47" s="42"/>
      <c r="V47" s="42"/>
      <c r="W47" s="42"/>
      <c r="X47" s="42"/>
      <c r="Y47" s="42"/>
      <c r="Z47" s="42"/>
      <c r="AA47" s="42"/>
      <c r="AB47" s="42"/>
      <c r="AC47" s="42"/>
      <c r="AD47" s="42"/>
      <c r="AE47" s="42"/>
      <c r="AF47" s="42"/>
      <c r="AG47" s="42">
        <v>1</v>
      </c>
      <c r="AH47" s="234"/>
      <c r="AI47" s="236"/>
      <c r="AJ47" s="232"/>
      <c r="AK47" s="232"/>
    </row>
    <row r="48" spans="1:37" ht="36.950000000000003" customHeight="1" thickBot="1">
      <c r="A48" s="300">
        <v>18</v>
      </c>
      <c r="B48" s="300" t="s">
        <v>184</v>
      </c>
      <c r="C48" s="300" t="s">
        <v>97</v>
      </c>
      <c r="D48" s="300" t="s">
        <v>98</v>
      </c>
      <c r="E48" s="300" t="s">
        <v>99</v>
      </c>
      <c r="F48" s="307" t="s">
        <v>62</v>
      </c>
      <c r="G48" s="300" t="s">
        <v>946</v>
      </c>
      <c r="H48" s="406">
        <v>1</v>
      </c>
      <c r="I48" s="300" t="s">
        <v>939</v>
      </c>
      <c r="J48" s="410" t="s">
        <v>947</v>
      </c>
      <c r="K48" s="410" t="s">
        <v>989</v>
      </c>
      <c r="L48" s="300" t="s">
        <v>936</v>
      </c>
      <c r="M48" s="300" t="s">
        <v>979</v>
      </c>
      <c r="N48" s="302" t="s">
        <v>938</v>
      </c>
      <c r="O48" s="300" t="s">
        <v>109</v>
      </c>
      <c r="P48" s="334">
        <v>45078</v>
      </c>
      <c r="Q48" s="334">
        <v>45107</v>
      </c>
      <c r="R48" s="60" t="s">
        <v>70</v>
      </c>
      <c r="S48" s="53">
        <f>+(S49*T48)</f>
        <v>0</v>
      </c>
      <c r="T48" s="70">
        <f>SUM(U48:AG48)</f>
        <v>0</v>
      </c>
      <c r="U48" s="45"/>
      <c r="V48" s="45"/>
      <c r="W48" s="45"/>
      <c r="X48" s="45"/>
      <c r="Y48" s="45"/>
      <c r="Z48" s="45"/>
      <c r="AA48" s="45"/>
      <c r="AB48" s="45"/>
      <c r="AC48" s="45"/>
      <c r="AD48" s="45"/>
      <c r="AE48" s="45"/>
      <c r="AF48" s="45"/>
      <c r="AG48" s="45"/>
      <c r="AH48" s="233"/>
      <c r="AI48" s="235"/>
      <c r="AJ48" s="231"/>
      <c r="AK48" s="231"/>
    </row>
    <row r="49" spans="1:37" ht="36.950000000000003" customHeight="1" thickBot="1">
      <c r="A49" s="301"/>
      <c r="B49" s="301"/>
      <c r="C49" s="301"/>
      <c r="D49" s="301"/>
      <c r="E49" s="301"/>
      <c r="F49" s="307"/>
      <c r="G49" s="301"/>
      <c r="H49" s="407"/>
      <c r="I49" s="301"/>
      <c r="J49" s="411"/>
      <c r="K49" s="411"/>
      <c r="L49" s="301"/>
      <c r="M49" s="301"/>
      <c r="N49" s="303"/>
      <c r="O49" s="301"/>
      <c r="P49" s="338"/>
      <c r="Q49" s="338"/>
      <c r="R49" s="60" t="s">
        <v>71</v>
      </c>
      <c r="S49" s="52">
        <f>100%/50</f>
        <v>0.02</v>
      </c>
      <c r="T49" s="70">
        <f>SUM(U49:AG49)</f>
        <v>1</v>
      </c>
      <c r="U49" s="42"/>
      <c r="V49" s="42"/>
      <c r="W49" s="42"/>
      <c r="X49" s="42"/>
      <c r="Y49" s="42"/>
      <c r="Z49" s="42"/>
      <c r="AA49" s="42">
        <v>0.5</v>
      </c>
      <c r="AB49" s="42"/>
      <c r="AC49" s="42"/>
      <c r="AD49" s="42"/>
      <c r="AE49" s="42"/>
      <c r="AF49" s="42"/>
      <c r="AG49" s="42">
        <v>0.5</v>
      </c>
      <c r="AH49" s="234"/>
      <c r="AI49" s="236"/>
      <c r="AJ49" s="232"/>
      <c r="AK49" s="232"/>
    </row>
    <row r="50" spans="1:37" ht="36.950000000000003" customHeight="1" thickBot="1">
      <c r="A50" s="300">
        <v>19</v>
      </c>
      <c r="B50" s="300" t="s">
        <v>184</v>
      </c>
      <c r="C50" s="300" t="s">
        <v>97</v>
      </c>
      <c r="D50" s="300" t="s">
        <v>98</v>
      </c>
      <c r="E50" s="300" t="s">
        <v>99</v>
      </c>
      <c r="F50" s="307" t="s">
        <v>62</v>
      </c>
      <c r="G50" s="300" t="s">
        <v>946</v>
      </c>
      <c r="H50" s="406">
        <v>1</v>
      </c>
      <c r="I50" s="300" t="s">
        <v>950</v>
      </c>
      <c r="J50" s="412" t="s">
        <v>951</v>
      </c>
      <c r="K50" s="410" t="s">
        <v>990</v>
      </c>
      <c r="L50" s="300" t="s">
        <v>936</v>
      </c>
      <c r="M50" s="300" t="s">
        <v>991</v>
      </c>
      <c r="N50" s="300" t="s">
        <v>68</v>
      </c>
      <c r="O50" s="300" t="s">
        <v>841</v>
      </c>
      <c r="P50" s="334">
        <v>45139</v>
      </c>
      <c r="Q50" s="334">
        <v>45168</v>
      </c>
      <c r="R50" s="60" t="s">
        <v>70</v>
      </c>
      <c r="S50" s="53">
        <f>+(S51*T50)</f>
        <v>0</v>
      </c>
      <c r="T50" s="70">
        <f>SUM(U50:AG50)</f>
        <v>0</v>
      </c>
      <c r="U50" s="45"/>
      <c r="V50" s="45"/>
      <c r="W50" s="45"/>
      <c r="X50" s="45"/>
      <c r="Y50" s="45"/>
      <c r="Z50" s="45"/>
      <c r="AA50" s="45"/>
      <c r="AB50" s="45"/>
      <c r="AC50" s="45"/>
      <c r="AD50" s="45"/>
      <c r="AE50" s="45"/>
      <c r="AF50" s="45"/>
      <c r="AG50" s="45"/>
      <c r="AH50" s="233"/>
      <c r="AI50" s="235"/>
      <c r="AJ50" s="231"/>
      <c r="AK50" s="231"/>
    </row>
    <row r="51" spans="1:37" ht="36.950000000000003" customHeight="1" thickBot="1">
      <c r="A51" s="301"/>
      <c r="B51" s="301"/>
      <c r="C51" s="301"/>
      <c r="D51" s="301"/>
      <c r="E51" s="301"/>
      <c r="F51" s="307"/>
      <c r="G51" s="301"/>
      <c r="H51" s="407"/>
      <c r="I51" s="301"/>
      <c r="J51" s="413"/>
      <c r="K51" s="411"/>
      <c r="L51" s="301"/>
      <c r="M51" s="301"/>
      <c r="N51" s="301"/>
      <c r="O51" s="301"/>
      <c r="P51" s="338"/>
      <c r="Q51" s="338"/>
      <c r="R51" s="60" t="s">
        <v>71</v>
      </c>
      <c r="S51" s="52">
        <f>100%/50</f>
        <v>0.02</v>
      </c>
      <c r="T51" s="70">
        <f>SUM(U51:AG51)</f>
        <v>1</v>
      </c>
      <c r="U51" s="42"/>
      <c r="V51" s="42"/>
      <c r="W51" s="42"/>
      <c r="X51" s="42"/>
      <c r="Y51" s="42"/>
      <c r="Z51" s="42"/>
      <c r="AA51" s="42"/>
      <c r="AB51" s="42"/>
      <c r="AC51" s="42"/>
      <c r="AD51" s="42"/>
      <c r="AE51" s="42"/>
      <c r="AF51" s="42"/>
      <c r="AG51" s="42">
        <v>1</v>
      </c>
      <c r="AH51" s="234"/>
      <c r="AI51" s="236"/>
      <c r="AJ51" s="232"/>
      <c r="AK51" s="232"/>
    </row>
    <row r="52" spans="1:37" ht="36.950000000000003" customHeight="1" thickBot="1">
      <c r="A52" s="300">
        <v>20</v>
      </c>
      <c r="B52" s="300" t="s">
        <v>184</v>
      </c>
      <c r="C52" s="300" t="s">
        <v>97</v>
      </c>
      <c r="D52" s="300" t="s">
        <v>98</v>
      </c>
      <c r="E52" s="300" t="s">
        <v>99</v>
      </c>
      <c r="F52" s="307" t="s">
        <v>62</v>
      </c>
      <c r="G52" s="300" t="s">
        <v>966</v>
      </c>
      <c r="H52" s="406">
        <v>1</v>
      </c>
      <c r="I52" s="300" t="s">
        <v>950</v>
      </c>
      <c r="J52" s="412" t="s">
        <v>951</v>
      </c>
      <c r="K52" s="410" t="s">
        <v>992</v>
      </c>
      <c r="L52" s="300" t="s">
        <v>936</v>
      </c>
      <c r="M52" s="300" t="s">
        <v>993</v>
      </c>
      <c r="N52" s="302" t="s">
        <v>938</v>
      </c>
      <c r="O52" s="300" t="s">
        <v>841</v>
      </c>
      <c r="P52" s="334">
        <v>45231</v>
      </c>
      <c r="Q52" s="334">
        <v>45260</v>
      </c>
      <c r="R52" s="60" t="s">
        <v>70</v>
      </c>
      <c r="S52" s="53">
        <f>+(S53*T52)</f>
        <v>0</v>
      </c>
      <c r="T52" s="70">
        <f>SUM(U52:AG52)</f>
        <v>0</v>
      </c>
      <c r="U52" s="45"/>
      <c r="V52" s="45"/>
      <c r="W52" s="45"/>
      <c r="X52" s="45"/>
      <c r="Y52" s="45"/>
      <c r="Z52" s="45"/>
      <c r="AA52" s="45"/>
      <c r="AB52" s="45"/>
      <c r="AC52" s="45"/>
      <c r="AD52" s="45"/>
      <c r="AE52" s="45"/>
      <c r="AF52" s="45"/>
      <c r="AG52" s="45"/>
      <c r="AH52" s="233"/>
      <c r="AI52" s="235"/>
      <c r="AJ52" s="231"/>
      <c r="AK52" s="231"/>
    </row>
    <row r="53" spans="1:37" ht="36.950000000000003" customHeight="1" thickBot="1">
      <c r="A53" s="301"/>
      <c r="B53" s="301"/>
      <c r="C53" s="301"/>
      <c r="D53" s="301"/>
      <c r="E53" s="301"/>
      <c r="F53" s="307"/>
      <c r="G53" s="301"/>
      <c r="H53" s="407"/>
      <c r="I53" s="301"/>
      <c r="J53" s="413"/>
      <c r="K53" s="411"/>
      <c r="L53" s="301"/>
      <c r="M53" s="301"/>
      <c r="N53" s="303"/>
      <c r="O53" s="301"/>
      <c r="P53" s="338"/>
      <c r="Q53" s="338"/>
      <c r="R53" s="60" t="s">
        <v>71</v>
      </c>
      <c r="S53" s="52">
        <f>100%/50</f>
        <v>0.02</v>
      </c>
      <c r="T53" s="70">
        <f>SUM(U53:AG53)</f>
        <v>1</v>
      </c>
      <c r="U53" s="42"/>
      <c r="V53" s="42"/>
      <c r="W53" s="42"/>
      <c r="X53" s="42"/>
      <c r="Y53" s="42"/>
      <c r="Z53" s="42"/>
      <c r="AA53" s="42"/>
      <c r="AB53" s="42"/>
      <c r="AC53" s="42"/>
      <c r="AD53" s="42"/>
      <c r="AE53" s="42"/>
      <c r="AF53" s="42"/>
      <c r="AG53" s="42">
        <v>1</v>
      </c>
      <c r="AH53" s="234"/>
      <c r="AI53" s="236"/>
      <c r="AJ53" s="232"/>
      <c r="AK53" s="232"/>
    </row>
    <row r="54" spans="1:37" ht="36.950000000000003" customHeight="1" thickBot="1">
      <c r="A54" s="300">
        <v>21</v>
      </c>
      <c r="B54" s="300" t="s">
        <v>184</v>
      </c>
      <c r="C54" s="300" t="s">
        <v>97</v>
      </c>
      <c r="D54" s="300" t="s">
        <v>98</v>
      </c>
      <c r="E54" s="300" t="s">
        <v>99</v>
      </c>
      <c r="F54" s="307" t="s">
        <v>62</v>
      </c>
      <c r="G54" s="300" t="s">
        <v>946</v>
      </c>
      <c r="H54" s="406">
        <v>1</v>
      </c>
      <c r="I54" s="300" t="s">
        <v>950</v>
      </c>
      <c r="J54" s="412" t="s">
        <v>951</v>
      </c>
      <c r="K54" s="410" t="s">
        <v>994</v>
      </c>
      <c r="L54" s="300" t="s">
        <v>936</v>
      </c>
      <c r="M54" s="300" t="s">
        <v>995</v>
      </c>
      <c r="N54" s="302" t="s">
        <v>938</v>
      </c>
      <c r="O54" s="300" t="s">
        <v>109</v>
      </c>
      <c r="P54" s="334">
        <v>45047</v>
      </c>
      <c r="Q54" s="334">
        <v>45260</v>
      </c>
      <c r="R54" s="60" t="s">
        <v>70</v>
      </c>
      <c r="S54" s="53">
        <f>+(S55*T54)</f>
        <v>0</v>
      </c>
      <c r="T54" s="70">
        <f>SUM(U54:AG54)</f>
        <v>0</v>
      </c>
      <c r="U54" s="45"/>
      <c r="V54" s="45"/>
      <c r="W54" s="45"/>
      <c r="X54" s="45"/>
      <c r="Y54" s="45"/>
      <c r="Z54" s="45"/>
      <c r="AA54" s="45"/>
      <c r="AB54" s="45"/>
      <c r="AC54" s="45"/>
      <c r="AD54" s="45"/>
      <c r="AE54" s="45"/>
      <c r="AF54" s="45"/>
      <c r="AG54" s="45"/>
      <c r="AH54" s="233"/>
      <c r="AI54" s="235"/>
      <c r="AJ54" s="231"/>
      <c r="AK54" s="231"/>
    </row>
    <row r="55" spans="1:37" ht="36.950000000000003" customHeight="1" thickBot="1">
      <c r="A55" s="301"/>
      <c r="B55" s="301"/>
      <c r="C55" s="301"/>
      <c r="D55" s="301"/>
      <c r="E55" s="301"/>
      <c r="F55" s="307"/>
      <c r="G55" s="301"/>
      <c r="H55" s="407"/>
      <c r="I55" s="301"/>
      <c r="J55" s="413"/>
      <c r="K55" s="411"/>
      <c r="L55" s="301"/>
      <c r="M55" s="301"/>
      <c r="N55" s="303"/>
      <c r="O55" s="301"/>
      <c r="P55" s="338"/>
      <c r="Q55" s="338"/>
      <c r="R55" s="60" t="s">
        <v>71</v>
      </c>
      <c r="S55" s="52">
        <f>100%/50</f>
        <v>0.02</v>
      </c>
      <c r="T55" s="70">
        <f>SUM(U55:AG55)</f>
        <v>1</v>
      </c>
      <c r="U55" s="42"/>
      <c r="V55" s="42"/>
      <c r="W55" s="42"/>
      <c r="X55" s="42"/>
      <c r="Y55" s="42"/>
      <c r="Z55" s="42"/>
      <c r="AA55" s="42">
        <v>0.5</v>
      </c>
      <c r="AB55" s="42"/>
      <c r="AC55" s="42"/>
      <c r="AD55" s="42"/>
      <c r="AE55" s="42"/>
      <c r="AF55" s="42"/>
      <c r="AG55" s="42">
        <v>0.5</v>
      </c>
      <c r="AH55" s="234"/>
      <c r="AI55" s="236"/>
      <c r="AJ55" s="232"/>
      <c r="AK55" s="232"/>
    </row>
    <row r="56" spans="1:37" ht="36.950000000000003" customHeight="1" thickBot="1">
      <c r="A56" s="300">
        <v>22</v>
      </c>
      <c r="B56" s="300" t="s">
        <v>184</v>
      </c>
      <c r="C56" s="300" t="s">
        <v>97</v>
      </c>
      <c r="D56" s="300" t="s">
        <v>98</v>
      </c>
      <c r="E56" s="300" t="s">
        <v>99</v>
      </c>
      <c r="F56" s="307" t="s">
        <v>62</v>
      </c>
      <c r="G56" s="300" t="s">
        <v>946</v>
      </c>
      <c r="H56" s="406">
        <v>1</v>
      </c>
      <c r="I56" s="300" t="s">
        <v>950</v>
      </c>
      <c r="J56" s="412" t="s">
        <v>951</v>
      </c>
      <c r="K56" s="410" t="s">
        <v>996</v>
      </c>
      <c r="L56" s="300" t="s">
        <v>936</v>
      </c>
      <c r="M56" s="300" t="s">
        <v>997</v>
      </c>
      <c r="N56" s="302" t="s">
        <v>938</v>
      </c>
      <c r="O56" s="300" t="s">
        <v>841</v>
      </c>
      <c r="P56" s="334">
        <v>44958</v>
      </c>
      <c r="Q56" s="334">
        <v>44985</v>
      </c>
      <c r="R56" s="60" t="s">
        <v>70</v>
      </c>
      <c r="S56" s="53">
        <f>+(S57*T56)</f>
        <v>0</v>
      </c>
      <c r="T56" s="70">
        <f>SUM(U56:AG56)</f>
        <v>0</v>
      </c>
      <c r="U56" s="45"/>
      <c r="V56" s="45"/>
      <c r="W56" s="45"/>
      <c r="X56" s="45"/>
      <c r="Y56" s="45"/>
      <c r="Z56" s="45"/>
      <c r="AA56" s="45"/>
      <c r="AB56" s="45"/>
      <c r="AC56" s="45"/>
      <c r="AD56" s="45"/>
      <c r="AE56" s="45"/>
      <c r="AF56" s="45"/>
      <c r="AG56" s="45"/>
      <c r="AH56" s="233"/>
      <c r="AI56" s="235"/>
      <c r="AJ56" s="231"/>
      <c r="AK56" s="231"/>
    </row>
    <row r="57" spans="1:37" ht="36.950000000000003" customHeight="1" thickBot="1">
      <c r="A57" s="301"/>
      <c r="B57" s="301"/>
      <c r="C57" s="301"/>
      <c r="D57" s="301"/>
      <c r="E57" s="301"/>
      <c r="F57" s="307"/>
      <c r="G57" s="301"/>
      <c r="H57" s="407"/>
      <c r="I57" s="301"/>
      <c r="J57" s="413"/>
      <c r="K57" s="411"/>
      <c r="L57" s="301"/>
      <c r="M57" s="301"/>
      <c r="N57" s="303"/>
      <c r="O57" s="301"/>
      <c r="P57" s="338"/>
      <c r="Q57" s="338"/>
      <c r="R57" s="60" t="s">
        <v>71</v>
      </c>
      <c r="S57" s="52">
        <f>100%/50</f>
        <v>0.02</v>
      </c>
      <c r="T57" s="70">
        <f>SUM(U57:AG57)</f>
        <v>1</v>
      </c>
      <c r="U57" s="42"/>
      <c r="V57" s="42"/>
      <c r="W57" s="42"/>
      <c r="X57" s="42"/>
      <c r="Y57" s="42"/>
      <c r="Z57" s="42"/>
      <c r="AA57" s="42"/>
      <c r="AB57" s="42"/>
      <c r="AC57" s="42"/>
      <c r="AD57" s="42"/>
      <c r="AE57" s="42"/>
      <c r="AF57" s="42"/>
      <c r="AG57" s="42">
        <v>1</v>
      </c>
      <c r="AH57" s="234"/>
      <c r="AI57" s="236"/>
      <c r="AJ57" s="232"/>
      <c r="AK57" s="232"/>
    </row>
    <row r="58" spans="1:37" ht="36.950000000000003" customHeight="1" thickBot="1">
      <c r="A58" s="300">
        <v>23</v>
      </c>
      <c r="B58" s="300" t="s">
        <v>184</v>
      </c>
      <c r="C58" s="300" t="s">
        <v>97</v>
      </c>
      <c r="D58" s="300" t="s">
        <v>98</v>
      </c>
      <c r="E58" s="300" t="s">
        <v>99</v>
      </c>
      <c r="F58" s="307" t="s">
        <v>62</v>
      </c>
      <c r="G58" s="300" t="s">
        <v>946</v>
      </c>
      <c r="H58" s="406">
        <v>1</v>
      </c>
      <c r="I58" s="300" t="s">
        <v>950</v>
      </c>
      <c r="J58" s="412" t="s">
        <v>951</v>
      </c>
      <c r="K58" s="410" t="s">
        <v>998</v>
      </c>
      <c r="L58" s="300" t="s">
        <v>936</v>
      </c>
      <c r="M58" s="300" t="s">
        <v>979</v>
      </c>
      <c r="N58" s="302" t="s">
        <v>938</v>
      </c>
      <c r="O58" s="300" t="s">
        <v>160</v>
      </c>
      <c r="P58" s="334">
        <v>44958</v>
      </c>
      <c r="Q58" s="334">
        <v>45290</v>
      </c>
      <c r="R58" s="60" t="s">
        <v>70</v>
      </c>
      <c r="S58" s="53">
        <f>+(S59*T58)</f>
        <v>0</v>
      </c>
      <c r="T58" s="70">
        <f>SUM(U58:AG58)</f>
        <v>0</v>
      </c>
      <c r="U58" s="45"/>
      <c r="V58" s="45"/>
      <c r="W58" s="45"/>
      <c r="X58" s="45"/>
      <c r="Y58" s="45"/>
      <c r="Z58" s="45"/>
      <c r="AA58" s="45"/>
      <c r="AB58" s="45"/>
      <c r="AC58" s="45"/>
      <c r="AD58" s="45"/>
      <c r="AE58" s="45"/>
      <c r="AF58" s="45"/>
      <c r="AG58" s="45"/>
      <c r="AH58" s="233"/>
      <c r="AI58" s="235"/>
      <c r="AJ58" s="231"/>
      <c r="AK58" s="231"/>
    </row>
    <row r="59" spans="1:37" ht="36.950000000000003" customHeight="1" thickBot="1">
      <c r="A59" s="301"/>
      <c r="B59" s="301"/>
      <c r="C59" s="301"/>
      <c r="D59" s="301"/>
      <c r="E59" s="301"/>
      <c r="F59" s="307"/>
      <c r="G59" s="301"/>
      <c r="H59" s="407"/>
      <c r="I59" s="301"/>
      <c r="J59" s="413"/>
      <c r="K59" s="411"/>
      <c r="L59" s="301"/>
      <c r="M59" s="301"/>
      <c r="N59" s="303"/>
      <c r="O59" s="301"/>
      <c r="P59" s="338"/>
      <c r="Q59" s="338"/>
      <c r="R59" s="60" t="s">
        <v>71</v>
      </c>
      <c r="S59" s="52">
        <f>100%/50</f>
        <v>0.02</v>
      </c>
      <c r="T59" s="70">
        <f>SUM(U59:AG59)</f>
        <v>0.99996000000000007</v>
      </c>
      <c r="U59" s="42"/>
      <c r="V59" s="42">
        <v>8.3330000000000001E-2</v>
      </c>
      <c r="W59" s="42">
        <v>8.3330000000000001E-2</v>
      </c>
      <c r="X59" s="42">
        <v>8.3330000000000001E-2</v>
      </c>
      <c r="Y59" s="42">
        <v>8.3330000000000001E-2</v>
      </c>
      <c r="Z59" s="42">
        <v>8.3330000000000001E-2</v>
      </c>
      <c r="AA59" s="42">
        <v>8.3330000000000001E-2</v>
      </c>
      <c r="AB59" s="42">
        <v>8.3330000000000001E-2</v>
      </c>
      <c r="AC59" s="42">
        <v>8.3330000000000001E-2</v>
      </c>
      <c r="AD59" s="42">
        <v>8.3330000000000001E-2</v>
      </c>
      <c r="AE59" s="42">
        <v>8.3330000000000001E-2</v>
      </c>
      <c r="AF59" s="42">
        <v>8.3330000000000001E-2</v>
      </c>
      <c r="AG59" s="42">
        <v>8.3330000000000001E-2</v>
      </c>
      <c r="AH59" s="234"/>
      <c r="AI59" s="236"/>
      <c r="AJ59" s="232"/>
      <c r="AK59" s="232"/>
    </row>
    <row r="60" spans="1:37" ht="36.950000000000003" customHeight="1" thickBot="1">
      <c r="A60" s="300">
        <v>24</v>
      </c>
      <c r="B60" s="300" t="s">
        <v>184</v>
      </c>
      <c r="C60" s="300" t="s">
        <v>97</v>
      </c>
      <c r="D60" s="300" t="s">
        <v>98</v>
      </c>
      <c r="E60" s="300" t="s">
        <v>99</v>
      </c>
      <c r="F60" s="307" t="s">
        <v>62</v>
      </c>
      <c r="G60" s="300" t="s">
        <v>999</v>
      </c>
      <c r="H60" s="406">
        <v>1</v>
      </c>
      <c r="I60" s="300" t="s">
        <v>950</v>
      </c>
      <c r="J60" s="410" t="s">
        <v>954</v>
      </c>
      <c r="K60" s="410" t="s">
        <v>1000</v>
      </c>
      <c r="L60" s="300" t="s">
        <v>936</v>
      </c>
      <c r="M60" s="300" t="s">
        <v>979</v>
      </c>
      <c r="N60" s="302" t="s">
        <v>938</v>
      </c>
      <c r="O60" s="300" t="s">
        <v>69</v>
      </c>
      <c r="P60" s="334">
        <v>44986</v>
      </c>
      <c r="Q60" s="334">
        <v>45290</v>
      </c>
      <c r="R60" s="60" t="s">
        <v>70</v>
      </c>
      <c r="S60" s="53">
        <f>+(S61*T60)</f>
        <v>0</v>
      </c>
      <c r="T60" s="70">
        <f>SUM(U60:AG60)</f>
        <v>0</v>
      </c>
      <c r="U60" s="45"/>
      <c r="V60" s="45"/>
      <c r="W60" s="45"/>
      <c r="X60" s="45"/>
      <c r="Y60" s="45"/>
      <c r="Z60" s="45"/>
      <c r="AA60" s="45"/>
      <c r="AB60" s="45"/>
      <c r="AC60" s="45"/>
      <c r="AD60" s="45"/>
      <c r="AE60" s="45"/>
      <c r="AF60" s="45"/>
      <c r="AG60" s="45"/>
      <c r="AH60" s="233"/>
      <c r="AI60" s="235"/>
      <c r="AJ60" s="231"/>
      <c r="AK60" s="231"/>
    </row>
    <row r="61" spans="1:37" ht="36.950000000000003" customHeight="1" thickBot="1">
      <c r="A61" s="301"/>
      <c r="B61" s="301"/>
      <c r="C61" s="301"/>
      <c r="D61" s="301"/>
      <c r="E61" s="301"/>
      <c r="F61" s="307"/>
      <c r="G61" s="301"/>
      <c r="H61" s="407"/>
      <c r="I61" s="301"/>
      <c r="J61" s="411"/>
      <c r="K61" s="411"/>
      <c r="L61" s="301"/>
      <c r="M61" s="301"/>
      <c r="N61" s="303"/>
      <c r="O61" s="301"/>
      <c r="P61" s="338"/>
      <c r="Q61" s="338"/>
      <c r="R61" s="60" t="s">
        <v>71</v>
      </c>
      <c r="S61" s="52">
        <f>100%/50</f>
        <v>0.02</v>
      </c>
      <c r="T61" s="70">
        <f>SUM(U61:AG61)</f>
        <v>1</v>
      </c>
      <c r="U61" s="42"/>
      <c r="V61" s="42"/>
      <c r="W61" s="42"/>
      <c r="X61" s="42">
        <v>0.25</v>
      </c>
      <c r="Y61" s="42"/>
      <c r="Z61" s="42"/>
      <c r="AA61" s="42">
        <v>0.25</v>
      </c>
      <c r="AB61" s="42"/>
      <c r="AC61" s="42"/>
      <c r="AD61" s="42">
        <v>0.25</v>
      </c>
      <c r="AE61" s="42"/>
      <c r="AF61" s="42"/>
      <c r="AG61" s="42">
        <v>0.25</v>
      </c>
      <c r="AH61" s="234"/>
      <c r="AI61" s="236"/>
      <c r="AJ61" s="232"/>
      <c r="AK61" s="232"/>
    </row>
    <row r="62" spans="1:37" ht="36.950000000000003" customHeight="1" thickBot="1">
      <c r="A62" s="300">
        <v>25</v>
      </c>
      <c r="B62" s="300" t="s">
        <v>184</v>
      </c>
      <c r="C62" s="300" t="s">
        <v>97</v>
      </c>
      <c r="D62" s="300" t="s">
        <v>98</v>
      </c>
      <c r="E62" s="300" t="s">
        <v>99</v>
      </c>
      <c r="F62" s="307" t="s">
        <v>62</v>
      </c>
      <c r="G62" s="300" t="s">
        <v>999</v>
      </c>
      <c r="H62" s="406">
        <v>1</v>
      </c>
      <c r="I62" s="300" t="s">
        <v>950</v>
      </c>
      <c r="J62" s="410" t="s">
        <v>1001</v>
      </c>
      <c r="K62" s="410" t="s">
        <v>1002</v>
      </c>
      <c r="L62" s="300" t="s">
        <v>936</v>
      </c>
      <c r="M62" s="300" t="s">
        <v>982</v>
      </c>
      <c r="N62" s="302" t="s">
        <v>938</v>
      </c>
      <c r="O62" s="300" t="s">
        <v>109</v>
      </c>
      <c r="P62" s="334">
        <v>45047</v>
      </c>
      <c r="Q62" s="334">
        <v>45290</v>
      </c>
      <c r="R62" s="60" t="s">
        <v>70</v>
      </c>
      <c r="S62" s="53">
        <f>+(S63*T62)</f>
        <v>0</v>
      </c>
      <c r="T62" s="70">
        <f>SUM(U62:AG62)</f>
        <v>0</v>
      </c>
      <c r="U62" s="45"/>
      <c r="V62" s="45"/>
      <c r="W62" s="45"/>
      <c r="X62" s="45"/>
      <c r="Y62" s="45"/>
      <c r="Z62" s="45"/>
      <c r="AA62" s="45"/>
      <c r="AB62" s="45"/>
      <c r="AC62" s="45"/>
      <c r="AD62" s="45"/>
      <c r="AE62" s="45"/>
      <c r="AF62" s="45"/>
      <c r="AG62" s="45"/>
      <c r="AH62" s="233"/>
      <c r="AI62" s="235"/>
      <c r="AJ62" s="231"/>
      <c r="AK62" s="231"/>
    </row>
    <row r="63" spans="1:37" ht="36.950000000000003" customHeight="1" thickBot="1">
      <c r="A63" s="301"/>
      <c r="B63" s="301"/>
      <c r="C63" s="301"/>
      <c r="D63" s="301"/>
      <c r="E63" s="301"/>
      <c r="F63" s="307"/>
      <c r="G63" s="301"/>
      <c r="H63" s="407"/>
      <c r="I63" s="301"/>
      <c r="J63" s="411"/>
      <c r="K63" s="411"/>
      <c r="L63" s="301"/>
      <c r="M63" s="301"/>
      <c r="N63" s="303"/>
      <c r="O63" s="301"/>
      <c r="P63" s="338"/>
      <c r="Q63" s="338"/>
      <c r="R63" s="60" t="s">
        <v>71</v>
      </c>
      <c r="S63" s="52">
        <f>100%/50</f>
        <v>0.02</v>
      </c>
      <c r="T63" s="70">
        <f>SUM(U63:AG63)</f>
        <v>1</v>
      </c>
      <c r="U63" s="42"/>
      <c r="V63" s="42"/>
      <c r="W63" s="42"/>
      <c r="X63" s="42"/>
      <c r="Y63" s="42"/>
      <c r="Z63" s="42"/>
      <c r="AA63" s="42">
        <v>0.5</v>
      </c>
      <c r="AB63" s="42"/>
      <c r="AC63" s="42"/>
      <c r="AD63" s="42"/>
      <c r="AE63" s="42"/>
      <c r="AF63" s="42"/>
      <c r="AG63" s="42">
        <v>0.5</v>
      </c>
      <c r="AH63" s="234"/>
      <c r="AI63" s="236"/>
      <c r="AJ63" s="232"/>
      <c r="AK63" s="232"/>
    </row>
    <row r="64" spans="1:37" ht="36.950000000000003" customHeight="1" thickBot="1">
      <c r="A64" s="300">
        <v>26</v>
      </c>
      <c r="B64" s="300" t="s">
        <v>184</v>
      </c>
      <c r="C64" s="300" t="s">
        <v>97</v>
      </c>
      <c r="D64" s="300" t="s">
        <v>98</v>
      </c>
      <c r="E64" s="300" t="s">
        <v>99</v>
      </c>
      <c r="F64" s="307" t="s">
        <v>62</v>
      </c>
      <c r="G64" s="300" t="s">
        <v>999</v>
      </c>
      <c r="H64" s="406">
        <v>1</v>
      </c>
      <c r="I64" s="300" t="s">
        <v>950</v>
      </c>
      <c r="J64" s="410" t="s">
        <v>956</v>
      </c>
      <c r="K64" s="410" t="s">
        <v>1003</v>
      </c>
      <c r="L64" s="300" t="s">
        <v>936</v>
      </c>
      <c r="M64" s="300" t="s">
        <v>979</v>
      </c>
      <c r="N64" s="302" t="s">
        <v>938</v>
      </c>
      <c r="O64" s="300" t="s">
        <v>160</v>
      </c>
      <c r="P64" s="334">
        <v>44958</v>
      </c>
      <c r="Q64" s="334">
        <v>45290</v>
      </c>
      <c r="R64" s="60" t="s">
        <v>70</v>
      </c>
      <c r="S64" s="53">
        <f>+(S65*T64)</f>
        <v>0</v>
      </c>
      <c r="T64" s="70">
        <f>SUM(U64:AG64)</f>
        <v>0</v>
      </c>
      <c r="U64" s="45"/>
      <c r="V64" s="45"/>
      <c r="W64" s="45"/>
      <c r="X64" s="45"/>
      <c r="Y64" s="45"/>
      <c r="Z64" s="45"/>
      <c r="AA64" s="45"/>
      <c r="AB64" s="45"/>
      <c r="AC64" s="45"/>
      <c r="AD64" s="45"/>
      <c r="AE64" s="45"/>
      <c r="AF64" s="45"/>
      <c r="AG64" s="45"/>
      <c r="AH64" s="233"/>
      <c r="AI64" s="235"/>
      <c r="AJ64" s="231"/>
      <c r="AK64" s="231"/>
    </row>
    <row r="65" spans="1:37" ht="36.950000000000003" customHeight="1" thickBot="1">
      <c r="A65" s="301"/>
      <c r="B65" s="301"/>
      <c r="C65" s="301"/>
      <c r="D65" s="301"/>
      <c r="E65" s="301"/>
      <c r="F65" s="307"/>
      <c r="G65" s="301"/>
      <c r="H65" s="407"/>
      <c r="I65" s="301"/>
      <c r="J65" s="411"/>
      <c r="K65" s="411"/>
      <c r="L65" s="301"/>
      <c r="M65" s="301"/>
      <c r="N65" s="303"/>
      <c r="O65" s="301"/>
      <c r="P65" s="338"/>
      <c r="Q65" s="338"/>
      <c r="R65" s="60" t="s">
        <v>71</v>
      </c>
      <c r="S65" s="52">
        <f>100%/50</f>
        <v>0.02</v>
      </c>
      <c r="T65" s="70">
        <f>SUM(U65:AG65)</f>
        <v>0.99996000000000007</v>
      </c>
      <c r="U65" s="42"/>
      <c r="V65" s="42">
        <v>8.3330000000000001E-2</v>
      </c>
      <c r="W65" s="42">
        <v>8.3330000000000001E-2</v>
      </c>
      <c r="X65" s="42">
        <v>8.3330000000000001E-2</v>
      </c>
      <c r="Y65" s="42">
        <v>8.3330000000000001E-2</v>
      </c>
      <c r="Z65" s="42">
        <v>8.3330000000000001E-2</v>
      </c>
      <c r="AA65" s="42">
        <v>8.3330000000000001E-2</v>
      </c>
      <c r="AB65" s="42">
        <v>8.3330000000000001E-2</v>
      </c>
      <c r="AC65" s="42">
        <v>8.3330000000000001E-2</v>
      </c>
      <c r="AD65" s="42">
        <v>8.3330000000000001E-2</v>
      </c>
      <c r="AE65" s="42">
        <v>8.3330000000000001E-2</v>
      </c>
      <c r="AF65" s="42">
        <v>8.3330000000000001E-2</v>
      </c>
      <c r="AG65" s="42">
        <v>8.3330000000000001E-2</v>
      </c>
      <c r="AH65" s="234"/>
      <c r="AI65" s="236"/>
      <c r="AJ65" s="232"/>
      <c r="AK65" s="232"/>
    </row>
    <row r="66" spans="1:37" ht="36.950000000000003" customHeight="1" thickBot="1">
      <c r="A66" s="300">
        <v>27</v>
      </c>
      <c r="B66" s="300" t="s">
        <v>184</v>
      </c>
      <c r="C66" s="300" t="s">
        <v>97</v>
      </c>
      <c r="D66" s="300" t="s">
        <v>98</v>
      </c>
      <c r="E66" s="300" t="s">
        <v>99</v>
      </c>
      <c r="F66" s="307" t="s">
        <v>62</v>
      </c>
      <c r="G66" s="300" t="s">
        <v>999</v>
      </c>
      <c r="H66" s="406">
        <v>1</v>
      </c>
      <c r="I66" s="300" t="s">
        <v>950</v>
      </c>
      <c r="J66" s="410" t="s">
        <v>956</v>
      </c>
      <c r="K66" s="410" t="s">
        <v>1004</v>
      </c>
      <c r="L66" s="300" t="s">
        <v>936</v>
      </c>
      <c r="M66" s="300" t="s">
        <v>1005</v>
      </c>
      <c r="N66" s="302" t="s">
        <v>938</v>
      </c>
      <c r="O66" s="300" t="s">
        <v>841</v>
      </c>
      <c r="P66" s="334">
        <v>45170</v>
      </c>
      <c r="Q66" s="334">
        <v>45199</v>
      </c>
      <c r="R66" s="60" t="s">
        <v>70</v>
      </c>
      <c r="S66" s="53">
        <f>+(S67*T66)</f>
        <v>0</v>
      </c>
      <c r="T66" s="70">
        <f>SUM(U66:AG66)</f>
        <v>0</v>
      </c>
      <c r="U66" s="45"/>
      <c r="V66" s="45"/>
      <c r="W66" s="45"/>
      <c r="X66" s="45"/>
      <c r="Y66" s="45"/>
      <c r="Z66" s="45"/>
      <c r="AA66" s="45"/>
      <c r="AB66" s="45"/>
      <c r="AC66" s="45"/>
      <c r="AD66" s="45"/>
      <c r="AE66" s="45"/>
      <c r="AF66" s="45"/>
      <c r="AG66" s="45"/>
      <c r="AH66" s="233"/>
      <c r="AI66" s="235"/>
      <c r="AJ66" s="231"/>
      <c r="AK66" s="231"/>
    </row>
    <row r="67" spans="1:37" ht="36.950000000000003" customHeight="1" thickBot="1">
      <c r="A67" s="301"/>
      <c r="B67" s="301"/>
      <c r="C67" s="301"/>
      <c r="D67" s="301"/>
      <c r="E67" s="301"/>
      <c r="F67" s="307"/>
      <c r="G67" s="301"/>
      <c r="H67" s="407"/>
      <c r="I67" s="301"/>
      <c r="J67" s="411"/>
      <c r="K67" s="411"/>
      <c r="L67" s="301"/>
      <c r="M67" s="301"/>
      <c r="N67" s="303"/>
      <c r="O67" s="301"/>
      <c r="P67" s="338"/>
      <c r="Q67" s="338"/>
      <c r="R67" s="60" t="s">
        <v>71</v>
      </c>
      <c r="S67" s="52">
        <f>100%/50</f>
        <v>0.02</v>
      </c>
      <c r="T67" s="70">
        <f>SUM(U67:AG67)</f>
        <v>1</v>
      </c>
      <c r="U67" s="42"/>
      <c r="V67" s="42"/>
      <c r="W67" s="42"/>
      <c r="X67" s="42"/>
      <c r="Y67" s="42"/>
      <c r="Z67" s="42"/>
      <c r="AA67" s="42"/>
      <c r="AB67" s="42"/>
      <c r="AC67" s="42"/>
      <c r="AD67" s="42"/>
      <c r="AE67" s="42"/>
      <c r="AF67" s="42"/>
      <c r="AG67" s="42">
        <v>1</v>
      </c>
      <c r="AH67" s="234"/>
      <c r="AI67" s="236"/>
      <c r="AJ67" s="232"/>
      <c r="AK67" s="232"/>
    </row>
    <row r="68" spans="1:37" ht="36.950000000000003" customHeight="1" thickBot="1">
      <c r="A68" s="300">
        <v>28</v>
      </c>
      <c r="B68" s="300" t="s">
        <v>184</v>
      </c>
      <c r="C68" s="300" t="s">
        <v>97</v>
      </c>
      <c r="D68" s="300" t="s">
        <v>98</v>
      </c>
      <c r="E68" s="300" t="s">
        <v>99</v>
      </c>
      <c r="F68" s="307" t="s">
        <v>62</v>
      </c>
      <c r="G68" s="300" t="s">
        <v>946</v>
      </c>
      <c r="H68" s="406">
        <v>1</v>
      </c>
      <c r="I68" s="300" t="s">
        <v>950</v>
      </c>
      <c r="J68" s="410" t="s">
        <v>1006</v>
      </c>
      <c r="K68" s="410" t="s">
        <v>1007</v>
      </c>
      <c r="L68" s="300" t="s">
        <v>936</v>
      </c>
      <c r="M68" s="300" t="s">
        <v>1008</v>
      </c>
      <c r="N68" s="300" t="s">
        <v>962</v>
      </c>
      <c r="O68" s="300" t="s">
        <v>109</v>
      </c>
      <c r="P68" s="334">
        <v>45047</v>
      </c>
      <c r="Q68" s="334">
        <v>45137</v>
      </c>
      <c r="R68" s="60" t="s">
        <v>70</v>
      </c>
      <c r="S68" s="53">
        <f>+(S69*T68)</f>
        <v>0</v>
      </c>
      <c r="T68" s="70">
        <f>SUM(U68:AG68)</f>
        <v>0</v>
      </c>
      <c r="U68" s="45"/>
      <c r="V68" s="45"/>
      <c r="W68" s="45"/>
      <c r="X68" s="45"/>
      <c r="Y68" s="45"/>
      <c r="Z68" s="45"/>
      <c r="AA68" s="45"/>
      <c r="AB68" s="45"/>
      <c r="AC68" s="45"/>
      <c r="AD68" s="45"/>
      <c r="AE68" s="45"/>
      <c r="AF68" s="45"/>
      <c r="AG68" s="45"/>
      <c r="AH68" s="233"/>
      <c r="AI68" s="235"/>
      <c r="AJ68" s="231"/>
      <c r="AK68" s="231"/>
    </row>
    <row r="69" spans="1:37" ht="36.950000000000003" customHeight="1" thickBot="1">
      <c r="A69" s="301"/>
      <c r="B69" s="301"/>
      <c r="C69" s="301"/>
      <c r="D69" s="301"/>
      <c r="E69" s="301"/>
      <c r="F69" s="307"/>
      <c r="G69" s="301"/>
      <c r="H69" s="407"/>
      <c r="I69" s="301"/>
      <c r="J69" s="411"/>
      <c r="K69" s="411"/>
      <c r="L69" s="301"/>
      <c r="M69" s="301"/>
      <c r="N69" s="301"/>
      <c r="O69" s="301"/>
      <c r="P69" s="338"/>
      <c r="Q69" s="338"/>
      <c r="R69" s="60" t="s">
        <v>71</v>
      </c>
      <c r="S69" s="52">
        <f>100%/50</f>
        <v>0.02</v>
      </c>
      <c r="T69" s="70">
        <f>SUM(U69:AG69)</f>
        <v>1</v>
      </c>
      <c r="U69" s="42"/>
      <c r="V69" s="42"/>
      <c r="W69" s="42"/>
      <c r="X69" s="42"/>
      <c r="Y69" s="42"/>
      <c r="Z69" s="42"/>
      <c r="AA69" s="42">
        <v>0.5</v>
      </c>
      <c r="AB69" s="42"/>
      <c r="AC69" s="42"/>
      <c r="AD69" s="42"/>
      <c r="AE69" s="42"/>
      <c r="AF69" s="42"/>
      <c r="AG69" s="42">
        <v>0.5</v>
      </c>
      <c r="AH69" s="234"/>
      <c r="AI69" s="236"/>
      <c r="AJ69" s="232"/>
      <c r="AK69" s="232"/>
    </row>
    <row r="70" spans="1:37" ht="36.950000000000003" customHeight="1" thickBot="1">
      <c r="A70" s="300">
        <v>29</v>
      </c>
      <c r="B70" s="300" t="s">
        <v>184</v>
      </c>
      <c r="C70" s="300" t="s">
        <v>97</v>
      </c>
      <c r="D70" s="300" t="s">
        <v>98</v>
      </c>
      <c r="E70" s="300" t="s">
        <v>99</v>
      </c>
      <c r="F70" s="307" t="s">
        <v>62</v>
      </c>
      <c r="G70" s="300" t="s">
        <v>999</v>
      </c>
      <c r="H70" s="406">
        <v>1</v>
      </c>
      <c r="I70" s="300" t="s">
        <v>950</v>
      </c>
      <c r="J70" s="410" t="s">
        <v>1006</v>
      </c>
      <c r="K70" s="410" t="s">
        <v>1009</v>
      </c>
      <c r="L70" s="300" t="s">
        <v>936</v>
      </c>
      <c r="M70" s="300" t="s">
        <v>1010</v>
      </c>
      <c r="N70" s="300" t="s">
        <v>962</v>
      </c>
      <c r="O70" s="300" t="s">
        <v>69</v>
      </c>
      <c r="P70" s="334">
        <v>44986</v>
      </c>
      <c r="Q70" s="334">
        <v>45290</v>
      </c>
      <c r="R70" s="60" t="s">
        <v>70</v>
      </c>
      <c r="S70" s="53">
        <f>+(S71*T70)</f>
        <v>0</v>
      </c>
      <c r="T70" s="70">
        <f>SUM(U70:AG70)</f>
        <v>0</v>
      </c>
      <c r="U70" s="45"/>
      <c r="V70" s="45"/>
      <c r="W70" s="45"/>
      <c r="X70" s="45"/>
      <c r="Y70" s="45"/>
      <c r="Z70" s="45"/>
      <c r="AA70" s="45"/>
      <c r="AB70" s="45"/>
      <c r="AC70" s="45"/>
      <c r="AD70" s="45"/>
      <c r="AE70" s="45"/>
      <c r="AF70" s="45"/>
      <c r="AG70" s="45"/>
      <c r="AH70" s="233"/>
      <c r="AI70" s="235"/>
      <c r="AJ70" s="231"/>
      <c r="AK70" s="231"/>
    </row>
    <row r="71" spans="1:37" ht="36.950000000000003" customHeight="1" thickBot="1">
      <c r="A71" s="301"/>
      <c r="B71" s="301"/>
      <c r="C71" s="301"/>
      <c r="D71" s="301"/>
      <c r="E71" s="301"/>
      <c r="F71" s="307"/>
      <c r="G71" s="301"/>
      <c r="H71" s="407"/>
      <c r="I71" s="301"/>
      <c r="J71" s="411"/>
      <c r="K71" s="411"/>
      <c r="L71" s="301"/>
      <c r="M71" s="301"/>
      <c r="N71" s="301"/>
      <c r="O71" s="301"/>
      <c r="P71" s="338"/>
      <c r="Q71" s="338"/>
      <c r="R71" s="60" t="s">
        <v>71</v>
      </c>
      <c r="S71" s="52">
        <f>100%/50</f>
        <v>0.02</v>
      </c>
      <c r="T71" s="70">
        <f>SUM(U71:AG71)</f>
        <v>1</v>
      </c>
      <c r="U71" s="42"/>
      <c r="V71" s="42"/>
      <c r="W71" s="42"/>
      <c r="X71" s="42">
        <v>0.25</v>
      </c>
      <c r="Y71" s="42"/>
      <c r="Z71" s="42"/>
      <c r="AA71" s="42">
        <v>0.25</v>
      </c>
      <c r="AB71" s="42"/>
      <c r="AC71" s="42"/>
      <c r="AD71" s="42">
        <v>0.25</v>
      </c>
      <c r="AE71" s="42"/>
      <c r="AF71" s="42"/>
      <c r="AG71" s="42">
        <v>0.25</v>
      </c>
      <c r="AH71" s="234"/>
      <c r="AI71" s="236"/>
      <c r="AJ71" s="232"/>
      <c r="AK71" s="232"/>
    </row>
    <row r="72" spans="1:37" ht="36.950000000000003" customHeight="1" thickBot="1">
      <c r="A72" s="300">
        <v>30</v>
      </c>
      <c r="B72" s="300" t="s">
        <v>184</v>
      </c>
      <c r="C72" s="300" t="s">
        <v>97</v>
      </c>
      <c r="D72" s="300" t="s">
        <v>98</v>
      </c>
      <c r="E72" s="300" t="s">
        <v>99</v>
      </c>
      <c r="F72" s="307" t="s">
        <v>62</v>
      </c>
      <c r="G72" s="300" t="s">
        <v>999</v>
      </c>
      <c r="H72" s="406">
        <v>1</v>
      </c>
      <c r="I72" s="300" t="s">
        <v>950</v>
      </c>
      <c r="J72" s="410" t="s">
        <v>1011</v>
      </c>
      <c r="K72" s="410" t="s">
        <v>1012</v>
      </c>
      <c r="L72" s="300" t="s">
        <v>936</v>
      </c>
      <c r="M72" s="300" t="s">
        <v>965</v>
      </c>
      <c r="N72" s="300" t="s">
        <v>68</v>
      </c>
      <c r="O72" s="300" t="s">
        <v>160</v>
      </c>
      <c r="P72" s="334">
        <v>44927</v>
      </c>
      <c r="Q72" s="334">
        <v>45290</v>
      </c>
      <c r="R72" s="60" t="s">
        <v>70</v>
      </c>
      <c r="S72" s="53">
        <f>+(S73*T72)</f>
        <v>0</v>
      </c>
      <c r="T72" s="70">
        <f>SUM(U72:AG72)</f>
        <v>0</v>
      </c>
      <c r="U72" s="45"/>
      <c r="V72" s="45"/>
      <c r="W72" s="45"/>
      <c r="X72" s="45"/>
      <c r="Y72" s="45"/>
      <c r="Z72" s="45"/>
      <c r="AA72" s="45"/>
      <c r="AB72" s="45"/>
      <c r="AC72" s="45"/>
      <c r="AD72" s="45"/>
      <c r="AE72" s="45"/>
      <c r="AF72" s="45"/>
      <c r="AG72" s="45"/>
      <c r="AH72" s="233"/>
      <c r="AI72" s="235"/>
      <c r="AJ72" s="231"/>
      <c r="AK72" s="231"/>
    </row>
    <row r="73" spans="1:37" ht="36.950000000000003" customHeight="1" thickBot="1">
      <c r="A73" s="301"/>
      <c r="B73" s="301"/>
      <c r="C73" s="301"/>
      <c r="D73" s="301"/>
      <c r="E73" s="301"/>
      <c r="F73" s="307"/>
      <c r="G73" s="301"/>
      <c r="H73" s="407"/>
      <c r="I73" s="301"/>
      <c r="J73" s="411"/>
      <c r="K73" s="411"/>
      <c r="L73" s="301"/>
      <c r="M73" s="301"/>
      <c r="N73" s="301"/>
      <c r="O73" s="301"/>
      <c r="P73" s="338"/>
      <c r="Q73" s="338"/>
      <c r="R73" s="60" t="s">
        <v>71</v>
      </c>
      <c r="S73" s="52">
        <f>100%/50</f>
        <v>0.02</v>
      </c>
      <c r="T73" s="70">
        <f>SUM(U73:AG73)</f>
        <v>0.99996000000000007</v>
      </c>
      <c r="U73" s="42"/>
      <c r="V73" s="42">
        <v>8.3330000000000001E-2</v>
      </c>
      <c r="W73" s="42">
        <v>8.3330000000000001E-2</v>
      </c>
      <c r="X73" s="42">
        <v>8.3330000000000001E-2</v>
      </c>
      <c r="Y73" s="42">
        <v>8.3330000000000001E-2</v>
      </c>
      <c r="Z73" s="42">
        <v>8.3330000000000001E-2</v>
      </c>
      <c r="AA73" s="42">
        <v>8.3330000000000001E-2</v>
      </c>
      <c r="AB73" s="42">
        <v>8.3330000000000001E-2</v>
      </c>
      <c r="AC73" s="42">
        <v>8.3330000000000001E-2</v>
      </c>
      <c r="AD73" s="42">
        <v>8.3330000000000001E-2</v>
      </c>
      <c r="AE73" s="42">
        <v>8.3330000000000001E-2</v>
      </c>
      <c r="AF73" s="42">
        <v>8.3330000000000001E-2</v>
      </c>
      <c r="AG73" s="42">
        <v>8.3330000000000001E-2</v>
      </c>
      <c r="AH73" s="234"/>
      <c r="AI73" s="236"/>
      <c r="AJ73" s="232"/>
      <c r="AK73" s="232"/>
    </row>
    <row r="74" spans="1:37" ht="36.950000000000003" customHeight="1" thickBot="1">
      <c r="A74" s="300">
        <v>31</v>
      </c>
      <c r="B74" s="300" t="s">
        <v>184</v>
      </c>
      <c r="C74" s="300" t="s">
        <v>97</v>
      </c>
      <c r="D74" s="300" t="s">
        <v>98</v>
      </c>
      <c r="E74" s="300" t="s">
        <v>99</v>
      </c>
      <c r="F74" s="307" t="s">
        <v>62</v>
      </c>
      <c r="G74" s="300" t="s">
        <v>946</v>
      </c>
      <c r="H74" s="406">
        <v>1</v>
      </c>
      <c r="I74" s="300" t="s">
        <v>950</v>
      </c>
      <c r="J74" s="410" t="s">
        <v>1011</v>
      </c>
      <c r="K74" s="410" t="s">
        <v>1013</v>
      </c>
      <c r="L74" s="300" t="s">
        <v>936</v>
      </c>
      <c r="M74" s="300" t="s">
        <v>977</v>
      </c>
      <c r="N74" s="302" t="s">
        <v>938</v>
      </c>
      <c r="O74" s="300" t="s">
        <v>69</v>
      </c>
      <c r="P74" s="334">
        <v>44986</v>
      </c>
      <c r="Q74" s="334">
        <v>45290</v>
      </c>
      <c r="R74" s="60" t="s">
        <v>70</v>
      </c>
      <c r="S74" s="53">
        <f>+(S75*T74)</f>
        <v>0</v>
      </c>
      <c r="T74" s="70">
        <f>SUM(U74:AG74)</f>
        <v>0</v>
      </c>
      <c r="U74" s="45"/>
      <c r="V74" s="45"/>
      <c r="W74" s="45"/>
      <c r="X74" s="45"/>
      <c r="Y74" s="45"/>
      <c r="Z74" s="45"/>
      <c r="AA74" s="45"/>
      <c r="AB74" s="45"/>
      <c r="AC74" s="45"/>
      <c r="AD74" s="45"/>
      <c r="AE74" s="45"/>
      <c r="AF74" s="45"/>
      <c r="AG74" s="45"/>
      <c r="AH74" s="233"/>
      <c r="AI74" s="235"/>
      <c r="AJ74" s="231"/>
      <c r="AK74" s="231"/>
    </row>
    <row r="75" spans="1:37" ht="36.950000000000003" customHeight="1" thickBot="1">
      <c r="A75" s="301"/>
      <c r="B75" s="301"/>
      <c r="C75" s="301"/>
      <c r="D75" s="301"/>
      <c r="E75" s="301"/>
      <c r="F75" s="307"/>
      <c r="G75" s="301"/>
      <c r="H75" s="407"/>
      <c r="I75" s="301"/>
      <c r="J75" s="411"/>
      <c r="K75" s="411"/>
      <c r="L75" s="301"/>
      <c r="M75" s="301"/>
      <c r="N75" s="303"/>
      <c r="O75" s="301"/>
      <c r="P75" s="338"/>
      <c r="Q75" s="338"/>
      <c r="R75" s="60" t="s">
        <v>71</v>
      </c>
      <c r="S75" s="52">
        <f>100%/50</f>
        <v>0.02</v>
      </c>
      <c r="T75" s="70">
        <f>SUM(U75:AG75)</f>
        <v>1</v>
      </c>
      <c r="U75" s="42"/>
      <c r="V75" s="42"/>
      <c r="W75" s="42"/>
      <c r="X75" s="42">
        <v>0.25</v>
      </c>
      <c r="Y75" s="42"/>
      <c r="Z75" s="42"/>
      <c r="AA75" s="42">
        <v>0.25</v>
      </c>
      <c r="AB75" s="42"/>
      <c r="AC75" s="42"/>
      <c r="AD75" s="42">
        <v>0.25</v>
      </c>
      <c r="AE75" s="42"/>
      <c r="AF75" s="42"/>
      <c r="AG75" s="42">
        <v>0.25</v>
      </c>
      <c r="AH75" s="234"/>
      <c r="AI75" s="236"/>
      <c r="AJ75" s="232"/>
      <c r="AK75" s="232"/>
    </row>
    <row r="76" spans="1:37" ht="36.950000000000003" customHeight="1" thickBot="1">
      <c r="A76" s="300">
        <v>32</v>
      </c>
      <c r="B76" s="300" t="s">
        <v>184</v>
      </c>
      <c r="C76" s="300" t="s">
        <v>97</v>
      </c>
      <c r="D76" s="300" t="s">
        <v>98</v>
      </c>
      <c r="E76" s="300" t="s">
        <v>99</v>
      </c>
      <c r="F76" s="307" t="s">
        <v>62</v>
      </c>
      <c r="G76" s="300" t="s">
        <v>999</v>
      </c>
      <c r="H76" s="406">
        <v>1</v>
      </c>
      <c r="I76" s="300" t="s">
        <v>950</v>
      </c>
      <c r="J76" s="410" t="s">
        <v>1014</v>
      </c>
      <c r="K76" s="410" t="s">
        <v>1015</v>
      </c>
      <c r="L76" s="300" t="s">
        <v>936</v>
      </c>
      <c r="M76" s="300" t="s">
        <v>1016</v>
      </c>
      <c r="N76" s="300" t="s">
        <v>68</v>
      </c>
      <c r="O76" s="300" t="s">
        <v>160</v>
      </c>
      <c r="P76" s="334">
        <v>44927</v>
      </c>
      <c r="Q76" s="334">
        <v>45290</v>
      </c>
      <c r="R76" s="60" t="s">
        <v>70</v>
      </c>
      <c r="S76" s="53">
        <f>+(S77*T76)</f>
        <v>0</v>
      </c>
      <c r="T76" s="70">
        <f>SUM(U76:AG76)</f>
        <v>0</v>
      </c>
      <c r="U76" s="45"/>
      <c r="V76" s="45"/>
      <c r="W76" s="45"/>
      <c r="X76" s="45"/>
      <c r="Y76" s="45"/>
      <c r="Z76" s="45"/>
      <c r="AA76" s="45"/>
      <c r="AB76" s="45"/>
      <c r="AC76" s="45"/>
      <c r="AD76" s="45"/>
      <c r="AE76" s="45"/>
      <c r="AF76" s="45"/>
      <c r="AG76" s="45"/>
      <c r="AH76" s="233"/>
      <c r="AI76" s="235"/>
      <c r="AJ76" s="231"/>
      <c r="AK76" s="231"/>
    </row>
    <row r="77" spans="1:37" ht="36.950000000000003" customHeight="1" thickBot="1">
      <c r="A77" s="301"/>
      <c r="B77" s="301"/>
      <c r="C77" s="301"/>
      <c r="D77" s="301"/>
      <c r="E77" s="301"/>
      <c r="F77" s="307"/>
      <c r="G77" s="301"/>
      <c r="H77" s="407"/>
      <c r="I77" s="301"/>
      <c r="J77" s="411"/>
      <c r="K77" s="411"/>
      <c r="L77" s="301"/>
      <c r="M77" s="301"/>
      <c r="N77" s="301"/>
      <c r="O77" s="301"/>
      <c r="P77" s="338"/>
      <c r="Q77" s="338"/>
      <c r="R77" s="60" t="s">
        <v>71</v>
      </c>
      <c r="S77" s="52">
        <f>100%/50</f>
        <v>0.02</v>
      </c>
      <c r="T77" s="70">
        <f>SUM(U77:AG77)</f>
        <v>0.99996000000000007</v>
      </c>
      <c r="U77" s="42"/>
      <c r="V77" s="42">
        <v>8.3330000000000001E-2</v>
      </c>
      <c r="W77" s="42">
        <v>8.3330000000000001E-2</v>
      </c>
      <c r="X77" s="42">
        <v>8.3330000000000001E-2</v>
      </c>
      <c r="Y77" s="42">
        <v>8.3330000000000001E-2</v>
      </c>
      <c r="Z77" s="42">
        <v>8.3330000000000001E-2</v>
      </c>
      <c r="AA77" s="42">
        <v>8.3330000000000001E-2</v>
      </c>
      <c r="AB77" s="42">
        <v>8.3330000000000001E-2</v>
      </c>
      <c r="AC77" s="42">
        <v>8.3330000000000001E-2</v>
      </c>
      <c r="AD77" s="42">
        <v>8.3330000000000001E-2</v>
      </c>
      <c r="AE77" s="42">
        <v>8.3330000000000001E-2</v>
      </c>
      <c r="AF77" s="42">
        <v>8.3330000000000001E-2</v>
      </c>
      <c r="AG77" s="42">
        <v>8.3330000000000001E-2</v>
      </c>
      <c r="AH77" s="234"/>
      <c r="AI77" s="236"/>
      <c r="AJ77" s="232"/>
      <c r="AK77" s="232"/>
    </row>
    <row r="78" spans="1:37" ht="36.950000000000003" customHeight="1" thickBot="1">
      <c r="A78" s="300">
        <v>33</v>
      </c>
      <c r="B78" s="300" t="s">
        <v>184</v>
      </c>
      <c r="C78" s="300" t="s">
        <v>97</v>
      </c>
      <c r="D78" s="300" t="s">
        <v>98</v>
      </c>
      <c r="E78" s="300" t="s">
        <v>99</v>
      </c>
      <c r="F78" s="307" t="s">
        <v>62</v>
      </c>
      <c r="G78" s="300" t="s">
        <v>999</v>
      </c>
      <c r="H78" s="406">
        <v>1</v>
      </c>
      <c r="I78" s="300" t="s">
        <v>967</v>
      </c>
      <c r="J78" s="410" t="s">
        <v>1017</v>
      </c>
      <c r="K78" s="410" t="s">
        <v>1018</v>
      </c>
      <c r="L78" s="300" t="s">
        <v>936</v>
      </c>
      <c r="M78" s="300" t="s">
        <v>982</v>
      </c>
      <c r="N78" s="302" t="s">
        <v>938</v>
      </c>
      <c r="O78" s="300" t="s">
        <v>841</v>
      </c>
      <c r="P78" s="334">
        <v>45017</v>
      </c>
      <c r="Q78" s="334">
        <v>45046</v>
      </c>
      <c r="R78" s="60" t="s">
        <v>70</v>
      </c>
      <c r="S78" s="53">
        <f>+(S79*T78)</f>
        <v>0</v>
      </c>
      <c r="T78" s="70">
        <f>SUM(U78:AG78)</f>
        <v>0</v>
      </c>
      <c r="U78" s="45"/>
      <c r="V78" s="45"/>
      <c r="W78" s="45"/>
      <c r="X78" s="45"/>
      <c r="Y78" s="45"/>
      <c r="Z78" s="45"/>
      <c r="AA78" s="45"/>
      <c r="AB78" s="45"/>
      <c r="AC78" s="45"/>
      <c r="AD78" s="45"/>
      <c r="AE78" s="45"/>
      <c r="AF78" s="45"/>
      <c r="AG78" s="45"/>
      <c r="AH78" s="233"/>
      <c r="AI78" s="235"/>
      <c r="AJ78" s="231"/>
      <c r="AK78" s="231"/>
    </row>
    <row r="79" spans="1:37" ht="36.950000000000003" customHeight="1" thickBot="1">
      <c r="A79" s="301"/>
      <c r="B79" s="301"/>
      <c r="C79" s="301"/>
      <c r="D79" s="301"/>
      <c r="E79" s="301"/>
      <c r="F79" s="307"/>
      <c r="G79" s="301"/>
      <c r="H79" s="407"/>
      <c r="I79" s="301"/>
      <c r="J79" s="411"/>
      <c r="K79" s="411"/>
      <c r="L79" s="301"/>
      <c r="M79" s="301"/>
      <c r="N79" s="303"/>
      <c r="O79" s="301"/>
      <c r="P79" s="338"/>
      <c r="Q79" s="338"/>
      <c r="R79" s="60" t="s">
        <v>71</v>
      </c>
      <c r="S79" s="52">
        <f>100%/50</f>
        <v>0.02</v>
      </c>
      <c r="T79" s="70">
        <f>SUM(U79:AG79)</f>
        <v>1</v>
      </c>
      <c r="U79" s="42"/>
      <c r="V79" s="42"/>
      <c r="W79" s="42"/>
      <c r="X79" s="42"/>
      <c r="Y79" s="42"/>
      <c r="Z79" s="42"/>
      <c r="AA79" s="42"/>
      <c r="AB79" s="42"/>
      <c r="AC79" s="42"/>
      <c r="AD79" s="42"/>
      <c r="AE79" s="42"/>
      <c r="AF79" s="42"/>
      <c r="AG79" s="42">
        <v>1</v>
      </c>
      <c r="AH79" s="234"/>
      <c r="AI79" s="236"/>
      <c r="AJ79" s="232"/>
      <c r="AK79" s="232"/>
    </row>
    <row r="80" spans="1:37" ht="36.950000000000003" customHeight="1" thickBot="1">
      <c r="A80" s="300">
        <v>34</v>
      </c>
      <c r="B80" s="300" t="s">
        <v>184</v>
      </c>
      <c r="C80" s="300" t="s">
        <v>97</v>
      </c>
      <c r="D80" s="300" t="s">
        <v>98</v>
      </c>
      <c r="E80" s="300" t="s">
        <v>99</v>
      </c>
      <c r="F80" s="307" t="s">
        <v>62</v>
      </c>
      <c r="G80" s="300" t="s">
        <v>946</v>
      </c>
      <c r="H80" s="406">
        <v>1</v>
      </c>
      <c r="I80" s="300" t="s">
        <v>971</v>
      </c>
      <c r="J80" s="410" t="s">
        <v>972</v>
      </c>
      <c r="K80" s="410" t="s">
        <v>1019</v>
      </c>
      <c r="L80" s="300" t="s">
        <v>936</v>
      </c>
      <c r="M80" s="300" t="s">
        <v>1020</v>
      </c>
      <c r="N80" s="302" t="s">
        <v>938</v>
      </c>
      <c r="O80" s="300" t="s">
        <v>841</v>
      </c>
      <c r="P80" s="334">
        <v>45200</v>
      </c>
      <c r="Q80" s="334">
        <v>45229</v>
      </c>
      <c r="R80" s="60" t="s">
        <v>70</v>
      </c>
      <c r="S80" s="53">
        <f>+(S81*T80)</f>
        <v>0</v>
      </c>
      <c r="T80" s="70">
        <f>SUM(U80:AG80)</f>
        <v>0</v>
      </c>
      <c r="U80" s="45"/>
      <c r="V80" s="45"/>
      <c r="W80" s="45"/>
      <c r="X80" s="45"/>
      <c r="Y80" s="45"/>
      <c r="Z80" s="45"/>
      <c r="AA80" s="45"/>
      <c r="AB80" s="45"/>
      <c r="AC80" s="45"/>
      <c r="AD80" s="45"/>
      <c r="AE80" s="45"/>
      <c r="AF80" s="45"/>
      <c r="AG80" s="45"/>
      <c r="AH80" s="233"/>
      <c r="AI80" s="235"/>
      <c r="AJ80" s="231"/>
      <c r="AK80" s="231"/>
    </row>
    <row r="81" spans="1:37" ht="36.950000000000003" customHeight="1" thickBot="1">
      <c r="A81" s="301"/>
      <c r="B81" s="301"/>
      <c r="C81" s="301"/>
      <c r="D81" s="301"/>
      <c r="E81" s="301"/>
      <c r="F81" s="307"/>
      <c r="G81" s="301"/>
      <c r="H81" s="407"/>
      <c r="I81" s="301"/>
      <c r="J81" s="411"/>
      <c r="K81" s="411"/>
      <c r="L81" s="301"/>
      <c r="M81" s="301"/>
      <c r="N81" s="303"/>
      <c r="O81" s="301"/>
      <c r="P81" s="338"/>
      <c r="Q81" s="338"/>
      <c r="R81" s="60" t="s">
        <v>71</v>
      </c>
      <c r="S81" s="52">
        <f>100%/50</f>
        <v>0.02</v>
      </c>
      <c r="T81" s="70">
        <f>SUM(U81:AG81)</f>
        <v>1</v>
      </c>
      <c r="U81" s="42"/>
      <c r="V81" s="42"/>
      <c r="W81" s="42"/>
      <c r="X81" s="42"/>
      <c r="Y81" s="42"/>
      <c r="Z81" s="42"/>
      <c r="AA81" s="42"/>
      <c r="AB81" s="42"/>
      <c r="AC81" s="42"/>
      <c r="AD81" s="42"/>
      <c r="AE81" s="42"/>
      <c r="AF81" s="42"/>
      <c r="AG81" s="42">
        <v>1</v>
      </c>
      <c r="AH81" s="234"/>
      <c r="AI81" s="236"/>
      <c r="AJ81" s="232"/>
      <c r="AK81" s="232"/>
    </row>
    <row r="82" spans="1:37" ht="36.950000000000003" customHeight="1" thickBot="1">
      <c r="A82" s="300">
        <v>35</v>
      </c>
      <c r="B82" s="300" t="s">
        <v>184</v>
      </c>
      <c r="C82" s="300" t="s">
        <v>97</v>
      </c>
      <c r="D82" s="300" t="s">
        <v>98</v>
      </c>
      <c r="E82" s="300" t="s">
        <v>99</v>
      </c>
      <c r="F82" s="307" t="s">
        <v>62</v>
      </c>
      <c r="G82" s="300" t="s">
        <v>932</v>
      </c>
      <c r="H82" s="406">
        <v>1</v>
      </c>
      <c r="I82" s="300" t="s">
        <v>1021</v>
      </c>
      <c r="J82" s="410" t="s">
        <v>963</v>
      </c>
      <c r="K82" s="410" t="s">
        <v>1022</v>
      </c>
      <c r="L82" s="300" t="s">
        <v>936</v>
      </c>
      <c r="M82" s="300" t="s">
        <v>965</v>
      </c>
      <c r="N82" s="300" t="s">
        <v>68</v>
      </c>
      <c r="O82" s="300" t="s">
        <v>160</v>
      </c>
      <c r="P82" s="334">
        <v>44958</v>
      </c>
      <c r="Q82" s="334">
        <v>45321</v>
      </c>
      <c r="R82" s="60" t="s">
        <v>70</v>
      </c>
      <c r="S82" s="53">
        <f>+(S83*T82)</f>
        <v>0</v>
      </c>
      <c r="T82" s="70">
        <f>SUM(U82:AG82)</f>
        <v>0</v>
      </c>
      <c r="U82" s="45"/>
      <c r="V82" s="45"/>
      <c r="W82" s="45"/>
      <c r="X82" s="45"/>
      <c r="Y82" s="45"/>
      <c r="Z82" s="45"/>
      <c r="AA82" s="45"/>
      <c r="AB82" s="45"/>
      <c r="AC82" s="45"/>
      <c r="AD82" s="45"/>
      <c r="AE82" s="45"/>
      <c r="AF82" s="45"/>
      <c r="AG82" s="45"/>
      <c r="AH82" s="233"/>
      <c r="AI82" s="235"/>
      <c r="AJ82" s="231"/>
      <c r="AK82" s="231"/>
    </row>
    <row r="83" spans="1:37" ht="36.950000000000003" customHeight="1" thickBot="1">
      <c r="A83" s="301"/>
      <c r="B83" s="301"/>
      <c r="C83" s="301"/>
      <c r="D83" s="301"/>
      <c r="E83" s="301"/>
      <c r="F83" s="307"/>
      <c r="G83" s="301"/>
      <c r="H83" s="407"/>
      <c r="I83" s="301"/>
      <c r="J83" s="411"/>
      <c r="K83" s="411"/>
      <c r="L83" s="301"/>
      <c r="M83" s="301"/>
      <c r="N83" s="301"/>
      <c r="O83" s="301"/>
      <c r="P83" s="338"/>
      <c r="Q83" s="338"/>
      <c r="R83" s="60" t="s">
        <v>71</v>
      </c>
      <c r="S83" s="52">
        <f>100%/50</f>
        <v>0.02</v>
      </c>
      <c r="T83" s="70">
        <f>SUM(U83:AG83)</f>
        <v>0.99996000000000007</v>
      </c>
      <c r="U83" s="42"/>
      <c r="V83" s="42">
        <v>8.3330000000000001E-2</v>
      </c>
      <c r="W83" s="42">
        <v>8.3330000000000001E-2</v>
      </c>
      <c r="X83" s="42">
        <v>8.3330000000000001E-2</v>
      </c>
      <c r="Y83" s="42">
        <v>8.3330000000000001E-2</v>
      </c>
      <c r="Z83" s="42">
        <v>8.3330000000000001E-2</v>
      </c>
      <c r="AA83" s="42">
        <v>8.3330000000000001E-2</v>
      </c>
      <c r="AB83" s="42">
        <v>8.3330000000000001E-2</v>
      </c>
      <c r="AC83" s="42">
        <v>8.3330000000000001E-2</v>
      </c>
      <c r="AD83" s="42">
        <v>8.3330000000000001E-2</v>
      </c>
      <c r="AE83" s="42">
        <v>8.3330000000000001E-2</v>
      </c>
      <c r="AF83" s="42">
        <v>8.3330000000000001E-2</v>
      </c>
      <c r="AG83" s="42">
        <v>8.3330000000000001E-2</v>
      </c>
      <c r="AH83" s="234"/>
      <c r="AI83" s="236"/>
      <c r="AJ83" s="232"/>
      <c r="AK83" s="232"/>
    </row>
    <row r="84" spans="1:37" ht="36.950000000000003" customHeight="1" thickBot="1">
      <c r="A84" s="300">
        <v>36</v>
      </c>
      <c r="B84" s="300" t="s">
        <v>184</v>
      </c>
      <c r="C84" s="300" t="s">
        <v>97</v>
      </c>
      <c r="D84" s="300" t="s">
        <v>98</v>
      </c>
      <c r="E84" s="300" t="s">
        <v>99</v>
      </c>
      <c r="F84" s="307" t="s">
        <v>62</v>
      </c>
      <c r="G84" s="300" t="s">
        <v>932</v>
      </c>
      <c r="H84" s="406">
        <v>1</v>
      </c>
      <c r="I84" s="300" t="s">
        <v>1021</v>
      </c>
      <c r="J84" s="410" t="s">
        <v>1023</v>
      </c>
      <c r="K84" s="410" t="s">
        <v>1024</v>
      </c>
      <c r="L84" s="300" t="s">
        <v>936</v>
      </c>
      <c r="M84" s="300" t="s">
        <v>1025</v>
      </c>
      <c r="N84" s="300" t="s">
        <v>962</v>
      </c>
      <c r="O84" s="300" t="s">
        <v>841</v>
      </c>
      <c r="P84" s="334">
        <v>45200</v>
      </c>
      <c r="Q84" s="334">
        <v>45229</v>
      </c>
      <c r="R84" s="60" t="s">
        <v>70</v>
      </c>
      <c r="S84" s="53">
        <f>+(S85*T84)</f>
        <v>0</v>
      </c>
      <c r="T84" s="70">
        <f>SUM(U84:AG84)</f>
        <v>0</v>
      </c>
      <c r="U84" s="45"/>
      <c r="V84" s="45"/>
      <c r="W84" s="45"/>
      <c r="X84" s="45"/>
      <c r="Y84" s="45"/>
      <c r="Z84" s="45"/>
      <c r="AA84" s="45"/>
      <c r="AB84" s="45"/>
      <c r="AC84" s="45"/>
      <c r="AD84" s="45"/>
      <c r="AE84" s="45"/>
      <c r="AF84" s="45"/>
      <c r="AG84" s="45"/>
      <c r="AH84" s="233"/>
      <c r="AI84" s="235"/>
      <c r="AJ84" s="231"/>
      <c r="AK84" s="231"/>
    </row>
    <row r="85" spans="1:37" ht="36.950000000000003" customHeight="1" thickBot="1">
      <c r="A85" s="301"/>
      <c r="B85" s="301"/>
      <c r="C85" s="301"/>
      <c r="D85" s="301"/>
      <c r="E85" s="301"/>
      <c r="F85" s="307"/>
      <c r="G85" s="301"/>
      <c r="H85" s="407"/>
      <c r="I85" s="301"/>
      <c r="J85" s="411"/>
      <c r="K85" s="411"/>
      <c r="L85" s="301"/>
      <c r="M85" s="301"/>
      <c r="N85" s="301"/>
      <c r="O85" s="301"/>
      <c r="P85" s="338"/>
      <c r="Q85" s="338"/>
      <c r="R85" s="60" t="s">
        <v>71</v>
      </c>
      <c r="S85" s="52">
        <f>100%/50</f>
        <v>0.02</v>
      </c>
      <c r="T85" s="70">
        <f>SUM(U85:AG85)</f>
        <v>1</v>
      </c>
      <c r="U85" s="42"/>
      <c r="V85" s="42"/>
      <c r="W85" s="42"/>
      <c r="X85" s="42"/>
      <c r="Y85" s="42"/>
      <c r="Z85" s="42"/>
      <c r="AA85" s="42"/>
      <c r="AB85" s="42"/>
      <c r="AC85" s="42"/>
      <c r="AD85" s="42"/>
      <c r="AE85" s="42"/>
      <c r="AF85" s="42"/>
      <c r="AG85" s="42">
        <v>1</v>
      </c>
      <c r="AH85" s="234"/>
      <c r="AI85" s="236"/>
      <c r="AJ85" s="232"/>
      <c r="AK85" s="232"/>
    </row>
    <row r="86" spans="1:37" ht="36.950000000000003" customHeight="1" thickBot="1">
      <c r="A86" s="300">
        <v>37</v>
      </c>
      <c r="B86" s="300" t="s">
        <v>184</v>
      </c>
      <c r="C86" s="300" t="s">
        <v>97</v>
      </c>
      <c r="D86" s="300" t="s">
        <v>98</v>
      </c>
      <c r="E86" s="300" t="s">
        <v>99</v>
      </c>
      <c r="F86" s="307" t="s">
        <v>62</v>
      </c>
      <c r="G86" s="300" t="s">
        <v>946</v>
      </c>
      <c r="H86" s="406">
        <v>1</v>
      </c>
      <c r="I86" s="300" t="s">
        <v>933</v>
      </c>
      <c r="J86" s="408" t="s">
        <v>1026</v>
      </c>
      <c r="K86" s="408" t="s">
        <v>1027</v>
      </c>
      <c r="L86" s="300" t="s">
        <v>936</v>
      </c>
      <c r="M86" s="300" t="s">
        <v>1028</v>
      </c>
      <c r="N86" s="300" t="s">
        <v>68</v>
      </c>
      <c r="O86" s="300" t="s">
        <v>109</v>
      </c>
      <c r="P86" s="334">
        <v>45078</v>
      </c>
      <c r="Q86" s="334">
        <v>45290</v>
      </c>
      <c r="R86" s="60" t="s">
        <v>70</v>
      </c>
      <c r="S86" s="53">
        <f>+(S87*T86)</f>
        <v>0</v>
      </c>
      <c r="T86" s="70">
        <f>SUM(U86:AG86)</f>
        <v>0</v>
      </c>
      <c r="U86" s="45"/>
      <c r="V86" s="45"/>
      <c r="W86" s="45"/>
      <c r="X86" s="45"/>
      <c r="Y86" s="45"/>
      <c r="Z86" s="45"/>
      <c r="AA86" s="45"/>
      <c r="AB86" s="45"/>
      <c r="AC86" s="45"/>
      <c r="AD86" s="45"/>
      <c r="AE86" s="45"/>
      <c r="AF86" s="45"/>
      <c r="AG86" s="45"/>
      <c r="AH86" s="233"/>
      <c r="AI86" s="235"/>
      <c r="AJ86" s="231"/>
      <c r="AK86" s="231"/>
    </row>
    <row r="87" spans="1:37" ht="36.950000000000003" customHeight="1" thickBot="1">
      <c r="A87" s="301"/>
      <c r="B87" s="301"/>
      <c r="C87" s="301"/>
      <c r="D87" s="301"/>
      <c r="E87" s="301"/>
      <c r="F87" s="307"/>
      <c r="G87" s="301"/>
      <c r="H87" s="407"/>
      <c r="I87" s="301"/>
      <c r="J87" s="409"/>
      <c r="K87" s="409"/>
      <c r="L87" s="301"/>
      <c r="M87" s="301"/>
      <c r="N87" s="301"/>
      <c r="O87" s="301"/>
      <c r="P87" s="338"/>
      <c r="Q87" s="338"/>
      <c r="R87" s="60" t="s">
        <v>71</v>
      </c>
      <c r="S87" s="52">
        <f>100%/50</f>
        <v>0.02</v>
      </c>
      <c r="T87" s="70">
        <f>SUM(U87:AG87)</f>
        <v>1</v>
      </c>
      <c r="U87" s="42"/>
      <c r="V87" s="42"/>
      <c r="W87" s="42"/>
      <c r="X87" s="42"/>
      <c r="Y87" s="42"/>
      <c r="Z87" s="42"/>
      <c r="AA87" s="42">
        <v>0.5</v>
      </c>
      <c r="AB87" s="42"/>
      <c r="AC87" s="42"/>
      <c r="AD87" s="42"/>
      <c r="AE87" s="42"/>
      <c r="AF87" s="42"/>
      <c r="AG87" s="42">
        <v>0.5</v>
      </c>
      <c r="AH87" s="234"/>
      <c r="AI87" s="236"/>
      <c r="AJ87" s="232"/>
      <c r="AK87" s="232"/>
    </row>
    <row r="88" spans="1:37" ht="36.950000000000003" customHeight="1" thickBot="1">
      <c r="A88" s="300">
        <v>38</v>
      </c>
      <c r="B88" s="300" t="s">
        <v>184</v>
      </c>
      <c r="C88" s="300" t="s">
        <v>97</v>
      </c>
      <c r="D88" s="300" t="s">
        <v>98</v>
      </c>
      <c r="E88" s="300" t="s">
        <v>99</v>
      </c>
      <c r="F88" s="307" t="s">
        <v>62</v>
      </c>
      <c r="G88" s="300" t="s">
        <v>932</v>
      </c>
      <c r="H88" s="406">
        <v>1</v>
      </c>
      <c r="I88" s="300" t="s">
        <v>933</v>
      </c>
      <c r="J88" s="408" t="s">
        <v>1029</v>
      </c>
      <c r="K88" s="408" t="s">
        <v>1030</v>
      </c>
      <c r="L88" s="300" t="s">
        <v>936</v>
      </c>
      <c r="M88" s="300" t="s">
        <v>1031</v>
      </c>
      <c r="N88" s="300" t="s">
        <v>68</v>
      </c>
      <c r="O88" s="300" t="s">
        <v>109</v>
      </c>
      <c r="P88" s="334">
        <v>45078</v>
      </c>
      <c r="Q88" s="334">
        <v>45290</v>
      </c>
      <c r="R88" s="60" t="s">
        <v>70</v>
      </c>
      <c r="S88" s="53">
        <f>+(S89*T88)</f>
        <v>0</v>
      </c>
      <c r="T88" s="70">
        <f>SUM(U88:AG88)</f>
        <v>0</v>
      </c>
      <c r="U88" s="45"/>
      <c r="V88" s="45"/>
      <c r="W88" s="45"/>
      <c r="X88" s="45"/>
      <c r="Y88" s="45"/>
      <c r="Z88" s="45"/>
      <c r="AA88" s="45"/>
      <c r="AB88" s="45"/>
      <c r="AC88" s="45"/>
      <c r="AD88" s="45"/>
      <c r="AE88" s="45"/>
      <c r="AF88" s="45"/>
      <c r="AG88" s="45"/>
      <c r="AH88" s="233"/>
      <c r="AI88" s="235"/>
      <c r="AJ88" s="231"/>
      <c r="AK88" s="231"/>
    </row>
    <row r="89" spans="1:37" ht="36.950000000000003" customHeight="1" thickBot="1">
      <c r="A89" s="301"/>
      <c r="B89" s="301"/>
      <c r="C89" s="301"/>
      <c r="D89" s="301"/>
      <c r="E89" s="301"/>
      <c r="F89" s="307"/>
      <c r="G89" s="301"/>
      <c r="H89" s="407"/>
      <c r="I89" s="301"/>
      <c r="J89" s="409"/>
      <c r="K89" s="409"/>
      <c r="L89" s="301"/>
      <c r="M89" s="301"/>
      <c r="N89" s="301"/>
      <c r="O89" s="301"/>
      <c r="P89" s="338"/>
      <c r="Q89" s="338"/>
      <c r="R89" s="60" t="s">
        <v>71</v>
      </c>
      <c r="S89" s="52">
        <f>100%/50</f>
        <v>0.02</v>
      </c>
      <c r="T89" s="70">
        <f>SUM(U89:AG89)</f>
        <v>1</v>
      </c>
      <c r="U89" s="42"/>
      <c r="V89" s="42"/>
      <c r="W89" s="42"/>
      <c r="X89" s="42"/>
      <c r="Y89" s="42"/>
      <c r="Z89" s="42"/>
      <c r="AA89" s="42">
        <v>0.5</v>
      </c>
      <c r="AB89" s="42"/>
      <c r="AC89" s="42"/>
      <c r="AD89" s="42"/>
      <c r="AE89" s="42"/>
      <c r="AF89" s="42"/>
      <c r="AG89" s="42">
        <v>0.5</v>
      </c>
      <c r="AH89" s="234"/>
      <c r="AI89" s="236"/>
      <c r="AJ89" s="232"/>
      <c r="AK89" s="232"/>
    </row>
    <row r="90" spans="1:37" ht="36.950000000000003" customHeight="1" thickBot="1">
      <c r="A90" s="300">
        <v>39</v>
      </c>
      <c r="B90" s="300" t="s">
        <v>184</v>
      </c>
      <c r="C90" s="300" t="s">
        <v>97</v>
      </c>
      <c r="D90" s="300" t="s">
        <v>98</v>
      </c>
      <c r="E90" s="300" t="s">
        <v>99</v>
      </c>
      <c r="F90" s="307" t="s">
        <v>62</v>
      </c>
      <c r="G90" s="300" t="s">
        <v>946</v>
      </c>
      <c r="H90" s="406">
        <v>1</v>
      </c>
      <c r="I90" s="300" t="s">
        <v>933</v>
      </c>
      <c r="J90" s="408" t="s">
        <v>1032</v>
      </c>
      <c r="K90" s="408" t="s">
        <v>1033</v>
      </c>
      <c r="L90" s="300" t="s">
        <v>936</v>
      </c>
      <c r="M90" s="300" t="s">
        <v>1034</v>
      </c>
      <c r="N90" s="300" t="s">
        <v>68</v>
      </c>
      <c r="O90" s="300" t="s">
        <v>69</v>
      </c>
      <c r="P90" s="334">
        <v>44986</v>
      </c>
      <c r="Q90" s="334">
        <v>45290</v>
      </c>
      <c r="R90" s="60" t="s">
        <v>70</v>
      </c>
      <c r="S90" s="53">
        <f>+(S91*T90)</f>
        <v>0</v>
      </c>
      <c r="T90" s="70">
        <f>SUM(U90:AG90)</f>
        <v>0</v>
      </c>
      <c r="U90" s="45"/>
      <c r="V90" s="45"/>
      <c r="W90" s="45"/>
      <c r="X90" s="45"/>
      <c r="Y90" s="45"/>
      <c r="Z90" s="45"/>
      <c r="AA90" s="45"/>
      <c r="AB90" s="45"/>
      <c r="AC90" s="45"/>
      <c r="AD90" s="45"/>
      <c r="AE90" s="45"/>
      <c r="AF90" s="45"/>
      <c r="AG90" s="45"/>
      <c r="AH90" s="233"/>
      <c r="AI90" s="235"/>
      <c r="AJ90" s="231"/>
      <c r="AK90" s="231"/>
    </row>
    <row r="91" spans="1:37" ht="36.950000000000003" customHeight="1" thickBot="1">
      <c r="A91" s="301"/>
      <c r="B91" s="301"/>
      <c r="C91" s="301"/>
      <c r="D91" s="301"/>
      <c r="E91" s="301"/>
      <c r="F91" s="307"/>
      <c r="G91" s="301"/>
      <c r="H91" s="407"/>
      <c r="I91" s="301"/>
      <c r="J91" s="409"/>
      <c r="K91" s="409"/>
      <c r="L91" s="301"/>
      <c r="M91" s="301"/>
      <c r="N91" s="301"/>
      <c r="O91" s="301"/>
      <c r="P91" s="338"/>
      <c r="Q91" s="338"/>
      <c r="R91" s="60" t="s">
        <v>71</v>
      </c>
      <c r="S91" s="52">
        <f>100%/50</f>
        <v>0.02</v>
      </c>
      <c r="T91" s="70">
        <f>SUM(U91:AG91)</f>
        <v>1</v>
      </c>
      <c r="U91" s="42"/>
      <c r="V91" s="42"/>
      <c r="W91" s="42"/>
      <c r="X91" s="42">
        <v>0.25</v>
      </c>
      <c r="Y91" s="42"/>
      <c r="Z91" s="42"/>
      <c r="AA91" s="42">
        <v>0.25</v>
      </c>
      <c r="AB91" s="42"/>
      <c r="AC91" s="42"/>
      <c r="AD91" s="42">
        <v>0.25</v>
      </c>
      <c r="AE91" s="42"/>
      <c r="AF91" s="42"/>
      <c r="AG91" s="42">
        <v>0.25</v>
      </c>
      <c r="AH91" s="234"/>
      <c r="AI91" s="236"/>
      <c r="AJ91" s="232"/>
      <c r="AK91" s="232"/>
    </row>
    <row r="92" spans="1:37" ht="36.950000000000003" customHeight="1" thickBot="1">
      <c r="A92" s="300">
        <v>40</v>
      </c>
      <c r="B92" s="300" t="s">
        <v>184</v>
      </c>
      <c r="C92" s="300" t="s">
        <v>97</v>
      </c>
      <c r="D92" s="300" t="s">
        <v>98</v>
      </c>
      <c r="E92" s="300" t="s">
        <v>99</v>
      </c>
      <c r="F92" s="307" t="s">
        <v>62</v>
      </c>
      <c r="G92" s="300" t="s">
        <v>999</v>
      </c>
      <c r="H92" s="406">
        <v>1</v>
      </c>
      <c r="I92" s="300" t="s">
        <v>933</v>
      </c>
      <c r="J92" s="408" t="s">
        <v>1035</v>
      </c>
      <c r="K92" s="408" t="s">
        <v>1036</v>
      </c>
      <c r="L92" s="300" t="s">
        <v>936</v>
      </c>
      <c r="M92" s="300" t="s">
        <v>979</v>
      </c>
      <c r="N92" s="300" t="s">
        <v>68</v>
      </c>
      <c r="O92" s="300" t="s">
        <v>69</v>
      </c>
      <c r="P92" s="334">
        <v>44958</v>
      </c>
      <c r="Q92" s="334">
        <v>45290</v>
      </c>
      <c r="R92" s="60" t="s">
        <v>70</v>
      </c>
      <c r="S92" s="53">
        <f>+(S93*T92)</f>
        <v>0</v>
      </c>
      <c r="T92" s="70">
        <f>SUM(U92:AG92)</f>
        <v>0</v>
      </c>
      <c r="U92" s="45"/>
      <c r="V92" s="45"/>
      <c r="W92" s="45"/>
      <c r="X92" s="45"/>
      <c r="Y92" s="45"/>
      <c r="Z92" s="45"/>
      <c r="AA92" s="45"/>
      <c r="AB92" s="45"/>
      <c r="AC92" s="45"/>
      <c r="AD92" s="45"/>
      <c r="AE92" s="45"/>
      <c r="AF92" s="45"/>
      <c r="AG92" s="45"/>
      <c r="AH92" s="233"/>
      <c r="AI92" s="235"/>
      <c r="AJ92" s="231"/>
      <c r="AK92" s="231"/>
    </row>
    <row r="93" spans="1:37" ht="36.950000000000003" customHeight="1" thickBot="1">
      <c r="A93" s="301"/>
      <c r="B93" s="301"/>
      <c r="C93" s="301"/>
      <c r="D93" s="301"/>
      <c r="E93" s="301"/>
      <c r="F93" s="307"/>
      <c r="G93" s="301"/>
      <c r="H93" s="407"/>
      <c r="I93" s="301"/>
      <c r="J93" s="409"/>
      <c r="K93" s="409"/>
      <c r="L93" s="301"/>
      <c r="M93" s="301"/>
      <c r="N93" s="301"/>
      <c r="O93" s="301"/>
      <c r="P93" s="338"/>
      <c r="Q93" s="338"/>
      <c r="R93" s="60" t="s">
        <v>71</v>
      </c>
      <c r="S93" s="52">
        <f>100%/50</f>
        <v>0.02</v>
      </c>
      <c r="T93" s="70">
        <f>SUM(U93:AG93)</f>
        <v>1</v>
      </c>
      <c r="U93" s="42"/>
      <c r="V93" s="42"/>
      <c r="W93" s="42"/>
      <c r="X93" s="42">
        <v>0.25</v>
      </c>
      <c r="Y93" s="42"/>
      <c r="Z93" s="42"/>
      <c r="AA93" s="42">
        <v>0.25</v>
      </c>
      <c r="AB93" s="42"/>
      <c r="AC93" s="42"/>
      <c r="AD93" s="42">
        <v>0.25</v>
      </c>
      <c r="AE93" s="42"/>
      <c r="AF93" s="42"/>
      <c r="AG93" s="42">
        <v>0.25</v>
      </c>
      <c r="AH93" s="234"/>
      <c r="AI93" s="236"/>
      <c r="AJ93" s="232"/>
      <c r="AK93" s="232"/>
    </row>
    <row r="94" spans="1:37" ht="36.950000000000003" customHeight="1" thickBot="1">
      <c r="A94" s="300">
        <v>41</v>
      </c>
      <c r="B94" s="300" t="s">
        <v>184</v>
      </c>
      <c r="C94" s="300" t="s">
        <v>97</v>
      </c>
      <c r="D94" s="300" t="s">
        <v>98</v>
      </c>
      <c r="E94" s="300" t="s">
        <v>99</v>
      </c>
      <c r="F94" s="307" t="s">
        <v>62</v>
      </c>
      <c r="G94" s="300" t="s">
        <v>946</v>
      </c>
      <c r="H94" s="406">
        <v>1</v>
      </c>
      <c r="I94" s="300" t="s">
        <v>939</v>
      </c>
      <c r="J94" s="408" t="s">
        <v>1037</v>
      </c>
      <c r="K94" s="408" t="s">
        <v>1038</v>
      </c>
      <c r="L94" s="300" t="s">
        <v>936</v>
      </c>
      <c r="M94" s="300" t="s">
        <v>1039</v>
      </c>
      <c r="N94" s="300" t="s">
        <v>68</v>
      </c>
      <c r="O94" s="300" t="s">
        <v>841</v>
      </c>
      <c r="P94" s="334">
        <v>45170</v>
      </c>
      <c r="Q94" s="334">
        <v>45199</v>
      </c>
      <c r="R94" s="60" t="s">
        <v>70</v>
      </c>
      <c r="S94" s="53">
        <f>+(S95*T94)</f>
        <v>0</v>
      </c>
      <c r="T94" s="70">
        <f>SUM(U94:AG94)</f>
        <v>0</v>
      </c>
      <c r="U94" s="45"/>
      <c r="V94" s="45"/>
      <c r="W94" s="45"/>
      <c r="X94" s="45"/>
      <c r="Y94" s="45"/>
      <c r="Z94" s="45"/>
      <c r="AA94" s="45"/>
      <c r="AB94" s="45"/>
      <c r="AC94" s="45"/>
      <c r="AD94" s="45"/>
      <c r="AE94" s="45"/>
      <c r="AF94" s="45"/>
      <c r="AG94" s="45"/>
      <c r="AH94" s="233"/>
      <c r="AI94" s="235"/>
      <c r="AJ94" s="231"/>
      <c r="AK94" s="231"/>
    </row>
    <row r="95" spans="1:37" ht="36.950000000000003" customHeight="1" thickBot="1">
      <c r="A95" s="301"/>
      <c r="B95" s="301"/>
      <c r="C95" s="301"/>
      <c r="D95" s="301"/>
      <c r="E95" s="301"/>
      <c r="F95" s="307"/>
      <c r="G95" s="301"/>
      <c r="H95" s="407"/>
      <c r="I95" s="301"/>
      <c r="J95" s="409"/>
      <c r="K95" s="409"/>
      <c r="L95" s="301"/>
      <c r="M95" s="301"/>
      <c r="N95" s="301"/>
      <c r="O95" s="301"/>
      <c r="P95" s="338"/>
      <c r="Q95" s="338"/>
      <c r="R95" s="60" t="s">
        <v>71</v>
      </c>
      <c r="S95" s="52">
        <f>100%/50</f>
        <v>0.02</v>
      </c>
      <c r="T95" s="70">
        <f>SUM(U95:AG95)</f>
        <v>1</v>
      </c>
      <c r="U95" s="42"/>
      <c r="V95" s="42"/>
      <c r="W95" s="42"/>
      <c r="X95" s="42"/>
      <c r="Y95" s="42"/>
      <c r="Z95" s="42"/>
      <c r="AA95" s="42"/>
      <c r="AB95" s="42"/>
      <c r="AC95" s="42"/>
      <c r="AD95" s="42"/>
      <c r="AE95" s="42"/>
      <c r="AF95" s="42"/>
      <c r="AG95" s="42">
        <v>1</v>
      </c>
      <c r="AH95" s="234"/>
      <c r="AI95" s="236"/>
      <c r="AJ95" s="232"/>
      <c r="AK95" s="232"/>
    </row>
    <row r="96" spans="1:37" ht="36.950000000000003" customHeight="1" thickBot="1">
      <c r="A96" s="300">
        <v>42</v>
      </c>
      <c r="B96" s="300" t="s">
        <v>184</v>
      </c>
      <c r="C96" s="300" t="s">
        <v>97</v>
      </c>
      <c r="D96" s="300" t="s">
        <v>98</v>
      </c>
      <c r="E96" s="300" t="s">
        <v>99</v>
      </c>
      <c r="F96" s="307" t="s">
        <v>62</v>
      </c>
      <c r="G96" s="300" t="s">
        <v>946</v>
      </c>
      <c r="H96" s="406">
        <v>1</v>
      </c>
      <c r="I96" s="300" t="s">
        <v>939</v>
      </c>
      <c r="J96" s="408" t="s">
        <v>947</v>
      </c>
      <c r="K96" s="408" t="s">
        <v>1040</v>
      </c>
      <c r="L96" s="300" t="s">
        <v>936</v>
      </c>
      <c r="M96" s="300" t="s">
        <v>1041</v>
      </c>
      <c r="N96" s="300" t="s">
        <v>68</v>
      </c>
      <c r="O96" s="300" t="s">
        <v>109</v>
      </c>
      <c r="P96" s="334">
        <v>45017</v>
      </c>
      <c r="Q96" s="334">
        <v>45229</v>
      </c>
      <c r="R96" s="60" t="s">
        <v>70</v>
      </c>
      <c r="S96" s="53">
        <f>+(S97*T96)</f>
        <v>0</v>
      </c>
      <c r="T96" s="70">
        <f>SUM(U96:AG96)</f>
        <v>0</v>
      </c>
      <c r="U96" s="45"/>
      <c r="V96" s="45"/>
      <c r="W96" s="45"/>
      <c r="X96" s="45"/>
      <c r="Y96" s="45"/>
      <c r="Z96" s="45"/>
      <c r="AA96" s="45"/>
      <c r="AB96" s="45"/>
      <c r="AC96" s="45"/>
      <c r="AD96" s="45"/>
      <c r="AE96" s="45"/>
      <c r="AF96" s="45"/>
      <c r="AG96" s="45"/>
      <c r="AH96" s="233"/>
      <c r="AI96" s="235"/>
      <c r="AJ96" s="231"/>
      <c r="AK96" s="231"/>
    </row>
    <row r="97" spans="1:37" ht="36.950000000000003" customHeight="1" thickBot="1">
      <c r="A97" s="301"/>
      <c r="B97" s="301"/>
      <c r="C97" s="301"/>
      <c r="D97" s="301"/>
      <c r="E97" s="301"/>
      <c r="F97" s="307"/>
      <c r="G97" s="301"/>
      <c r="H97" s="407"/>
      <c r="I97" s="301"/>
      <c r="J97" s="409"/>
      <c r="K97" s="409"/>
      <c r="L97" s="301"/>
      <c r="M97" s="301"/>
      <c r="N97" s="301"/>
      <c r="O97" s="301"/>
      <c r="P97" s="338"/>
      <c r="Q97" s="338"/>
      <c r="R97" s="60" t="s">
        <v>71</v>
      </c>
      <c r="S97" s="52">
        <f>100%/50</f>
        <v>0.02</v>
      </c>
      <c r="T97" s="70">
        <f>SUM(U97:AG97)</f>
        <v>1</v>
      </c>
      <c r="U97" s="42"/>
      <c r="V97" s="42"/>
      <c r="W97" s="42"/>
      <c r="X97" s="42"/>
      <c r="Y97" s="42"/>
      <c r="Z97" s="42"/>
      <c r="AA97" s="42">
        <v>0.5</v>
      </c>
      <c r="AB97" s="42"/>
      <c r="AC97" s="42"/>
      <c r="AD97" s="42"/>
      <c r="AE97" s="42"/>
      <c r="AF97" s="42"/>
      <c r="AG97" s="42">
        <v>0.5</v>
      </c>
      <c r="AH97" s="234"/>
      <c r="AI97" s="236"/>
      <c r="AJ97" s="232"/>
      <c r="AK97" s="232"/>
    </row>
    <row r="98" spans="1:37" ht="36.950000000000003" customHeight="1" thickBot="1">
      <c r="A98" s="300">
        <v>43</v>
      </c>
      <c r="B98" s="300" t="s">
        <v>184</v>
      </c>
      <c r="C98" s="300" t="s">
        <v>97</v>
      </c>
      <c r="D98" s="300" t="s">
        <v>98</v>
      </c>
      <c r="E98" s="300" t="s">
        <v>99</v>
      </c>
      <c r="F98" s="307" t="s">
        <v>62</v>
      </c>
      <c r="G98" s="300" t="s">
        <v>966</v>
      </c>
      <c r="H98" s="406">
        <v>1</v>
      </c>
      <c r="I98" s="300" t="s">
        <v>939</v>
      </c>
      <c r="J98" s="410" t="s">
        <v>1042</v>
      </c>
      <c r="K98" s="408" t="s">
        <v>1043</v>
      </c>
      <c r="L98" s="300" t="s">
        <v>936</v>
      </c>
      <c r="M98" s="300" t="s">
        <v>1044</v>
      </c>
      <c r="N98" s="300" t="s">
        <v>68</v>
      </c>
      <c r="O98" s="300" t="s">
        <v>109</v>
      </c>
      <c r="P98" s="334">
        <v>45017</v>
      </c>
      <c r="Q98" s="334">
        <v>45229</v>
      </c>
      <c r="R98" s="60" t="s">
        <v>70</v>
      </c>
      <c r="S98" s="53">
        <f>+(S99*T98)</f>
        <v>0</v>
      </c>
      <c r="T98" s="70">
        <f>SUM(U98:AG98)</f>
        <v>0</v>
      </c>
      <c r="U98" s="45"/>
      <c r="V98" s="45"/>
      <c r="W98" s="45"/>
      <c r="X98" s="45"/>
      <c r="Y98" s="45"/>
      <c r="Z98" s="45"/>
      <c r="AA98" s="45"/>
      <c r="AB98" s="45"/>
      <c r="AC98" s="45"/>
      <c r="AD98" s="45"/>
      <c r="AE98" s="45"/>
      <c r="AF98" s="45"/>
      <c r="AG98" s="45"/>
      <c r="AH98" s="233"/>
      <c r="AI98" s="235"/>
      <c r="AJ98" s="231"/>
      <c r="AK98" s="231"/>
    </row>
    <row r="99" spans="1:37" ht="36.950000000000003" customHeight="1" thickBot="1">
      <c r="A99" s="301"/>
      <c r="B99" s="301"/>
      <c r="C99" s="301"/>
      <c r="D99" s="301"/>
      <c r="E99" s="301"/>
      <c r="F99" s="307"/>
      <c r="G99" s="301"/>
      <c r="H99" s="407"/>
      <c r="I99" s="301"/>
      <c r="J99" s="411"/>
      <c r="K99" s="409"/>
      <c r="L99" s="301"/>
      <c r="M99" s="301"/>
      <c r="N99" s="301"/>
      <c r="O99" s="301"/>
      <c r="P99" s="338"/>
      <c r="Q99" s="338"/>
      <c r="R99" s="60" t="s">
        <v>71</v>
      </c>
      <c r="S99" s="52">
        <f>100%/50</f>
        <v>0.02</v>
      </c>
      <c r="T99" s="70">
        <f>SUM(U99:AG99)</f>
        <v>1</v>
      </c>
      <c r="U99" s="42"/>
      <c r="V99" s="42"/>
      <c r="W99" s="42"/>
      <c r="X99" s="42"/>
      <c r="Y99" s="42"/>
      <c r="Z99" s="42"/>
      <c r="AA99" s="42">
        <v>0.5</v>
      </c>
      <c r="AB99" s="42"/>
      <c r="AC99" s="42"/>
      <c r="AD99" s="42"/>
      <c r="AE99" s="42"/>
      <c r="AF99" s="42"/>
      <c r="AG99" s="42">
        <v>0.5</v>
      </c>
      <c r="AH99" s="234"/>
      <c r="AI99" s="236"/>
      <c r="AJ99" s="232"/>
      <c r="AK99" s="232"/>
    </row>
    <row r="100" spans="1:37" ht="36.950000000000003" customHeight="1" thickBot="1">
      <c r="A100" s="300">
        <v>44</v>
      </c>
      <c r="B100" s="300" t="s">
        <v>184</v>
      </c>
      <c r="C100" s="300" t="s">
        <v>97</v>
      </c>
      <c r="D100" s="300" t="s">
        <v>98</v>
      </c>
      <c r="E100" s="300" t="s">
        <v>99</v>
      </c>
      <c r="F100" s="307" t="s">
        <v>62</v>
      </c>
      <c r="G100" s="300" t="s">
        <v>946</v>
      </c>
      <c r="H100" s="406">
        <v>1</v>
      </c>
      <c r="I100" s="300" t="s">
        <v>950</v>
      </c>
      <c r="J100" s="408" t="s">
        <v>1006</v>
      </c>
      <c r="K100" s="410" t="s">
        <v>1045</v>
      </c>
      <c r="L100" s="300" t="s">
        <v>936</v>
      </c>
      <c r="M100" s="300" t="s">
        <v>993</v>
      </c>
      <c r="N100" s="300" t="s">
        <v>962</v>
      </c>
      <c r="O100" s="300" t="s">
        <v>160</v>
      </c>
      <c r="P100" s="334">
        <v>44958</v>
      </c>
      <c r="Q100" s="334">
        <v>45290</v>
      </c>
      <c r="R100" s="60" t="s">
        <v>70</v>
      </c>
      <c r="S100" s="53">
        <f>+(S101*T100)</f>
        <v>0</v>
      </c>
      <c r="T100" s="70">
        <f>SUM(U100:AG100)</f>
        <v>0</v>
      </c>
      <c r="U100" s="45"/>
      <c r="V100" s="45"/>
      <c r="W100" s="45"/>
      <c r="X100" s="45"/>
      <c r="Y100" s="45"/>
      <c r="Z100" s="45"/>
      <c r="AA100" s="45"/>
      <c r="AB100" s="45"/>
      <c r="AC100" s="45"/>
      <c r="AD100" s="45"/>
      <c r="AE100" s="45"/>
      <c r="AF100" s="45"/>
      <c r="AG100" s="45"/>
      <c r="AH100" s="233"/>
      <c r="AI100" s="235"/>
      <c r="AJ100" s="231"/>
      <c r="AK100" s="231"/>
    </row>
    <row r="101" spans="1:37" ht="36.950000000000003" customHeight="1" thickBot="1">
      <c r="A101" s="301"/>
      <c r="B101" s="301"/>
      <c r="C101" s="301"/>
      <c r="D101" s="301"/>
      <c r="E101" s="301"/>
      <c r="F101" s="307"/>
      <c r="G101" s="301"/>
      <c r="H101" s="407"/>
      <c r="I101" s="301"/>
      <c r="J101" s="409"/>
      <c r="K101" s="411"/>
      <c r="L101" s="301"/>
      <c r="M101" s="301"/>
      <c r="N101" s="301"/>
      <c r="O101" s="301"/>
      <c r="P101" s="338"/>
      <c r="Q101" s="338"/>
      <c r="R101" s="60" t="s">
        <v>71</v>
      </c>
      <c r="S101" s="52">
        <f>100%/50</f>
        <v>0.02</v>
      </c>
      <c r="T101" s="70">
        <f>SUM(U101:AG101)</f>
        <v>0.99996000000000007</v>
      </c>
      <c r="U101" s="42"/>
      <c r="V101" s="42">
        <v>8.3330000000000001E-2</v>
      </c>
      <c r="W101" s="42">
        <v>8.3330000000000001E-2</v>
      </c>
      <c r="X101" s="42">
        <v>8.3330000000000001E-2</v>
      </c>
      <c r="Y101" s="42">
        <v>8.3330000000000001E-2</v>
      </c>
      <c r="Z101" s="42">
        <v>8.3330000000000001E-2</v>
      </c>
      <c r="AA101" s="42">
        <v>8.3330000000000001E-2</v>
      </c>
      <c r="AB101" s="42">
        <v>8.3330000000000001E-2</v>
      </c>
      <c r="AC101" s="42">
        <v>8.3330000000000001E-2</v>
      </c>
      <c r="AD101" s="42">
        <v>8.3330000000000001E-2</v>
      </c>
      <c r="AE101" s="42">
        <v>8.3330000000000001E-2</v>
      </c>
      <c r="AF101" s="42">
        <v>8.3330000000000001E-2</v>
      </c>
      <c r="AG101" s="42">
        <v>8.3330000000000001E-2</v>
      </c>
      <c r="AH101" s="234"/>
      <c r="AI101" s="236"/>
      <c r="AJ101" s="232"/>
      <c r="AK101" s="232"/>
    </row>
    <row r="102" spans="1:37" ht="36.950000000000003" customHeight="1" thickBot="1">
      <c r="A102" s="300">
        <v>45</v>
      </c>
      <c r="B102" s="300" t="s">
        <v>184</v>
      </c>
      <c r="C102" s="300" t="s">
        <v>97</v>
      </c>
      <c r="D102" s="300" t="s">
        <v>98</v>
      </c>
      <c r="E102" s="300" t="s">
        <v>99</v>
      </c>
      <c r="F102" s="307" t="s">
        <v>62</v>
      </c>
      <c r="G102" s="300" t="s">
        <v>999</v>
      </c>
      <c r="H102" s="406">
        <v>1</v>
      </c>
      <c r="I102" s="300" t="s">
        <v>950</v>
      </c>
      <c r="J102" s="408" t="s">
        <v>1046</v>
      </c>
      <c r="K102" s="408" t="s">
        <v>1047</v>
      </c>
      <c r="L102" s="300" t="s">
        <v>936</v>
      </c>
      <c r="M102" s="300" t="s">
        <v>1048</v>
      </c>
      <c r="N102" s="300" t="s">
        <v>68</v>
      </c>
      <c r="O102" s="300" t="s">
        <v>109</v>
      </c>
      <c r="P102" s="334">
        <v>45078</v>
      </c>
      <c r="Q102" s="334">
        <v>45290</v>
      </c>
      <c r="R102" s="60" t="s">
        <v>70</v>
      </c>
      <c r="S102" s="53">
        <f>+(S103*T102)</f>
        <v>0</v>
      </c>
      <c r="T102" s="70">
        <f>SUM(U102:AG102)</f>
        <v>0</v>
      </c>
      <c r="U102" s="45"/>
      <c r="V102" s="45"/>
      <c r="W102" s="45"/>
      <c r="X102" s="45"/>
      <c r="Y102" s="45"/>
      <c r="Z102" s="45"/>
      <c r="AA102" s="45"/>
      <c r="AB102" s="45"/>
      <c r="AC102" s="45"/>
      <c r="AD102" s="45"/>
      <c r="AE102" s="45"/>
      <c r="AF102" s="45"/>
      <c r="AG102" s="45"/>
      <c r="AH102" s="233"/>
      <c r="AI102" s="235"/>
      <c r="AJ102" s="231"/>
      <c r="AK102" s="231"/>
    </row>
    <row r="103" spans="1:37" ht="36.950000000000003" customHeight="1" thickBot="1">
      <c r="A103" s="301"/>
      <c r="B103" s="301"/>
      <c r="C103" s="301"/>
      <c r="D103" s="301"/>
      <c r="E103" s="301"/>
      <c r="F103" s="307"/>
      <c r="G103" s="301"/>
      <c r="H103" s="407"/>
      <c r="I103" s="301"/>
      <c r="J103" s="409"/>
      <c r="K103" s="409"/>
      <c r="L103" s="301"/>
      <c r="M103" s="301"/>
      <c r="N103" s="301"/>
      <c r="O103" s="301"/>
      <c r="P103" s="338"/>
      <c r="Q103" s="338"/>
      <c r="R103" s="60" t="s">
        <v>71</v>
      </c>
      <c r="S103" s="52">
        <f>100%/50</f>
        <v>0.02</v>
      </c>
      <c r="T103" s="70">
        <f>SUM(U103:AG103)</f>
        <v>1</v>
      </c>
      <c r="U103" s="42"/>
      <c r="V103" s="42"/>
      <c r="W103" s="42"/>
      <c r="X103" s="42"/>
      <c r="Y103" s="42"/>
      <c r="Z103" s="42"/>
      <c r="AA103" s="42">
        <v>0.5</v>
      </c>
      <c r="AB103" s="42"/>
      <c r="AC103" s="42"/>
      <c r="AD103" s="42"/>
      <c r="AE103" s="42"/>
      <c r="AF103" s="42"/>
      <c r="AG103" s="42">
        <v>0.5</v>
      </c>
      <c r="AH103" s="234"/>
      <c r="AI103" s="236"/>
      <c r="AJ103" s="232"/>
      <c r="AK103" s="232"/>
    </row>
    <row r="104" spans="1:37" ht="36.950000000000003" customHeight="1" thickBot="1">
      <c r="A104" s="300">
        <v>46</v>
      </c>
      <c r="B104" s="300" t="s">
        <v>184</v>
      </c>
      <c r="C104" s="300" t="s">
        <v>97</v>
      </c>
      <c r="D104" s="300" t="s">
        <v>98</v>
      </c>
      <c r="E104" s="300" t="s">
        <v>99</v>
      </c>
      <c r="F104" s="307" t="s">
        <v>62</v>
      </c>
      <c r="G104" s="300" t="s">
        <v>966</v>
      </c>
      <c r="H104" s="406">
        <v>1</v>
      </c>
      <c r="I104" s="300" t="s">
        <v>967</v>
      </c>
      <c r="J104" s="408" t="s">
        <v>968</v>
      </c>
      <c r="K104" s="408" t="s">
        <v>1049</v>
      </c>
      <c r="L104" s="300" t="s">
        <v>936</v>
      </c>
      <c r="M104" s="300" t="s">
        <v>1048</v>
      </c>
      <c r="N104" s="302" t="s">
        <v>938</v>
      </c>
      <c r="O104" s="300" t="s">
        <v>841</v>
      </c>
      <c r="P104" s="334">
        <v>45139</v>
      </c>
      <c r="Q104" s="334">
        <v>45168</v>
      </c>
      <c r="R104" s="60" t="s">
        <v>70</v>
      </c>
      <c r="S104" s="53">
        <f>+(S105*T104)</f>
        <v>0</v>
      </c>
      <c r="T104" s="70">
        <f>SUM(U104:AG104)</f>
        <v>0</v>
      </c>
      <c r="U104" s="45"/>
      <c r="V104" s="45"/>
      <c r="W104" s="45"/>
      <c r="X104" s="45"/>
      <c r="Y104" s="45"/>
      <c r="Z104" s="45"/>
      <c r="AA104" s="45"/>
      <c r="AB104" s="45"/>
      <c r="AC104" s="45"/>
      <c r="AD104" s="45"/>
      <c r="AE104" s="45"/>
      <c r="AF104" s="45"/>
      <c r="AG104" s="45"/>
      <c r="AH104" s="233"/>
      <c r="AI104" s="235"/>
      <c r="AJ104" s="231"/>
      <c r="AK104" s="231"/>
    </row>
    <row r="105" spans="1:37" ht="36.950000000000003" customHeight="1" thickBot="1">
      <c r="A105" s="301"/>
      <c r="B105" s="301"/>
      <c r="C105" s="301"/>
      <c r="D105" s="301"/>
      <c r="E105" s="301"/>
      <c r="F105" s="307"/>
      <c r="G105" s="301"/>
      <c r="H105" s="407"/>
      <c r="I105" s="301"/>
      <c r="J105" s="409"/>
      <c r="K105" s="409"/>
      <c r="L105" s="301"/>
      <c r="M105" s="301"/>
      <c r="N105" s="303"/>
      <c r="O105" s="301"/>
      <c r="P105" s="338"/>
      <c r="Q105" s="338"/>
      <c r="R105" s="60" t="s">
        <v>71</v>
      </c>
      <c r="S105" s="52">
        <f>100%/50</f>
        <v>0.02</v>
      </c>
      <c r="T105" s="70">
        <f>SUM(U105:AG105)</f>
        <v>1</v>
      </c>
      <c r="U105" s="42"/>
      <c r="V105" s="42"/>
      <c r="W105" s="42"/>
      <c r="X105" s="42"/>
      <c r="Y105" s="42"/>
      <c r="Z105" s="42"/>
      <c r="AA105" s="42"/>
      <c r="AB105" s="42"/>
      <c r="AC105" s="42"/>
      <c r="AD105" s="42"/>
      <c r="AE105" s="42"/>
      <c r="AF105" s="42"/>
      <c r="AG105" s="42">
        <v>1</v>
      </c>
      <c r="AH105" s="234"/>
      <c r="AI105" s="236"/>
      <c r="AJ105" s="232"/>
      <c r="AK105" s="232"/>
    </row>
    <row r="106" spans="1:37" ht="36.950000000000003" customHeight="1" thickBot="1">
      <c r="A106" s="300">
        <v>47</v>
      </c>
      <c r="B106" s="300" t="s">
        <v>184</v>
      </c>
      <c r="C106" s="300" t="s">
        <v>97</v>
      </c>
      <c r="D106" s="300" t="s">
        <v>98</v>
      </c>
      <c r="E106" s="300" t="s">
        <v>99</v>
      </c>
      <c r="F106" s="307" t="s">
        <v>62</v>
      </c>
      <c r="G106" s="300" t="s">
        <v>946</v>
      </c>
      <c r="H106" s="406">
        <v>1</v>
      </c>
      <c r="I106" s="300" t="s">
        <v>967</v>
      </c>
      <c r="J106" s="408" t="s">
        <v>1050</v>
      </c>
      <c r="K106" s="408" t="s">
        <v>1051</v>
      </c>
      <c r="L106" s="300" t="s">
        <v>936</v>
      </c>
      <c r="M106" s="300" t="s">
        <v>1052</v>
      </c>
      <c r="N106" s="300" t="s">
        <v>68</v>
      </c>
      <c r="O106" s="300" t="s">
        <v>69</v>
      </c>
      <c r="P106" s="334">
        <v>44958</v>
      </c>
      <c r="Q106" s="334">
        <v>45260</v>
      </c>
      <c r="R106" s="60" t="s">
        <v>70</v>
      </c>
      <c r="S106" s="53">
        <f>+(S107*T106)</f>
        <v>0</v>
      </c>
      <c r="T106" s="70">
        <f>SUM(U106:AG106)</f>
        <v>0</v>
      </c>
      <c r="U106" s="45"/>
      <c r="V106" s="45"/>
      <c r="W106" s="45"/>
      <c r="X106" s="45"/>
      <c r="Y106" s="45"/>
      <c r="Z106" s="45"/>
      <c r="AA106" s="45"/>
      <c r="AB106" s="45"/>
      <c r="AC106" s="45"/>
      <c r="AD106" s="45"/>
      <c r="AE106" s="45"/>
      <c r="AF106" s="45"/>
      <c r="AG106" s="45"/>
      <c r="AH106" s="233"/>
      <c r="AI106" s="235"/>
      <c r="AJ106" s="231"/>
      <c r="AK106" s="231"/>
    </row>
    <row r="107" spans="1:37" ht="36.950000000000003" customHeight="1" thickBot="1">
      <c r="A107" s="301"/>
      <c r="B107" s="301"/>
      <c r="C107" s="301"/>
      <c r="D107" s="301"/>
      <c r="E107" s="301"/>
      <c r="F107" s="307"/>
      <c r="G107" s="301"/>
      <c r="H107" s="407"/>
      <c r="I107" s="301"/>
      <c r="J107" s="409"/>
      <c r="K107" s="409"/>
      <c r="L107" s="301"/>
      <c r="M107" s="301"/>
      <c r="N107" s="301"/>
      <c r="O107" s="301"/>
      <c r="P107" s="338"/>
      <c r="Q107" s="338"/>
      <c r="R107" s="60" t="s">
        <v>71</v>
      </c>
      <c r="S107" s="52">
        <f>100%/50</f>
        <v>0.02</v>
      </c>
      <c r="T107" s="70">
        <f>SUM(U107:AG107)</f>
        <v>1</v>
      </c>
      <c r="U107" s="42"/>
      <c r="V107" s="42"/>
      <c r="W107" s="42"/>
      <c r="X107" s="42">
        <v>0.25</v>
      </c>
      <c r="Y107" s="42"/>
      <c r="Z107" s="42"/>
      <c r="AA107" s="42">
        <v>0.25</v>
      </c>
      <c r="AB107" s="42"/>
      <c r="AC107" s="42"/>
      <c r="AD107" s="42">
        <v>0.25</v>
      </c>
      <c r="AE107" s="42"/>
      <c r="AF107" s="42"/>
      <c r="AG107" s="42">
        <v>0.25</v>
      </c>
      <c r="AH107" s="234"/>
      <c r="AI107" s="236"/>
      <c r="AJ107" s="232"/>
      <c r="AK107" s="232"/>
    </row>
    <row r="108" spans="1:37" ht="36.950000000000003" customHeight="1" thickBot="1">
      <c r="A108" s="300">
        <v>48</v>
      </c>
      <c r="B108" s="300" t="s">
        <v>184</v>
      </c>
      <c r="C108" s="300" t="s">
        <v>97</v>
      </c>
      <c r="D108" s="300" t="s">
        <v>98</v>
      </c>
      <c r="E108" s="300" t="s">
        <v>99</v>
      </c>
      <c r="F108" s="307" t="s">
        <v>62</v>
      </c>
      <c r="G108" s="300" t="s">
        <v>946</v>
      </c>
      <c r="H108" s="406">
        <v>1</v>
      </c>
      <c r="I108" s="300" t="s">
        <v>1021</v>
      </c>
      <c r="J108" s="408" t="s">
        <v>963</v>
      </c>
      <c r="K108" s="408" t="s">
        <v>1053</v>
      </c>
      <c r="L108" s="300" t="s">
        <v>936</v>
      </c>
      <c r="M108" s="300" t="s">
        <v>965</v>
      </c>
      <c r="N108" s="300" t="s">
        <v>68</v>
      </c>
      <c r="O108" s="300" t="s">
        <v>69</v>
      </c>
      <c r="P108" s="334">
        <v>44986</v>
      </c>
      <c r="Q108" s="334">
        <v>45290</v>
      </c>
      <c r="R108" s="60" t="s">
        <v>70</v>
      </c>
      <c r="S108" s="53">
        <f>+(S109*T108)</f>
        <v>0</v>
      </c>
      <c r="T108" s="70">
        <f>SUM(U108:AG108)</f>
        <v>0</v>
      </c>
      <c r="U108" s="45"/>
      <c r="V108" s="45"/>
      <c r="W108" s="45"/>
      <c r="X108" s="45"/>
      <c r="Y108" s="45"/>
      <c r="Z108" s="45"/>
      <c r="AA108" s="45"/>
      <c r="AB108" s="45"/>
      <c r="AC108" s="45"/>
      <c r="AD108" s="45"/>
      <c r="AE108" s="45"/>
      <c r="AF108" s="45"/>
      <c r="AG108" s="45"/>
      <c r="AH108" s="233"/>
      <c r="AI108" s="235"/>
      <c r="AJ108" s="231"/>
      <c r="AK108" s="231"/>
    </row>
    <row r="109" spans="1:37" ht="36.950000000000003" customHeight="1" thickBot="1">
      <c r="A109" s="301"/>
      <c r="B109" s="301"/>
      <c r="C109" s="301"/>
      <c r="D109" s="301"/>
      <c r="E109" s="301"/>
      <c r="F109" s="307"/>
      <c r="G109" s="301"/>
      <c r="H109" s="407"/>
      <c r="I109" s="301"/>
      <c r="J109" s="409"/>
      <c r="K109" s="409"/>
      <c r="L109" s="301"/>
      <c r="M109" s="301"/>
      <c r="N109" s="301"/>
      <c r="O109" s="301"/>
      <c r="P109" s="338"/>
      <c r="Q109" s="338"/>
      <c r="R109" s="60" t="s">
        <v>71</v>
      </c>
      <c r="S109" s="52">
        <f>100%/50</f>
        <v>0.02</v>
      </c>
      <c r="T109" s="70">
        <f>SUM(U109:AG109)</f>
        <v>1</v>
      </c>
      <c r="U109" s="42"/>
      <c r="V109" s="42"/>
      <c r="W109" s="42"/>
      <c r="X109" s="42">
        <v>0.25</v>
      </c>
      <c r="Y109" s="42"/>
      <c r="Z109" s="42"/>
      <c r="AA109" s="42">
        <v>0.25</v>
      </c>
      <c r="AB109" s="42"/>
      <c r="AC109" s="42"/>
      <c r="AD109" s="42">
        <v>0.25</v>
      </c>
      <c r="AE109" s="42"/>
      <c r="AF109" s="42"/>
      <c r="AG109" s="42">
        <v>0.25</v>
      </c>
      <c r="AH109" s="234"/>
      <c r="AI109" s="236"/>
      <c r="AJ109" s="232"/>
      <c r="AK109" s="232"/>
    </row>
    <row r="110" spans="1:37" ht="36.950000000000003" customHeight="1" thickBot="1">
      <c r="A110" s="300">
        <v>49</v>
      </c>
      <c r="B110" s="300" t="s">
        <v>184</v>
      </c>
      <c r="C110" s="300" t="s">
        <v>97</v>
      </c>
      <c r="D110" s="300" t="s">
        <v>98</v>
      </c>
      <c r="E110" s="300" t="s">
        <v>99</v>
      </c>
      <c r="F110" s="307" t="s">
        <v>62</v>
      </c>
      <c r="G110" s="300" t="s">
        <v>946</v>
      </c>
      <c r="H110" s="406">
        <v>1</v>
      </c>
      <c r="I110" s="300" t="s">
        <v>1021</v>
      </c>
      <c r="J110" s="408" t="s">
        <v>1054</v>
      </c>
      <c r="K110" s="408" t="s">
        <v>1055</v>
      </c>
      <c r="L110" s="300" t="s">
        <v>936</v>
      </c>
      <c r="M110" s="300" t="s">
        <v>1025</v>
      </c>
      <c r="N110" s="300" t="s">
        <v>68</v>
      </c>
      <c r="O110" s="300" t="s">
        <v>841</v>
      </c>
      <c r="P110" s="334">
        <v>45139</v>
      </c>
      <c r="Q110" s="334">
        <v>45168</v>
      </c>
      <c r="R110" s="60" t="s">
        <v>70</v>
      </c>
      <c r="S110" s="53">
        <f>+(S111*T110)</f>
        <v>0</v>
      </c>
      <c r="T110" s="70">
        <f>SUM(U110:AG110)</f>
        <v>0</v>
      </c>
      <c r="U110" s="45"/>
      <c r="V110" s="45"/>
      <c r="W110" s="45"/>
      <c r="X110" s="45"/>
      <c r="Y110" s="45"/>
      <c r="Z110" s="45"/>
      <c r="AA110" s="45"/>
      <c r="AB110" s="45"/>
      <c r="AC110" s="45"/>
      <c r="AD110" s="45"/>
      <c r="AE110" s="45"/>
      <c r="AF110" s="45"/>
      <c r="AG110" s="45"/>
      <c r="AH110" s="233"/>
      <c r="AI110" s="235"/>
      <c r="AJ110" s="231"/>
      <c r="AK110" s="231"/>
    </row>
    <row r="111" spans="1:37" ht="36.950000000000003" customHeight="1" thickBot="1">
      <c r="A111" s="301"/>
      <c r="B111" s="301"/>
      <c r="C111" s="301"/>
      <c r="D111" s="301"/>
      <c r="E111" s="301"/>
      <c r="F111" s="307"/>
      <c r="G111" s="301"/>
      <c r="H111" s="407"/>
      <c r="I111" s="301"/>
      <c r="J111" s="409"/>
      <c r="K111" s="409"/>
      <c r="L111" s="301"/>
      <c r="M111" s="301"/>
      <c r="N111" s="301"/>
      <c r="O111" s="301"/>
      <c r="P111" s="338"/>
      <c r="Q111" s="338"/>
      <c r="R111" s="60" t="s">
        <v>71</v>
      </c>
      <c r="S111" s="52">
        <f>100%/50</f>
        <v>0.02</v>
      </c>
      <c r="T111" s="70">
        <f>SUM(U111:AG111)</f>
        <v>1</v>
      </c>
      <c r="U111" s="42"/>
      <c r="V111" s="42"/>
      <c r="W111" s="42"/>
      <c r="X111" s="42"/>
      <c r="Y111" s="42"/>
      <c r="Z111" s="42"/>
      <c r="AA111" s="42"/>
      <c r="AB111" s="42"/>
      <c r="AC111" s="42"/>
      <c r="AD111" s="42"/>
      <c r="AE111" s="42"/>
      <c r="AF111" s="42"/>
      <c r="AG111" s="42">
        <v>1</v>
      </c>
      <c r="AH111" s="234"/>
      <c r="AI111" s="236"/>
      <c r="AJ111" s="232"/>
      <c r="AK111" s="232"/>
    </row>
    <row r="112" spans="1:37" ht="36.950000000000003" customHeight="1" thickBot="1">
      <c r="A112" s="300">
        <v>50</v>
      </c>
      <c r="B112" s="300" t="s">
        <v>184</v>
      </c>
      <c r="C112" s="300" t="s">
        <v>97</v>
      </c>
      <c r="D112" s="300" t="s">
        <v>98</v>
      </c>
      <c r="E112" s="300" t="s">
        <v>99</v>
      </c>
      <c r="F112" s="307" t="s">
        <v>62</v>
      </c>
      <c r="G112" s="300" t="s">
        <v>946</v>
      </c>
      <c r="H112" s="406">
        <v>1</v>
      </c>
      <c r="I112" s="300" t="s">
        <v>1056</v>
      </c>
      <c r="J112" s="408" t="s">
        <v>1057</v>
      </c>
      <c r="K112" s="408" t="s">
        <v>1058</v>
      </c>
      <c r="L112" s="300" t="s">
        <v>936</v>
      </c>
      <c r="M112" s="300" t="s">
        <v>1048</v>
      </c>
      <c r="N112" s="300" t="s">
        <v>68</v>
      </c>
      <c r="O112" s="300" t="s">
        <v>69</v>
      </c>
      <c r="P112" s="334">
        <v>44986</v>
      </c>
      <c r="Q112" s="334">
        <v>45290</v>
      </c>
      <c r="R112" s="60" t="s">
        <v>70</v>
      </c>
      <c r="S112" s="53">
        <f>+(S113*T112)</f>
        <v>0</v>
      </c>
      <c r="T112" s="70">
        <f>SUM(U112:AG112)</f>
        <v>0</v>
      </c>
      <c r="U112" s="45"/>
      <c r="V112" s="45"/>
      <c r="W112" s="45"/>
      <c r="X112" s="45"/>
      <c r="Y112" s="45"/>
      <c r="Z112" s="45"/>
      <c r="AA112" s="45"/>
      <c r="AB112" s="45"/>
      <c r="AC112" s="45"/>
      <c r="AD112" s="45"/>
      <c r="AE112" s="45"/>
      <c r="AF112" s="45"/>
      <c r="AG112" s="45"/>
      <c r="AH112" s="233"/>
      <c r="AI112" s="235"/>
      <c r="AJ112" s="231"/>
      <c r="AK112" s="231"/>
    </row>
    <row r="113" spans="1:37" ht="36.950000000000003" customHeight="1">
      <c r="A113" s="301"/>
      <c r="B113" s="301"/>
      <c r="C113" s="301"/>
      <c r="D113" s="301"/>
      <c r="E113" s="301"/>
      <c r="F113" s="307"/>
      <c r="G113" s="301"/>
      <c r="H113" s="407"/>
      <c r="I113" s="301"/>
      <c r="J113" s="409"/>
      <c r="K113" s="409"/>
      <c r="L113" s="301"/>
      <c r="M113" s="301"/>
      <c r="N113" s="301"/>
      <c r="O113" s="301"/>
      <c r="P113" s="338"/>
      <c r="Q113" s="338"/>
      <c r="R113" s="60" t="s">
        <v>71</v>
      </c>
      <c r="S113" s="52">
        <f>100%/50</f>
        <v>0.02</v>
      </c>
      <c r="T113" s="70">
        <f>SUM(U113:AG113)</f>
        <v>1</v>
      </c>
      <c r="U113" s="42"/>
      <c r="V113" s="42"/>
      <c r="W113" s="42"/>
      <c r="X113" s="42">
        <v>0.25</v>
      </c>
      <c r="Y113" s="42"/>
      <c r="Z113" s="42"/>
      <c r="AA113" s="42">
        <v>0.25</v>
      </c>
      <c r="AB113" s="42"/>
      <c r="AC113" s="42"/>
      <c r="AD113" s="42">
        <v>0.25</v>
      </c>
      <c r="AE113" s="42"/>
      <c r="AF113" s="42"/>
      <c r="AG113" s="42">
        <v>0.25</v>
      </c>
      <c r="AH113" s="234"/>
      <c r="AI113" s="236"/>
      <c r="AJ113" s="232"/>
      <c r="AK113" s="232"/>
    </row>
  </sheetData>
  <mergeCells count="1111">
    <mergeCell ref="A1:C3"/>
    <mergeCell ref="D1:AK3"/>
    <mergeCell ref="A4:A5"/>
    <mergeCell ref="G4:G5"/>
    <mergeCell ref="A6:B10"/>
    <mergeCell ref="C6:D10"/>
    <mergeCell ref="E6:F10"/>
    <mergeCell ref="G6:G10"/>
    <mergeCell ref="H6:I10"/>
    <mergeCell ref="J6:J10"/>
    <mergeCell ref="K12:K13"/>
    <mergeCell ref="L12:L13"/>
    <mergeCell ref="A12:A13"/>
    <mergeCell ref="B12:B13"/>
    <mergeCell ref="C12:C13"/>
    <mergeCell ref="D12:D13"/>
    <mergeCell ref="E12:E13"/>
    <mergeCell ref="F12:F13"/>
    <mergeCell ref="AC6:AF10"/>
    <mergeCell ref="AG6:AH10"/>
    <mergeCell ref="AI6:AI10"/>
    <mergeCell ref="AJ6:AJ10"/>
    <mergeCell ref="A11:F11"/>
    <mergeCell ref="R11:AG11"/>
    <mergeCell ref="AH11:AK11"/>
    <mergeCell ref="K6:L10"/>
    <mergeCell ref="M6:M10"/>
    <mergeCell ref="R6:T10"/>
    <mergeCell ref="U6:X10"/>
    <mergeCell ref="Y6:AB10"/>
    <mergeCell ref="AG12:AG13"/>
    <mergeCell ref="AH12:AH13"/>
    <mergeCell ref="AI12:AI13"/>
    <mergeCell ref="AJ12:AJ13"/>
    <mergeCell ref="AK12:AK13"/>
    <mergeCell ref="A14:A15"/>
    <mergeCell ref="B14:B15"/>
    <mergeCell ref="C14:C15"/>
    <mergeCell ref="D14:D15"/>
    <mergeCell ref="E14:E15"/>
    <mergeCell ref="AA12:AA13"/>
    <mergeCell ref="AB12:AB13"/>
    <mergeCell ref="AC12:AC13"/>
    <mergeCell ref="AD12:AD13"/>
    <mergeCell ref="AE12:AE13"/>
    <mergeCell ref="AF12:AF13"/>
    <mergeCell ref="U12:U13"/>
    <mergeCell ref="V12:V13"/>
    <mergeCell ref="W12:W13"/>
    <mergeCell ref="X12:X13"/>
    <mergeCell ref="Y12:Y13"/>
    <mergeCell ref="Z12:Z13"/>
    <mergeCell ref="M12:M13"/>
    <mergeCell ref="N12:N13"/>
    <mergeCell ref="O12:O13"/>
    <mergeCell ref="R12:R13"/>
    <mergeCell ref="S12:S13"/>
    <mergeCell ref="T12:T13"/>
    <mergeCell ref="G12:G13"/>
    <mergeCell ref="H12:H13"/>
    <mergeCell ref="I12:I13"/>
    <mergeCell ref="J12:J13"/>
    <mergeCell ref="AJ14:AJ15"/>
    <mergeCell ref="AK14:AK15"/>
    <mergeCell ref="A16:A17"/>
    <mergeCell ref="B16:B17"/>
    <mergeCell ref="C16:C17"/>
    <mergeCell ref="D16:D17"/>
    <mergeCell ref="E16:E17"/>
    <mergeCell ref="F16:F17"/>
    <mergeCell ref="G16:G17"/>
    <mergeCell ref="H16:H17"/>
    <mergeCell ref="L14:L15"/>
    <mergeCell ref="M14:M15"/>
    <mergeCell ref="N14:N15"/>
    <mergeCell ref="O14:O15"/>
    <mergeCell ref="AH14:AH15"/>
    <mergeCell ref="AI14:AI15"/>
    <mergeCell ref="F14:F15"/>
    <mergeCell ref="G14:G15"/>
    <mergeCell ref="H14:H15"/>
    <mergeCell ref="I14:I15"/>
    <mergeCell ref="J14:J15"/>
    <mergeCell ref="K14:K15"/>
    <mergeCell ref="F18:F19"/>
    <mergeCell ref="G18:G19"/>
    <mergeCell ref="H18:H19"/>
    <mergeCell ref="I18:I19"/>
    <mergeCell ref="J18:J19"/>
    <mergeCell ref="K18:K19"/>
    <mergeCell ref="O16:O17"/>
    <mergeCell ref="AH16:AH17"/>
    <mergeCell ref="AI16:AI17"/>
    <mergeCell ref="AJ16:AJ17"/>
    <mergeCell ref="AK16:AK17"/>
    <mergeCell ref="A18:A19"/>
    <mergeCell ref="B18:B19"/>
    <mergeCell ref="C18:C19"/>
    <mergeCell ref="D18:D19"/>
    <mergeCell ref="E18:E19"/>
    <mergeCell ref="I16:I17"/>
    <mergeCell ref="J16:J17"/>
    <mergeCell ref="K16:K17"/>
    <mergeCell ref="L16:L17"/>
    <mergeCell ref="M16:M17"/>
    <mergeCell ref="N16:N17"/>
    <mergeCell ref="O20:O21"/>
    <mergeCell ref="AH20:AH21"/>
    <mergeCell ref="AI20:AI21"/>
    <mergeCell ref="AJ20:AJ21"/>
    <mergeCell ref="AK20:AK21"/>
    <mergeCell ref="A22:A23"/>
    <mergeCell ref="B22:B23"/>
    <mergeCell ref="C22:C23"/>
    <mergeCell ref="D22:D23"/>
    <mergeCell ref="E22:E23"/>
    <mergeCell ref="I20:I21"/>
    <mergeCell ref="J20:J21"/>
    <mergeCell ref="K20:K21"/>
    <mergeCell ref="L20:L21"/>
    <mergeCell ref="M20:M21"/>
    <mergeCell ref="N20:N21"/>
    <mergeCell ref="AJ18:AJ19"/>
    <mergeCell ref="AK18:AK19"/>
    <mergeCell ref="A20:A21"/>
    <mergeCell ref="B20:B21"/>
    <mergeCell ref="C20:C21"/>
    <mergeCell ref="D20:D21"/>
    <mergeCell ref="E20:E21"/>
    <mergeCell ref="F20:F21"/>
    <mergeCell ref="G20:G21"/>
    <mergeCell ref="H20:H21"/>
    <mergeCell ref="L18:L19"/>
    <mergeCell ref="M18:M19"/>
    <mergeCell ref="N18:N19"/>
    <mergeCell ref="O18:O19"/>
    <mergeCell ref="AH18:AH19"/>
    <mergeCell ref="AI18:AI19"/>
    <mergeCell ref="AJ22:AJ23"/>
    <mergeCell ref="AK22:AK23"/>
    <mergeCell ref="A24:A25"/>
    <mergeCell ref="B24:B25"/>
    <mergeCell ref="C24:C25"/>
    <mergeCell ref="D24:D25"/>
    <mergeCell ref="E24:E25"/>
    <mergeCell ref="F24:F25"/>
    <mergeCell ref="G24:G25"/>
    <mergeCell ref="H24:H25"/>
    <mergeCell ref="L22:L23"/>
    <mergeCell ref="M22:M23"/>
    <mergeCell ref="N22:N23"/>
    <mergeCell ref="O22:O23"/>
    <mergeCell ref="AH22:AH23"/>
    <mergeCell ref="AI22:AI23"/>
    <mergeCell ref="F22:F23"/>
    <mergeCell ref="G22:G23"/>
    <mergeCell ref="H22:H23"/>
    <mergeCell ref="I22:I23"/>
    <mergeCell ref="J22:J23"/>
    <mergeCell ref="K22:K23"/>
    <mergeCell ref="K26:K27"/>
    <mergeCell ref="O24:O25"/>
    <mergeCell ref="AH24:AH25"/>
    <mergeCell ref="AI24:AI25"/>
    <mergeCell ref="AJ24:AJ25"/>
    <mergeCell ref="AK24:AK25"/>
    <mergeCell ref="A26:A27"/>
    <mergeCell ref="B26:B27"/>
    <mergeCell ref="C26:C27"/>
    <mergeCell ref="D26:D27"/>
    <mergeCell ref="E26:E27"/>
    <mergeCell ref="I24:I25"/>
    <mergeCell ref="J24:J25"/>
    <mergeCell ref="K24:K25"/>
    <mergeCell ref="L24:L25"/>
    <mergeCell ref="M24:M25"/>
    <mergeCell ref="N24:N25"/>
    <mergeCell ref="C30:C31"/>
    <mergeCell ref="D30:D31"/>
    <mergeCell ref="E30:E31"/>
    <mergeCell ref="A32:A33"/>
    <mergeCell ref="B32:B33"/>
    <mergeCell ref="C32:C33"/>
    <mergeCell ref="D32:D33"/>
    <mergeCell ref="E32:E33"/>
    <mergeCell ref="A28:A29"/>
    <mergeCell ref="B28:B29"/>
    <mergeCell ref="C28:C29"/>
    <mergeCell ref="D28:D29"/>
    <mergeCell ref="E28:E29"/>
    <mergeCell ref="A30:A31"/>
    <mergeCell ref="B30:B31"/>
    <mergeCell ref="AJ26:AJ27"/>
    <mergeCell ref="AK26:AK27"/>
    <mergeCell ref="M28:M29"/>
    <mergeCell ref="N28:N29"/>
    <mergeCell ref="O28:O29"/>
    <mergeCell ref="AH28:AH29"/>
    <mergeCell ref="L26:L27"/>
    <mergeCell ref="M26:M27"/>
    <mergeCell ref="N26:N27"/>
    <mergeCell ref="O26:O27"/>
    <mergeCell ref="AH26:AH27"/>
    <mergeCell ref="AI26:AI27"/>
    <mergeCell ref="F26:F27"/>
    <mergeCell ref="G26:G27"/>
    <mergeCell ref="H26:H27"/>
    <mergeCell ref="I26:I27"/>
    <mergeCell ref="J26:J27"/>
    <mergeCell ref="A38:A39"/>
    <mergeCell ref="B38:B39"/>
    <mergeCell ref="C38:C39"/>
    <mergeCell ref="D38:D39"/>
    <mergeCell ref="E38:E39"/>
    <mergeCell ref="A40:A41"/>
    <mergeCell ref="B40:B41"/>
    <mergeCell ref="C40:C41"/>
    <mergeCell ref="D40:D41"/>
    <mergeCell ref="E40:E41"/>
    <mergeCell ref="A34:A35"/>
    <mergeCell ref="B34:B35"/>
    <mergeCell ref="C34:C35"/>
    <mergeCell ref="D34:D35"/>
    <mergeCell ref="E34:E35"/>
    <mergeCell ref="A36:A37"/>
    <mergeCell ref="B36:B37"/>
    <mergeCell ref="C36:C37"/>
    <mergeCell ref="D36:D37"/>
    <mergeCell ref="E36:E37"/>
    <mergeCell ref="A46:A47"/>
    <mergeCell ref="B46:B47"/>
    <mergeCell ref="C46:C47"/>
    <mergeCell ref="D46:D47"/>
    <mergeCell ref="E46:E47"/>
    <mergeCell ref="A48:A49"/>
    <mergeCell ref="B48:B49"/>
    <mergeCell ref="C48:C49"/>
    <mergeCell ref="D48:D49"/>
    <mergeCell ref="E48:E49"/>
    <mergeCell ref="A42:A43"/>
    <mergeCell ref="B42:B43"/>
    <mergeCell ref="C42:C43"/>
    <mergeCell ref="D42:D43"/>
    <mergeCell ref="E42:E43"/>
    <mergeCell ref="A44:A45"/>
    <mergeCell ref="B44:B45"/>
    <mergeCell ref="C44:C45"/>
    <mergeCell ref="D44:D45"/>
    <mergeCell ref="E44:E45"/>
    <mergeCell ref="A54:A55"/>
    <mergeCell ref="B54:B55"/>
    <mergeCell ref="C54:C55"/>
    <mergeCell ref="D54:D55"/>
    <mergeCell ref="E54:E55"/>
    <mergeCell ref="A56:A57"/>
    <mergeCell ref="B56:B57"/>
    <mergeCell ref="C56:C57"/>
    <mergeCell ref="D56:D57"/>
    <mergeCell ref="E56:E57"/>
    <mergeCell ref="A50:A51"/>
    <mergeCell ref="B50:B51"/>
    <mergeCell ref="C50:C51"/>
    <mergeCell ref="D50:D51"/>
    <mergeCell ref="E50:E51"/>
    <mergeCell ref="A52:A53"/>
    <mergeCell ref="B52:B53"/>
    <mergeCell ref="C52:C53"/>
    <mergeCell ref="D52:D53"/>
    <mergeCell ref="E52:E53"/>
    <mergeCell ref="A62:A63"/>
    <mergeCell ref="B62:B63"/>
    <mergeCell ref="C62:C63"/>
    <mergeCell ref="D62:D63"/>
    <mergeCell ref="E62:E63"/>
    <mergeCell ref="A64:A65"/>
    <mergeCell ref="B64:B65"/>
    <mergeCell ref="C64:C65"/>
    <mergeCell ref="D64:D65"/>
    <mergeCell ref="E64:E65"/>
    <mergeCell ref="A58:A59"/>
    <mergeCell ref="B58:B59"/>
    <mergeCell ref="C58:C59"/>
    <mergeCell ref="D58:D59"/>
    <mergeCell ref="E58:E59"/>
    <mergeCell ref="A60:A61"/>
    <mergeCell ref="B60:B61"/>
    <mergeCell ref="C60:C61"/>
    <mergeCell ref="D60:D61"/>
    <mergeCell ref="E60:E61"/>
    <mergeCell ref="A70:A71"/>
    <mergeCell ref="B70:B71"/>
    <mergeCell ref="C70:C71"/>
    <mergeCell ref="D70:D71"/>
    <mergeCell ref="E70:E71"/>
    <mergeCell ref="A72:A73"/>
    <mergeCell ref="B72:B73"/>
    <mergeCell ref="C72:C73"/>
    <mergeCell ref="D72:D73"/>
    <mergeCell ref="E72:E73"/>
    <mergeCell ref="A66:A67"/>
    <mergeCell ref="B66:B67"/>
    <mergeCell ref="C66:C67"/>
    <mergeCell ref="D66:D67"/>
    <mergeCell ref="E66:E67"/>
    <mergeCell ref="A68:A69"/>
    <mergeCell ref="B68:B69"/>
    <mergeCell ref="C68:C69"/>
    <mergeCell ref="D68:D69"/>
    <mergeCell ref="E68:E69"/>
    <mergeCell ref="A78:A79"/>
    <mergeCell ref="B78:B79"/>
    <mergeCell ref="C78:C79"/>
    <mergeCell ref="D78:D79"/>
    <mergeCell ref="E78:E79"/>
    <mergeCell ref="A80:A81"/>
    <mergeCell ref="B80:B81"/>
    <mergeCell ref="C80:C81"/>
    <mergeCell ref="D80:D81"/>
    <mergeCell ref="E80:E81"/>
    <mergeCell ref="A74:A75"/>
    <mergeCell ref="B74:B75"/>
    <mergeCell ref="C74:C75"/>
    <mergeCell ref="D74:D75"/>
    <mergeCell ref="E74:E75"/>
    <mergeCell ref="A76:A77"/>
    <mergeCell ref="B76:B77"/>
    <mergeCell ref="C76:C77"/>
    <mergeCell ref="D76:D77"/>
    <mergeCell ref="E76:E77"/>
    <mergeCell ref="A86:A87"/>
    <mergeCell ref="B86:B87"/>
    <mergeCell ref="C86:C87"/>
    <mergeCell ref="D86:D87"/>
    <mergeCell ref="E86:E87"/>
    <mergeCell ref="A88:A89"/>
    <mergeCell ref="B88:B89"/>
    <mergeCell ref="C88:C89"/>
    <mergeCell ref="D88:D89"/>
    <mergeCell ref="E88:E89"/>
    <mergeCell ref="A82:A83"/>
    <mergeCell ref="B82:B83"/>
    <mergeCell ref="C82:C83"/>
    <mergeCell ref="D82:D83"/>
    <mergeCell ref="E82:E83"/>
    <mergeCell ref="A84:A85"/>
    <mergeCell ref="B84:B85"/>
    <mergeCell ref="C84:C85"/>
    <mergeCell ref="D84:D85"/>
    <mergeCell ref="E84:E85"/>
    <mergeCell ref="A94:A95"/>
    <mergeCell ref="B94:B95"/>
    <mergeCell ref="C94:C95"/>
    <mergeCell ref="D94:D95"/>
    <mergeCell ref="E94:E95"/>
    <mergeCell ref="A96:A97"/>
    <mergeCell ref="B96:B97"/>
    <mergeCell ref="C96:C97"/>
    <mergeCell ref="D96:D97"/>
    <mergeCell ref="E96:E97"/>
    <mergeCell ref="A90:A91"/>
    <mergeCell ref="B90:B91"/>
    <mergeCell ref="C90:C91"/>
    <mergeCell ref="D90:D91"/>
    <mergeCell ref="E90:E91"/>
    <mergeCell ref="A92:A93"/>
    <mergeCell ref="B92:B93"/>
    <mergeCell ref="C92:C93"/>
    <mergeCell ref="D92:D93"/>
    <mergeCell ref="E92:E93"/>
    <mergeCell ref="A102:A103"/>
    <mergeCell ref="B102:B103"/>
    <mergeCell ref="C102:C103"/>
    <mergeCell ref="D102:D103"/>
    <mergeCell ref="E102:E103"/>
    <mergeCell ref="A104:A105"/>
    <mergeCell ref="B104:B105"/>
    <mergeCell ref="C104:C105"/>
    <mergeCell ref="D104:D105"/>
    <mergeCell ref="E104:E105"/>
    <mergeCell ref="A98:A99"/>
    <mergeCell ref="B98:B99"/>
    <mergeCell ref="C98:C99"/>
    <mergeCell ref="D98:D99"/>
    <mergeCell ref="E98:E99"/>
    <mergeCell ref="A100:A101"/>
    <mergeCell ref="B100:B101"/>
    <mergeCell ref="C100:C101"/>
    <mergeCell ref="D100:D101"/>
    <mergeCell ref="E100:E101"/>
    <mergeCell ref="A110:A111"/>
    <mergeCell ref="B110:B111"/>
    <mergeCell ref="C110:C111"/>
    <mergeCell ref="D110:D111"/>
    <mergeCell ref="E110:E111"/>
    <mergeCell ref="A112:A113"/>
    <mergeCell ref="B112:B113"/>
    <mergeCell ref="C112:C113"/>
    <mergeCell ref="D112:D113"/>
    <mergeCell ref="E112:E113"/>
    <mergeCell ref="A106:A107"/>
    <mergeCell ref="B106:B107"/>
    <mergeCell ref="C106:C107"/>
    <mergeCell ref="D106:D107"/>
    <mergeCell ref="E106:E107"/>
    <mergeCell ref="A108:A109"/>
    <mergeCell ref="B108:B109"/>
    <mergeCell ref="C108:C109"/>
    <mergeCell ref="D108:D109"/>
    <mergeCell ref="E108:E109"/>
    <mergeCell ref="K32:K33"/>
    <mergeCell ref="L32:L33"/>
    <mergeCell ref="N30:N31"/>
    <mergeCell ref="O30:O31"/>
    <mergeCell ref="AH30:AH31"/>
    <mergeCell ref="AI30:AI31"/>
    <mergeCell ref="AJ30:AJ31"/>
    <mergeCell ref="AK30:AK31"/>
    <mergeCell ref="AI28:AI29"/>
    <mergeCell ref="AJ28:AJ29"/>
    <mergeCell ref="AK28:AK29"/>
    <mergeCell ref="F30:F31"/>
    <mergeCell ref="G30:G31"/>
    <mergeCell ref="I30:I31"/>
    <mergeCell ref="J30:J31"/>
    <mergeCell ref="K30:K31"/>
    <mergeCell ref="L30:L31"/>
    <mergeCell ref="M30:M31"/>
    <mergeCell ref="F28:F29"/>
    <mergeCell ref="G28:G29"/>
    <mergeCell ref="I28:I29"/>
    <mergeCell ref="J28:J29"/>
    <mergeCell ref="K28:K29"/>
    <mergeCell ref="L28:L29"/>
    <mergeCell ref="AH34:AH35"/>
    <mergeCell ref="AI34:AI35"/>
    <mergeCell ref="AJ34:AJ35"/>
    <mergeCell ref="AK34:AK35"/>
    <mergeCell ref="F36:F37"/>
    <mergeCell ref="G36:G37"/>
    <mergeCell ref="I36:I37"/>
    <mergeCell ref="J36:J37"/>
    <mergeCell ref="K36:K37"/>
    <mergeCell ref="L36:L37"/>
    <mergeCell ref="AK32:AK33"/>
    <mergeCell ref="F34:F35"/>
    <mergeCell ref="G34:G35"/>
    <mergeCell ref="I34:I35"/>
    <mergeCell ref="J34:J35"/>
    <mergeCell ref="K34:K35"/>
    <mergeCell ref="L34:L35"/>
    <mergeCell ref="M34:M35"/>
    <mergeCell ref="N34:N35"/>
    <mergeCell ref="O34:O35"/>
    <mergeCell ref="M32:M33"/>
    <mergeCell ref="N32:N33"/>
    <mergeCell ref="O32:O33"/>
    <mergeCell ref="AH32:AH33"/>
    <mergeCell ref="AI32:AI33"/>
    <mergeCell ref="AJ32:AJ33"/>
    <mergeCell ref="P32:P33"/>
    <mergeCell ref="Q32:Q33"/>
    <mergeCell ref="F32:F33"/>
    <mergeCell ref="G32:G33"/>
    <mergeCell ref="I32:I33"/>
    <mergeCell ref="J32:J33"/>
    <mergeCell ref="O38:O39"/>
    <mergeCell ref="AH38:AH39"/>
    <mergeCell ref="AI38:AI39"/>
    <mergeCell ref="AJ38:AJ39"/>
    <mergeCell ref="AK38:AK39"/>
    <mergeCell ref="F40:F41"/>
    <mergeCell ref="G40:G41"/>
    <mergeCell ref="H40:H41"/>
    <mergeCell ref="I40:I41"/>
    <mergeCell ref="J40:J41"/>
    <mergeCell ref="AK36:AK37"/>
    <mergeCell ref="F38:F39"/>
    <mergeCell ref="G38:G39"/>
    <mergeCell ref="H38:H39"/>
    <mergeCell ref="I38:I39"/>
    <mergeCell ref="J38:J39"/>
    <mergeCell ref="K38:K39"/>
    <mergeCell ref="L38:L39"/>
    <mergeCell ref="M38:M39"/>
    <mergeCell ref="N38:N39"/>
    <mergeCell ref="M36:M37"/>
    <mergeCell ref="N36:N37"/>
    <mergeCell ref="O36:O37"/>
    <mergeCell ref="AH36:AH37"/>
    <mergeCell ref="AI36:AI37"/>
    <mergeCell ref="AJ36:AJ37"/>
    <mergeCell ref="AI40:AI41"/>
    <mergeCell ref="AJ40:AJ41"/>
    <mergeCell ref="AK40:AK41"/>
    <mergeCell ref="F42:F43"/>
    <mergeCell ref="G42:G43"/>
    <mergeCell ref="H42:H43"/>
    <mergeCell ref="I42:I43"/>
    <mergeCell ref="J42:J43"/>
    <mergeCell ref="K42:K43"/>
    <mergeCell ref="L42:L43"/>
    <mergeCell ref="K40:K41"/>
    <mergeCell ref="L40:L41"/>
    <mergeCell ref="M40:M41"/>
    <mergeCell ref="N40:N41"/>
    <mergeCell ref="O40:O41"/>
    <mergeCell ref="AH40:AH41"/>
    <mergeCell ref="P40:P41"/>
    <mergeCell ref="Q40:Q41"/>
    <mergeCell ref="O44:O45"/>
    <mergeCell ref="AH44:AH45"/>
    <mergeCell ref="AI44:AI45"/>
    <mergeCell ref="AJ44:AJ45"/>
    <mergeCell ref="AK44:AK45"/>
    <mergeCell ref="F46:F47"/>
    <mergeCell ref="G46:G47"/>
    <mergeCell ref="H46:H47"/>
    <mergeCell ref="I46:I47"/>
    <mergeCell ref="J46:J47"/>
    <mergeCell ref="AK42:AK43"/>
    <mergeCell ref="F44:F45"/>
    <mergeCell ref="G44:G45"/>
    <mergeCell ref="H44:H45"/>
    <mergeCell ref="I44:I45"/>
    <mergeCell ref="J44:J45"/>
    <mergeCell ref="K44:K45"/>
    <mergeCell ref="L44:L45"/>
    <mergeCell ref="M44:M45"/>
    <mergeCell ref="N44:N45"/>
    <mergeCell ref="M42:M43"/>
    <mergeCell ref="N42:N43"/>
    <mergeCell ref="O42:O43"/>
    <mergeCell ref="AH42:AH43"/>
    <mergeCell ref="AI42:AI43"/>
    <mergeCell ref="AJ42:AJ43"/>
    <mergeCell ref="P42:P43"/>
    <mergeCell ref="Q42:Q43"/>
    <mergeCell ref="AK48:AK49"/>
    <mergeCell ref="F50:F51"/>
    <mergeCell ref="G50:G51"/>
    <mergeCell ref="H50:H51"/>
    <mergeCell ref="I50:I51"/>
    <mergeCell ref="J50:J51"/>
    <mergeCell ref="K50:K51"/>
    <mergeCell ref="L50:L51"/>
    <mergeCell ref="M50:M51"/>
    <mergeCell ref="N50:N51"/>
    <mergeCell ref="M48:M49"/>
    <mergeCell ref="N48:N49"/>
    <mergeCell ref="O48:O49"/>
    <mergeCell ref="AH48:AH49"/>
    <mergeCell ref="AI48:AI49"/>
    <mergeCell ref="AJ48:AJ49"/>
    <mergeCell ref="AI46:AI47"/>
    <mergeCell ref="AJ46:AJ47"/>
    <mergeCell ref="AK46:AK47"/>
    <mergeCell ref="F48:F49"/>
    <mergeCell ref="G48:G49"/>
    <mergeCell ref="H48:H49"/>
    <mergeCell ref="I48:I49"/>
    <mergeCell ref="J48:J49"/>
    <mergeCell ref="K48:K49"/>
    <mergeCell ref="L48:L49"/>
    <mergeCell ref="K46:K47"/>
    <mergeCell ref="L46:L47"/>
    <mergeCell ref="M46:M47"/>
    <mergeCell ref="N46:N47"/>
    <mergeCell ref="O46:O47"/>
    <mergeCell ref="AH46:AH47"/>
    <mergeCell ref="AI52:AI53"/>
    <mergeCell ref="AJ52:AJ53"/>
    <mergeCell ref="AK52:AK53"/>
    <mergeCell ref="F54:F55"/>
    <mergeCell ref="G54:G55"/>
    <mergeCell ref="H54:H55"/>
    <mergeCell ref="I54:I55"/>
    <mergeCell ref="J54:J55"/>
    <mergeCell ref="K54:K55"/>
    <mergeCell ref="L54:L55"/>
    <mergeCell ref="K52:K53"/>
    <mergeCell ref="L52:L53"/>
    <mergeCell ref="M52:M53"/>
    <mergeCell ref="N52:N53"/>
    <mergeCell ref="O52:O53"/>
    <mergeCell ref="AH52:AH53"/>
    <mergeCell ref="O50:O51"/>
    <mergeCell ref="AH50:AH51"/>
    <mergeCell ref="AI50:AI51"/>
    <mergeCell ref="AJ50:AJ51"/>
    <mergeCell ref="AK50:AK51"/>
    <mergeCell ref="F52:F53"/>
    <mergeCell ref="G52:G53"/>
    <mergeCell ref="H52:H53"/>
    <mergeCell ref="I52:I53"/>
    <mergeCell ref="J52:J53"/>
    <mergeCell ref="O56:O57"/>
    <mergeCell ref="AH56:AH57"/>
    <mergeCell ref="AI56:AI57"/>
    <mergeCell ref="AJ56:AJ57"/>
    <mergeCell ref="AK56:AK57"/>
    <mergeCell ref="F58:F59"/>
    <mergeCell ref="G58:G59"/>
    <mergeCell ref="H58:H59"/>
    <mergeCell ref="I58:I59"/>
    <mergeCell ref="J58:J59"/>
    <mergeCell ref="AK54:AK55"/>
    <mergeCell ref="F56:F57"/>
    <mergeCell ref="G56:G57"/>
    <mergeCell ref="H56:H57"/>
    <mergeCell ref="I56:I57"/>
    <mergeCell ref="J56:J57"/>
    <mergeCell ref="K56:K57"/>
    <mergeCell ref="L56:L57"/>
    <mergeCell ref="M56:M57"/>
    <mergeCell ref="N56:N57"/>
    <mergeCell ref="M54:M55"/>
    <mergeCell ref="N54:N55"/>
    <mergeCell ref="O54:O55"/>
    <mergeCell ref="AH54:AH55"/>
    <mergeCell ref="AI54:AI55"/>
    <mergeCell ref="AJ54:AJ55"/>
    <mergeCell ref="AK60:AK61"/>
    <mergeCell ref="M60:M61"/>
    <mergeCell ref="N60:N61"/>
    <mergeCell ref="O60:O61"/>
    <mergeCell ref="AH60:AH61"/>
    <mergeCell ref="AI60:AI61"/>
    <mergeCell ref="AJ60:AJ61"/>
    <mergeCell ref="AI58:AI59"/>
    <mergeCell ref="AJ58:AJ59"/>
    <mergeCell ref="AK58:AK59"/>
    <mergeCell ref="F60:F61"/>
    <mergeCell ref="G60:G61"/>
    <mergeCell ref="H60:H61"/>
    <mergeCell ref="I60:I61"/>
    <mergeCell ref="J60:J61"/>
    <mergeCell ref="K60:K61"/>
    <mergeCell ref="L60:L61"/>
    <mergeCell ref="K58:K59"/>
    <mergeCell ref="L58:L59"/>
    <mergeCell ref="M58:M59"/>
    <mergeCell ref="N58:N59"/>
    <mergeCell ref="O58:O59"/>
    <mergeCell ref="AH58:AH59"/>
    <mergeCell ref="AI62:AI63"/>
    <mergeCell ref="AJ62:AJ63"/>
    <mergeCell ref="AK62:AK63"/>
    <mergeCell ref="F64:F65"/>
    <mergeCell ref="G64:G65"/>
    <mergeCell ref="H64:H65"/>
    <mergeCell ref="I64:I65"/>
    <mergeCell ref="J64:J65"/>
    <mergeCell ref="K64:K65"/>
    <mergeCell ref="L64:L65"/>
    <mergeCell ref="K62:K63"/>
    <mergeCell ref="L62:L63"/>
    <mergeCell ref="M62:M63"/>
    <mergeCell ref="N62:N63"/>
    <mergeCell ref="O62:O63"/>
    <mergeCell ref="AH62:AH63"/>
    <mergeCell ref="P62:P63"/>
    <mergeCell ref="Q62:Q63"/>
    <mergeCell ref="F62:F63"/>
    <mergeCell ref="G62:G63"/>
    <mergeCell ref="H62:H63"/>
    <mergeCell ref="I62:I63"/>
    <mergeCell ref="J62:J63"/>
    <mergeCell ref="AK64:AK65"/>
    <mergeCell ref="F66:F67"/>
    <mergeCell ref="G66:G67"/>
    <mergeCell ref="H66:H67"/>
    <mergeCell ref="I66:I67"/>
    <mergeCell ref="J66:J67"/>
    <mergeCell ref="K66:K67"/>
    <mergeCell ref="L66:L67"/>
    <mergeCell ref="M66:M67"/>
    <mergeCell ref="N66:N67"/>
    <mergeCell ref="M64:M65"/>
    <mergeCell ref="N64:N65"/>
    <mergeCell ref="O64:O65"/>
    <mergeCell ref="AH64:AH65"/>
    <mergeCell ref="AI64:AI65"/>
    <mergeCell ref="AJ64:AJ65"/>
    <mergeCell ref="P64:P65"/>
    <mergeCell ref="Q64:Q65"/>
    <mergeCell ref="AI68:AI69"/>
    <mergeCell ref="AJ68:AJ69"/>
    <mergeCell ref="AK68:AK69"/>
    <mergeCell ref="F70:F71"/>
    <mergeCell ref="G70:G71"/>
    <mergeCell ref="H70:H71"/>
    <mergeCell ref="I70:I71"/>
    <mergeCell ref="J70:J71"/>
    <mergeCell ref="K70:K71"/>
    <mergeCell ref="L70:L71"/>
    <mergeCell ref="K68:K69"/>
    <mergeCell ref="L68:L69"/>
    <mergeCell ref="M68:M69"/>
    <mergeCell ref="N68:N69"/>
    <mergeCell ref="O68:O69"/>
    <mergeCell ref="AH68:AH69"/>
    <mergeCell ref="O66:O67"/>
    <mergeCell ref="AH66:AH67"/>
    <mergeCell ref="AI66:AI67"/>
    <mergeCell ref="AJ66:AJ67"/>
    <mergeCell ref="AK66:AK67"/>
    <mergeCell ref="F68:F69"/>
    <mergeCell ref="G68:G69"/>
    <mergeCell ref="H68:H69"/>
    <mergeCell ref="I68:I69"/>
    <mergeCell ref="J68:J69"/>
    <mergeCell ref="O72:O73"/>
    <mergeCell ref="AH72:AH73"/>
    <mergeCell ref="AI72:AI73"/>
    <mergeCell ref="AJ72:AJ73"/>
    <mergeCell ref="AK72:AK73"/>
    <mergeCell ref="F74:F75"/>
    <mergeCell ref="G74:G75"/>
    <mergeCell ref="H74:H75"/>
    <mergeCell ref="I74:I75"/>
    <mergeCell ref="J74:J75"/>
    <mergeCell ref="AK70:AK71"/>
    <mergeCell ref="F72:F73"/>
    <mergeCell ref="G72:G73"/>
    <mergeCell ref="H72:H73"/>
    <mergeCell ref="I72:I73"/>
    <mergeCell ref="J72:J73"/>
    <mergeCell ref="K72:K73"/>
    <mergeCell ref="L72:L73"/>
    <mergeCell ref="M72:M73"/>
    <mergeCell ref="N72:N73"/>
    <mergeCell ref="M70:M71"/>
    <mergeCell ref="N70:N71"/>
    <mergeCell ref="O70:O71"/>
    <mergeCell ref="AH70:AH71"/>
    <mergeCell ref="AI70:AI71"/>
    <mergeCell ref="AJ70:AJ71"/>
    <mergeCell ref="AK76:AK77"/>
    <mergeCell ref="F78:F79"/>
    <mergeCell ref="G78:G79"/>
    <mergeCell ref="H78:H79"/>
    <mergeCell ref="I78:I79"/>
    <mergeCell ref="J78:J79"/>
    <mergeCell ref="K78:K79"/>
    <mergeCell ref="L78:L79"/>
    <mergeCell ref="M78:M79"/>
    <mergeCell ref="N78:N79"/>
    <mergeCell ref="M76:M77"/>
    <mergeCell ref="N76:N77"/>
    <mergeCell ref="O76:O77"/>
    <mergeCell ref="AH76:AH77"/>
    <mergeCell ref="AI76:AI77"/>
    <mergeCell ref="AJ76:AJ77"/>
    <mergeCell ref="AI74:AI75"/>
    <mergeCell ref="AJ74:AJ75"/>
    <mergeCell ref="AK74:AK75"/>
    <mergeCell ref="F76:F77"/>
    <mergeCell ref="G76:G77"/>
    <mergeCell ref="H76:H77"/>
    <mergeCell ref="I76:I77"/>
    <mergeCell ref="J76:J77"/>
    <mergeCell ref="K76:K77"/>
    <mergeCell ref="L76:L77"/>
    <mergeCell ref="K74:K75"/>
    <mergeCell ref="L74:L75"/>
    <mergeCell ref="M74:M75"/>
    <mergeCell ref="N74:N75"/>
    <mergeCell ref="O74:O75"/>
    <mergeCell ref="AH74:AH75"/>
    <mergeCell ref="AI80:AI81"/>
    <mergeCell ref="AJ80:AJ81"/>
    <mergeCell ref="AK80:AK81"/>
    <mergeCell ref="F82:F83"/>
    <mergeCell ref="G82:G83"/>
    <mergeCell ref="H82:H83"/>
    <mergeCell ref="I82:I83"/>
    <mergeCell ref="J82:J83"/>
    <mergeCell ref="K82:K83"/>
    <mergeCell ref="L82:L83"/>
    <mergeCell ref="K80:K81"/>
    <mergeCell ref="L80:L81"/>
    <mergeCell ref="M80:M81"/>
    <mergeCell ref="N80:N81"/>
    <mergeCell ref="O80:O81"/>
    <mergeCell ref="AH80:AH81"/>
    <mergeCell ref="O78:O79"/>
    <mergeCell ref="AH78:AH79"/>
    <mergeCell ref="AI78:AI79"/>
    <mergeCell ref="AJ78:AJ79"/>
    <mergeCell ref="AK78:AK79"/>
    <mergeCell ref="F80:F81"/>
    <mergeCell ref="G80:G81"/>
    <mergeCell ref="H80:H81"/>
    <mergeCell ref="I80:I81"/>
    <mergeCell ref="J80:J81"/>
    <mergeCell ref="O84:O85"/>
    <mergeCell ref="AH84:AH85"/>
    <mergeCell ref="AI84:AI85"/>
    <mergeCell ref="AJ84:AJ85"/>
    <mergeCell ref="AK84:AK85"/>
    <mergeCell ref="F86:F87"/>
    <mergeCell ref="G86:G87"/>
    <mergeCell ref="H86:H87"/>
    <mergeCell ref="I86:I87"/>
    <mergeCell ref="J86:J87"/>
    <mergeCell ref="AK82:AK83"/>
    <mergeCell ref="F84:F85"/>
    <mergeCell ref="G84:G85"/>
    <mergeCell ref="H84:H85"/>
    <mergeCell ref="I84:I85"/>
    <mergeCell ref="J84:J85"/>
    <mergeCell ref="K84:K85"/>
    <mergeCell ref="L84:L85"/>
    <mergeCell ref="M84:M85"/>
    <mergeCell ref="N84:N85"/>
    <mergeCell ref="M82:M83"/>
    <mergeCell ref="N82:N83"/>
    <mergeCell ref="O82:O83"/>
    <mergeCell ref="AH82:AH83"/>
    <mergeCell ref="AI82:AI83"/>
    <mergeCell ref="AJ82:AJ83"/>
    <mergeCell ref="AK88:AK89"/>
    <mergeCell ref="F90:F91"/>
    <mergeCell ref="G90:G91"/>
    <mergeCell ref="H90:H91"/>
    <mergeCell ref="I90:I91"/>
    <mergeCell ref="J90:J91"/>
    <mergeCell ref="K90:K91"/>
    <mergeCell ref="L90:L91"/>
    <mergeCell ref="M90:M91"/>
    <mergeCell ref="N90:N91"/>
    <mergeCell ref="M88:M89"/>
    <mergeCell ref="N88:N89"/>
    <mergeCell ref="O88:O89"/>
    <mergeCell ref="AH88:AH89"/>
    <mergeCell ref="AI88:AI89"/>
    <mergeCell ref="AJ88:AJ89"/>
    <mergeCell ref="AI86:AI87"/>
    <mergeCell ref="AJ86:AJ87"/>
    <mergeCell ref="AK86:AK87"/>
    <mergeCell ref="F88:F89"/>
    <mergeCell ref="G88:G89"/>
    <mergeCell ref="H88:H89"/>
    <mergeCell ref="I88:I89"/>
    <mergeCell ref="J88:J89"/>
    <mergeCell ref="K88:K89"/>
    <mergeCell ref="L88:L89"/>
    <mergeCell ref="K86:K87"/>
    <mergeCell ref="L86:L87"/>
    <mergeCell ref="M86:M87"/>
    <mergeCell ref="N86:N87"/>
    <mergeCell ref="O86:O87"/>
    <mergeCell ref="AH86:AH87"/>
    <mergeCell ref="AI92:AI93"/>
    <mergeCell ref="AJ92:AJ93"/>
    <mergeCell ref="AK92:AK93"/>
    <mergeCell ref="F94:F95"/>
    <mergeCell ref="G94:G95"/>
    <mergeCell ref="H94:H95"/>
    <mergeCell ref="I94:I95"/>
    <mergeCell ref="J94:J95"/>
    <mergeCell ref="K94:K95"/>
    <mergeCell ref="L94:L95"/>
    <mergeCell ref="K92:K93"/>
    <mergeCell ref="L92:L93"/>
    <mergeCell ref="M92:M93"/>
    <mergeCell ref="N92:N93"/>
    <mergeCell ref="O92:O93"/>
    <mergeCell ref="AH92:AH93"/>
    <mergeCell ref="O90:O91"/>
    <mergeCell ref="AH90:AH91"/>
    <mergeCell ref="AI90:AI91"/>
    <mergeCell ref="AJ90:AJ91"/>
    <mergeCell ref="AK90:AK91"/>
    <mergeCell ref="F92:F93"/>
    <mergeCell ref="G92:G93"/>
    <mergeCell ref="H92:H93"/>
    <mergeCell ref="I92:I93"/>
    <mergeCell ref="J92:J93"/>
    <mergeCell ref="O96:O97"/>
    <mergeCell ref="AH96:AH97"/>
    <mergeCell ref="AI96:AI97"/>
    <mergeCell ref="AJ96:AJ97"/>
    <mergeCell ref="AK96:AK97"/>
    <mergeCell ref="F98:F99"/>
    <mergeCell ref="G98:G99"/>
    <mergeCell ref="H98:H99"/>
    <mergeCell ref="I98:I99"/>
    <mergeCell ref="J98:J99"/>
    <mergeCell ref="AK94:AK95"/>
    <mergeCell ref="F96:F97"/>
    <mergeCell ref="G96:G97"/>
    <mergeCell ref="H96:H97"/>
    <mergeCell ref="I96:I97"/>
    <mergeCell ref="J96:J97"/>
    <mergeCell ref="K96:K97"/>
    <mergeCell ref="L96:L97"/>
    <mergeCell ref="M96:M97"/>
    <mergeCell ref="N96:N97"/>
    <mergeCell ref="M94:M95"/>
    <mergeCell ref="N94:N95"/>
    <mergeCell ref="O94:O95"/>
    <mergeCell ref="AH94:AH95"/>
    <mergeCell ref="AI94:AI95"/>
    <mergeCell ref="AJ94:AJ95"/>
    <mergeCell ref="M100:M101"/>
    <mergeCell ref="N100:N101"/>
    <mergeCell ref="O100:O101"/>
    <mergeCell ref="AH100:AH101"/>
    <mergeCell ref="AI100:AI101"/>
    <mergeCell ref="AJ100:AJ101"/>
    <mergeCell ref="AI98:AI99"/>
    <mergeCell ref="AJ98:AJ99"/>
    <mergeCell ref="AK98:AK99"/>
    <mergeCell ref="F100:F101"/>
    <mergeCell ref="G100:G101"/>
    <mergeCell ref="H100:H101"/>
    <mergeCell ref="I100:I101"/>
    <mergeCell ref="J100:J101"/>
    <mergeCell ref="K100:K101"/>
    <mergeCell ref="L100:L101"/>
    <mergeCell ref="K98:K99"/>
    <mergeCell ref="L98:L99"/>
    <mergeCell ref="M98:M99"/>
    <mergeCell ref="N98:N99"/>
    <mergeCell ref="O98:O99"/>
    <mergeCell ref="AH98:AH99"/>
    <mergeCell ref="F106:F107"/>
    <mergeCell ref="G106:G107"/>
    <mergeCell ref="H106:H107"/>
    <mergeCell ref="I106:I107"/>
    <mergeCell ref="J106:J107"/>
    <mergeCell ref="K106:K107"/>
    <mergeCell ref="L106:L107"/>
    <mergeCell ref="K104:K105"/>
    <mergeCell ref="L104:L105"/>
    <mergeCell ref="M104:M105"/>
    <mergeCell ref="N104:N105"/>
    <mergeCell ref="O104:O105"/>
    <mergeCell ref="AH104:AH105"/>
    <mergeCell ref="O102:O103"/>
    <mergeCell ref="AH102:AH103"/>
    <mergeCell ref="AI102:AI103"/>
    <mergeCell ref="AJ102:AJ103"/>
    <mergeCell ref="F104:F105"/>
    <mergeCell ref="G104:G105"/>
    <mergeCell ref="H104:H105"/>
    <mergeCell ref="I104:I105"/>
    <mergeCell ref="J104:J105"/>
    <mergeCell ref="F102:F103"/>
    <mergeCell ref="G102:G103"/>
    <mergeCell ref="H102:H103"/>
    <mergeCell ref="I102:I103"/>
    <mergeCell ref="J102:J103"/>
    <mergeCell ref="K102:K103"/>
    <mergeCell ref="L102:L103"/>
    <mergeCell ref="M102:M103"/>
    <mergeCell ref="N102:N103"/>
    <mergeCell ref="F112:F113"/>
    <mergeCell ref="G112:G113"/>
    <mergeCell ref="H112:H113"/>
    <mergeCell ref="I112:I113"/>
    <mergeCell ref="J112:J113"/>
    <mergeCell ref="K112:K113"/>
    <mergeCell ref="L112:L113"/>
    <mergeCell ref="K110:K111"/>
    <mergeCell ref="L110:L111"/>
    <mergeCell ref="M110:M111"/>
    <mergeCell ref="N110:N111"/>
    <mergeCell ref="O110:O111"/>
    <mergeCell ref="AH110:AH111"/>
    <mergeCell ref="O108:O109"/>
    <mergeCell ref="AH108:AH109"/>
    <mergeCell ref="AI108:AI109"/>
    <mergeCell ref="AJ108:AJ109"/>
    <mergeCell ref="F110:F111"/>
    <mergeCell ref="G110:G111"/>
    <mergeCell ref="H110:H111"/>
    <mergeCell ref="I110:I111"/>
    <mergeCell ref="J110:J111"/>
    <mergeCell ref="F108:F109"/>
    <mergeCell ref="G108:G109"/>
    <mergeCell ref="H108:H109"/>
    <mergeCell ref="I108:I109"/>
    <mergeCell ref="J108:J109"/>
    <mergeCell ref="K108:K109"/>
    <mergeCell ref="L108:L109"/>
    <mergeCell ref="M108:M109"/>
    <mergeCell ref="N108:N109"/>
    <mergeCell ref="AK112:AK113"/>
    <mergeCell ref="H28:H29"/>
    <mergeCell ref="H30:H31"/>
    <mergeCell ref="H32:H33"/>
    <mergeCell ref="H34:H35"/>
    <mergeCell ref="H36:H37"/>
    <mergeCell ref="P28:P29"/>
    <mergeCell ref="Q28:Q29"/>
    <mergeCell ref="P30:P31"/>
    <mergeCell ref="Q30:Q31"/>
    <mergeCell ref="M112:M113"/>
    <mergeCell ref="N112:N113"/>
    <mergeCell ref="O112:O113"/>
    <mergeCell ref="AH112:AH113"/>
    <mergeCell ref="AI112:AI113"/>
    <mergeCell ref="AJ112:AJ113"/>
    <mergeCell ref="AI110:AI111"/>
    <mergeCell ref="AJ110:AJ111"/>
    <mergeCell ref="AK110:AK111"/>
    <mergeCell ref="AK108:AK109"/>
    <mergeCell ref="AK106:AK107"/>
    <mergeCell ref="M106:M107"/>
    <mergeCell ref="N106:N107"/>
    <mergeCell ref="O106:O107"/>
    <mergeCell ref="AH106:AH107"/>
    <mergeCell ref="AI106:AI107"/>
    <mergeCell ref="AJ106:AJ107"/>
    <mergeCell ref="AI104:AI105"/>
    <mergeCell ref="AJ104:AJ105"/>
    <mergeCell ref="AK104:AK105"/>
    <mergeCell ref="AK102:AK103"/>
    <mergeCell ref="AK100:AK101"/>
    <mergeCell ref="P34:P35"/>
    <mergeCell ref="Q34:Q35"/>
    <mergeCell ref="P36:P37"/>
    <mergeCell ref="Q36:Q37"/>
    <mergeCell ref="P38:P39"/>
    <mergeCell ref="Q38:Q39"/>
    <mergeCell ref="Q20:Q21"/>
    <mergeCell ref="P22:P23"/>
    <mergeCell ref="Q22:Q23"/>
    <mergeCell ref="P24:P25"/>
    <mergeCell ref="Q24:Q25"/>
    <mergeCell ref="P26:P27"/>
    <mergeCell ref="Q26:Q27"/>
    <mergeCell ref="P12:P13"/>
    <mergeCell ref="Q12:Q13"/>
    <mergeCell ref="P14:P15"/>
    <mergeCell ref="Q14:Q15"/>
    <mergeCell ref="P16:P17"/>
    <mergeCell ref="Q16:Q17"/>
    <mergeCell ref="P18:P19"/>
    <mergeCell ref="Q18:Q19"/>
    <mergeCell ref="P20:P21"/>
    <mergeCell ref="P56:P57"/>
    <mergeCell ref="Q56:Q57"/>
    <mergeCell ref="P58:P59"/>
    <mergeCell ref="Q58:Q59"/>
    <mergeCell ref="P60:P61"/>
    <mergeCell ref="Q60:Q61"/>
    <mergeCell ref="P50:P51"/>
    <mergeCell ref="Q50:Q51"/>
    <mergeCell ref="P52:P53"/>
    <mergeCell ref="Q52:Q53"/>
    <mergeCell ref="P54:P55"/>
    <mergeCell ref="Q54:Q55"/>
    <mergeCell ref="P44:P45"/>
    <mergeCell ref="Q44:Q45"/>
    <mergeCell ref="P46:P47"/>
    <mergeCell ref="Q46:Q47"/>
    <mergeCell ref="P48:P49"/>
    <mergeCell ref="Q48:Q49"/>
    <mergeCell ref="P78:P79"/>
    <mergeCell ref="Q78:Q79"/>
    <mergeCell ref="P80:P81"/>
    <mergeCell ref="Q80:Q81"/>
    <mergeCell ref="P82:P83"/>
    <mergeCell ref="Q82:Q83"/>
    <mergeCell ref="P72:P73"/>
    <mergeCell ref="Q72:Q73"/>
    <mergeCell ref="P74:P75"/>
    <mergeCell ref="Q74:Q75"/>
    <mergeCell ref="P76:P77"/>
    <mergeCell ref="Q76:Q77"/>
    <mergeCell ref="P66:P67"/>
    <mergeCell ref="Q66:Q67"/>
    <mergeCell ref="P68:P69"/>
    <mergeCell ref="Q68:Q69"/>
    <mergeCell ref="P70:P71"/>
    <mergeCell ref="Q70:Q71"/>
    <mergeCell ref="G11:Q11"/>
    <mergeCell ref="N6:Q10"/>
    <mergeCell ref="P108:P109"/>
    <mergeCell ref="Q108:Q109"/>
    <mergeCell ref="P110:P111"/>
    <mergeCell ref="Q110:Q111"/>
    <mergeCell ref="P112:P113"/>
    <mergeCell ref="Q112:Q113"/>
    <mergeCell ref="P102:P103"/>
    <mergeCell ref="Q102:Q103"/>
    <mergeCell ref="P104:P105"/>
    <mergeCell ref="Q104:Q105"/>
    <mergeCell ref="P106:P107"/>
    <mergeCell ref="Q106:Q107"/>
    <mergeCell ref="P96:P97"/>
    <mergeCell ref="Q96:Q97"/>
    <mergeCell ref="P98:P99"/>
    <mergeCell ref="Q98:Q99"/>
    <mergeCell ref="P100:P101"/>
    <mergeCell ref="Q100:Q101"/>
    <mergeCell ref="P90:P91"/>
    <mergeCell ref="Q90:Q91"/>
    <mergeCell ref="P92:P93"/>
    <mergeCell ref="Q92:Q93"/>
    <mergeCell ref="P94:P95"/>
    <mergeCell ref="Q94:Q95"/>
    <mergeCell ref="P84:P85"/>
    <mergeCell ref="Q84:Q85"/>
    <mergeCell ref="P86:P87"/>
    <mergeCell ref="Q86:Q87"/>
    <mergeCell ref="P88:P89"/>
    <mergeCell ref="Q88:Q89"/>
  </mergeCells>
  <conditionalFormatting sqref="J6">
    <cfRule type="cellIs" dxfId="69" priority="17" operator="greaterThanOrEqual">
      <formula>$C$5</formula>
    </cfRule>
    <cfRule type="cellIs" dxfId="68" priority="18" operator="lessThanOrEqual">
      <formula>$C$4</formula>
    </cfRule>
    <cfRule type="cellIs" dxfId="67" priority="19" operator="between">
      <formula>$C$5</formula>
      <formula>$C$4</formula>
    </cfRule>
  </conditionalFormatting>
  <conditionalFormatting sqref="I4">
    <cfRule type="cellIs" dxfId="66" priority="16" operator="lessThanOrEqual">
      <formula>$C$4</formula>
    </cfRule>
  </conditionalFormatting>
  <conditionalFormatting sqref="R6">
    <cfRule type="cellIs" dxfId="65" priority="13" operator="greaterThanOrEqual">
      <formula>$I$5</formula>
    </cfRule>
    <cfRule type="cellIs" dxfId="64" priority="14" operator="lessThanOrEqual">
      <formula>$I$4</formula>
    </cfRule>
    <cfRule type="cellIs" dxfId="63" priority="15" operator="between">
      <formula>$I$5</formula>
      <formula>$I$4</formula>
    </cfRule>
  </conditionalFormatting>
  <conditionalFormatting sqref="T14:T113">
    <cfRule type="cellIs" dxfId="62" priority="10" operator="greaterThanOrEqual">
      <formula>$C$5</formula>
    </cfRule>
    <cfRule type="cellIs" dxfId="61" priority="11" operator="lessThanOrEqual">
      <formula>$C$4</formula>
    </cfRule>
    <cfRule type="cellIs" dxfId="60" priority="12" operator="between">
      <formula>$C$5</formula>
      <formula>$C$4</formula>
    </cfRule>
  </conditionalFormatting>
  <conditionalFormatting sqref="Y6">
    <cfRule type="cellIs" dxfId="59" priority="7" operator="greaterThanOrEqual">
      <formula>$I$5</formula>
    </cfRule>
    <cfRule type="cellIs" dxfId="58" priority="8" operator="lessThanOrEqual">
      <formula>$I$4</formula>
    </cfRule>
    <cfRule type="cellIs" dxfId="57" priority="9" operator="between">
      <formula>$I$5</formula>
      <formula>$I$4</formula>
    </cfRule>
  </conditionalFormatting>
  <conditionalFormatting sqref="AG6">
    <cfRule type="cellIs" dxfId="56" priority="4" operator="greaterThanOrEqual">
      <formula>$I$5</formula>
    </cfRule>
    <cfRule type="cellIs" dxfId="55" priority="5" operator="lessThanOrEqual">
      <formula>$I$4</formula>
    </cfRule>
    <cfRule type="cellIs" dxfId="54" priority="6" operator="between">
      <formula>$I$5</formula>
      <formula>$I$4</formula>
    </cfRule>
  </conditionalFormatting>
  <conditionalFormatting sqref="AJ6">
    <cfRule type="cellIs" dxfId="53" priority="1" operator="greaterThanOrEqual">
      <formula>$I$5</formula>
    </cfRule>
    <cfRule type="cellIs" dxfId="52" priority="2" operator="lessThanOrEqual">
      <formula>$I$4</formula>
    </cfRule>
    <cfRule type="cellIs" dxfId="51" priority="3" operator="between">
      <formula>$I$5</formula>
      <formula>$I$4</formula>
    </cfRule>
  </conditionalFormatting>
  <dataValidations count="4">
    <dataValidation allowBlank="1" showErrorMessage="1" sqref="T14:T113" xr:uid="{4A1F63CC-23A9-4C82-AB9F-59CC5AC82840}"/>
    <dataValidation type="decimal" allowBlank="1" showInputMessage="1" showErrorMessage="1" prompt="% de avance en la actividad - indique el % programado de avance durante esta semana_x000a_" sqref="U14:W23 U25:U113 V25:W36 X14:AG36 V37:AG113" xr:uid="{3D26D235-6DEB-4658-ACD2-58B29B926DF1}">
      <formula1>0</formula1>
      <formula2>1</formula2>
    </dataValidation>
    <dataValidation type="decimal" allowBlank="1" showInputMessage="1" showErrorMessage="1" prompt="campo calculado  - indica el % de avance  que aporta la activadad a todo el proyecto" sqref="S23 S21 S19 S15 S17 S27 S25 S111 S29 S31 S33 S35 S37 S39 S41 S43 S45 S47 S49 S51 S53 S55 S57 S59 S61 S63 S65 S67 S69 S71 S73 S75 S77 S79 S81 S83 S85 S87 S89 S91 S93 S95 S97 S99 S101 S103 S105 S107 S109 S113" xr:uid="{9805FBE6-07B9-488D-86A6-D547000F6BC2}">
      <formula1>0</formula1>
      <formula2>1</formula2>
    </dataValidation>
    <dataValidation type="decimal" allowBlank="1" showInputMessage="1" showErrorMessage="1" prompt="valor porcentual de la activida - Indique el peso porcentual de la actividad dentro del proyecto" sqref="S14 S22 S18 S16 S20 S26 S24 S110 S28 S30 S32 S34 S36 S38 S40 S42 S44 S46 S48 S50 S52 S54 S56 S58 S60 S62 S64 S66 S68 S70 S72 S74 S76 S78 S80 S82 S84 S86 S88 S90 S92 S94 S96 S98 S100 S102 S104 S106 S108 S112" xr:uid="{1FCCBE25-3ED1-412D-99D4-C303D09A2096}">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7892123CF4D7C4FB09AA48E94BB7538" ma:contentTypeVersion="11" ma:contentTypeDescription="Crear nuevo documento." ma:contentTypeScope="" ma:versionID="41977f89bef8123b178cf1665e22d9c1">
  <xsd:schema xmlns:xsd="http://www.w3.org/2001/XMLSchema" xmlns:xs="http://www.w3.org/2001/XMLSchema" xmlns:p="http://schemas.microsoft.com/office/2006/metadata/properties" xmlns:ns2="8ce6af14-2be2-4709-91b6-2f3a9cd28922" xmlns:ns3="97b5bfc8-3b5c-405d-ada3-e8a0163fc5c3" targetNamespace="http://schemas.microsoft.com/office/2006/metadata/properties" ma:root="true" ma:fieldsID="f9ed264c33d71d485f42c599c6111492" ns2:_="" ns3:_="">
    <xsd:import namespace="8ce6af14-2be2-4709-91b6-2f3a9cd28922"/>
    <xsd:import namespace="97b5bfc8-3b5c-405d-ada3-e8a0163fc5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6af14-2be2-4709-91b6-2f3a9cd28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5bfc8-3b5c-405d-ada3-e8a0163fc5c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7C027B-CA08-4A2D-9F02-677C7EA941BC}"/>
</file>

<file path=customXml/itemProps2.xml><?xml version="1.0" encoding="utf-8"?>
<ds:datastoreItem xmlns:ds="http://schemas.openxmlformats.org/officeDocument/2006/customXml" ds:itemID="{A9943B97-CD7A-42ED-8C75-1A37F9160914}"/>
</file>

<file path=customXml/itemProps3.xml><?xml version="1.0" encoding="utf-8"?>
<ds:datastoreItem xmlns:ds="http://schemas.openxmlformats.org/officeDocument/2006/customXml" ds:itemID="{EDDDCD61-04C2-4D27-9D62-91C5586BA2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Diaz ariza</dc:creator>
  <cp:keywords/>
  <dc:description/>
  <cp:lastModifiedBy>JASON ARMANDO REYES</cp:lastModifiedBy>
  <cp:revision/>
  <dcterms:created xsi:type="dcterms:W3CDTF">2017-07-17T22:09:40Z</dcterms:created>
  <dcterms:modified xsi:type="dcterms:W3CDTF">2023-03-29T15:26:40Z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0x01010057892123CF4D7C4FB09AA48E94BB7538</vt:lpwstr>
  </property>
  <property fmtid="{D5CDD505-2E9C-101B-9397-08002B2CF9AE}" pid="3" name="MSIP_Label_4d7dcfcf-2f13-416d-bd85-85e5cda1e908_Enabled">
    <vt:lpwstr>true</vt:lpwstr>
  </property>
  <property fmtid="{D5CDD505-2E9C-101B-9397-08002B2CF9AE}" pid="4" name="MSIP_Label_4d7dcfcf-2f13-416d-bd85-85e5cda1e908_SetDate">
    <vt:lpwstr>2023-01-31T01:19:19Z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c0ec5559-fd95-4dfc-98a7-4f38b6a791dd</vt:lpwstr>
  </property>
  <property fmtid="{D5CDD505-2E9C-101B-9397-08002B2CF9AE}" pid="9" name="MSIP_Label_4d7dcfcf-2f13-416d-bd85-85e5cda1e908_ContentBits">
    <vt:lpwstr>2</vt:lpwstr>
  </property>
</Properties>
</file>