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threadedComments/threadedComment1.xml" ContentType="application/vnd.ms-excel.threadedcomments+xml"/>
  <Override PartName="/xl/drawings/drawing8.xml" ContentType="application/vnd.openxmlformats-officedocument.drawing+xml"/>
  <Override PartName="/xl/comments5.xml" ContentType="application/vnd.openxmlformats-officedocument.spreadsheetml.comments+xml"/>
  <Override PartName="/xl/drawings/drawing9.xml" ContentType="application/vnd.openxmlformats-officedocument.drawing+xml"/>
  <Override PartName="/xl/comments6.xml" ContentType="application/vnd.openxmlformats-officedocument.spreadsheetml.comments+xml"/>
  <Override PartName="/xl/drawings/drawing10.xml" ContentType="application/vnd.openxmlformats-officedocument.drawing+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omments9.xml" ContentType="application/vnd.openxmlformats-officedocument.spreadsheetml.comments+xml"/>
  <Override PartName="/xl/drawings/drawing14.xml" ContentType="application/vnd.openxmlformats-officedocument.drawing+xml"/>
  <Override PartName="/xl/comments10.xml" ContentType="application/vnd.openxmlformats-officedocument.spreadsheetml.comments+xml"/>
  <Override PartName="/xl/drawings/drawing15.xml" ContentType="application/vnd.openxmlformats-officedocument.drawing+xml"/>
  <Override PartName="/xl/comments1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REYESAJA\OneDrive - laprevisora\Backup Jason\2026\FEBRERO\PROCESOS\"/>
    </mc:Choice>
  </mc:AlternateContent>
  <xr:revisionPtr revIDLastSave="0" documentId="8_{62924DED-6D2D-4B3A-9923-CB458C3F26F5}" xr6:coauthVersionLast="47" xr6:coauthVersionMax="47" xr10:uidLastSave="{00000000-0000-0000-0000-000000000000}"/>
  <bookViews>
    <workbookView xWindow="-110" yWindow="-110" windowWidth="19420" windowHeight="11500" tabRatio="727" xr2:uid="{00000000-000D-0000-FFFF-FFFF00000000}"/>
  </bookViews>
  <sheets>
    <sheet name="INICIO" sheetId="18" r:id="rId1"/>
    <sheet name="EJECUCIÓN" sheetId="22" state="hidden" r:id="rId2"/>
    <sheet name="TABLERO DE CONTROL" sheetId="21" state="hidden" r:id="rId3"/>
    <sheet name="02. SECTORIAL" sheetId="2" r:id="rId4"/>
    <sheet name="03. INSTITUCIONAL" sheetId="13" r:id="rId5"/>
    <sheet name="04. PINAR" sheetId="12" r:id="rId6"/>
    <sheet name="05. PAA" sheetId="15" r:id="rId7"/>
    <sheet name="06. PETH" sheetId="16" r:id="rId8"/>
    <sheet name="07. PIC" sheetId="9" r:id="rId9"/>
    <sheet name="08. PII" sheetId="19" r:id="rId10"/>
    <sheet name="09. PSST" sheetId="7" r:id="rId11"/>
    <sheet name="10 PTEP" sheetId="17" r:id="rId12"/>
    <sheet name="11.PETI" sheetId="23" r:id="rId13"/>
    <sheet name="12. PTRSPI" sheetId="6" r:id="rId14"/>
    <sheet name="Hoja1" sheetId="3" state="hidden" r:id="rId15"/>
    <sheet name="13.PSPI" sheetId="8" r:id="rId16"/>
  </sheets>
  <externalReferences>
    <externalReference r:id="rId17"/>
  </externalReferences>
  <definedNames>
    <definedName name="_xlnm._FilterDatabase" localSheetId="3" hidden="1">'02. SECTORIAL'!$A$12:$AH$31</definedName>
    <definedName name="_xlnm._FilterDatabase" localSheetId="4" hidden="1">'03. INSTITUCIONAL'!$D$12:$I$39</definedName>
    <definedName name="_xlnm._FilterDatabase" localSheetId="5" hidden="1">'04. PINAR'!$A$13:$AI$13</definedName>
    <definedName name="_xlnm._FilterDatabase" localSheetId="6" hidden="1">'05. PAA'!$A$11:$S$481</definedName>
    <definedName name="_xlnm._FilterDatabase" localSheetId="8" hidden="1">'07. PIC'!$A$13:$AO$13</definedName>
    <definedName name="_xlnm._FilterDatabase" localSheetId="9" hidden="1">'08. PII'!$A$13:$AQ$88</definedName>
    <definedName name="_xlnm._FilterDatabase" localSheetId="10" hidden="1">'09. PSST'!$A$1:$AK$83</definedName>
    <definedName name="_xlnm._FilterDatabase" localSheetId="11" hidden="1">'10 PTEP'!$C$39:$AE$115</definedName>
    <definedName name="_xlnm._FilterDatabase" localSheetId="15" hidden="1">'13.PSPI'!$A$13:$AI$21</definedName>
    <definedName name="Acciones_Categoría_3">#REF!</definedName>
    <definedName name="Admin">#REF!</definedName>
    <definedName name="Agricultura" localSheetId="12">#REF!</definedName>
    <definedName name="Agricultura" localSheetId="0">#REF!</definedName>
    <definedName name="Agricultura" localSheetId="2">#REF!</definedName>
    <definedName name="Agricultura">#REF!</definedName>
    <definedName name="Agricultura_y_Desarrollo_Rural" localSheetId="12">#REF!</definedName>
    <definedName name="Agricultura_y_Desarrollo_Rural" localSheetId="0">#REF!</definedName>
    <definedName name="Agricultura_y_Desarrollo_Rural" localSheetId="2">#REF!</definedName>
    <definedName name="Agricultura_y_Desarrollo_Rural">#REF!</definedName>
    <definedName name="Ambiental">#REF!</definedName>
    <definedName name="ambiente" localSheetId="12">#REF!</definedName>
    <definedName name="ambiente" localSheetId="0">#REF!</definedName>
    <definedName name="ambiente" localSheetId="2">#REF!</definedName>
    <definedName name="ambiente">#REF!</definedName>
    <definedName name="Ambiente_y_Desarrollo_Sostenible" localSheetId="12">#REF!</definedName>
    <definedName name="Ambiente_y_Desarrollo_Sostenible" localSheetId="0">#REF!</definedName>
    <definedName name="Ambiente_y_Desarrollo_Sostenible" localSheetId="2">#REF!</definedName>
    <definedName name="Ambiente_y_Desarrollo_Sostenible">#REF!</definedName>
    <definedName name="_xlnm.Print_Area" localSheetId="4">'03. INSTITUCIONAL'!$A$1:$AK$40</definedName>
    <definedName name="_xlnm.Print_Area" localSheetId="5">'04. PINAR'!$A$1:$O$29</definedName>
    <definedName name="_xlnm.Print_Area" localSheetId="6">'05. PAA'!$A$1:$U$481</definedName>
    <definedName name="_xlnm.Print_Area" localSheetId="7">'06. PETH'!$A$1:$N$22</definedName>
    <definedName name="_xlnm.Print_Area" localSheetId="8">'07. PIC'!$A$1:$AO$33</definedName>
    <definedName name="_xlnm.Print_Area" localSheetId="9">'08. PII'!$A$1:$Q$106</definedName>
    <definedName name="_xlnm.Print_Area" localSheetId="10">'09. PSST'!$A$1:$Q$117</definedName>
    <definedName name="_xlnm.Print_Area" localSheetId="11">'10 PTEP'!$A$1:$AE$178</definedName>
    <definedName name="_xlnm.Print_Area" localSheetId="12">'11.PETI'!$A$1:$AJ$37</definedName>
    <definedName name="_xlnm.Print_Area" localSheetId="0">INICIO!$A$1:$EX$79</definedName>
    <definedName name="_xlnm.Print_Area" localSheetId="2">'TABLERO DE CONTROL'!$A$1:$EI$77</definedName>
    <definedName name="Ciencia__Tecnología_e_innovación" localSheetId="12">#REF!</definedName>
    <definedName name="Ciencia__Tecnología_e_innovación" localSheetId="0">#REF!</definedName>
    <definedName name="Ciencia__Tecnología_e_innovación" localSheetId="2">#REF!</definedName>
    <definedName name="Ciencia__Tecnología_e_innovación">#REF!</definedName>
    <definedName name="clases1">#REF!</definedName>
    <definedName name="Comercio__Industria_y_Turismo" localSheetId="12">#REF!</definedName>
    <definedName name="Comercio__Industria_y_Turismo" localSheetId="0">#REF!</definedName>
    <definedName name="Comercio__Industria_y_Turismo" localSheetId="2">#REF!</definedName>
    <definedName name="Comercio__Industria_y_Turismo">#REF!</definedName>
    <definedName name="fuente">Hoja1!$C$4:$C$6</definedName>
    <definedName name="inversión">Hoja1!$F$4:$F$11</definedName>
    <definedName name="nindicador">#REF!</definedName>
    <definedName name="nivel">#REF!</definedName>
    <definedName name="Nombre" localSheetId="12">#REF!</definedName>
    <definedName name="Nombre" localSheetId="0">#REF!</definedName>
    <definedName name="Nombre" localSheetId="2">#REF!</definedName>
    <definedName name="Nombre">#REF!</definedName>
    <definedName name="objetivo">Hoja1!$I$4:$I$13</definedName>
    <definedName name="PF" localSheetId="12">#REF!</definedName>
    <definedName name="PF" localSheetId="0">#REF!</definedName>
    <definedName name="PF" localSheetId="2">#REF!</definedName>
    <definedName name="PF">#REF!</definedName>
    <definedName name="Requiere_VF">[1]Listas!$L$2:$L$3</definedName>
    <definedName name="Simulador">#REF!</definedName>
    <definedName name="Tipo_acumulación">#REF!</definedName>
    <definedName name="Tipo_indicador">#REF!</definedName>
    <definedName name="Tipos">#REF!</definedName>
    <definedName name="vice">#REF!</definedName>
    <definedName name="vpauto" localSheetId="12">#REF!</definedName>
    <definedName name="vpauto" localSheetId="0">#REF!</definedName>
    <definedName name="vpauto" localSheetId="2">#REF!</definedName>
    <definedName name="vpaut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5" i="23" l="1"/>
  <c r="J34" i="23"/>
  <c r="AC32" i="23"/>
  <c r="Q32" i="23"/>
  <c r="AC31" i="23"/>
  <c r="Q31" i="23"/>
  <c r="AC30" i="23"/>
  <c r="Y30" i="23"/>
  <c r="U30" i="23"/>
  <c r="Q30" i="23"/>
  <c r="AC29" i="23"/>
  <c r="Y29" i="23"/>
  <c r="U29" i="23"/>
  <c r="Q29" i="23"/>
  <c r="AE28" i="23"/>
  <c r="AD28" i="23"/>
  <c r="AC28" i="23"/>
  <c r="AB28" i="23"/>
  <c r="AA28" i="23"/>
  <c r="Z28" i="23"/>
  <c r="Y28" i="23"/>
  <c r="X28" i="23"/>
  <c r="W28" i="23"/>
  <c r="V28" i="23"/>
  <c r="U28" i="23"/>
  <c r="T28" i="23"/>
  <c r="S28" i="23"/>
  <c r="R28" i="23"/>
  <c r="Q28" i="23"/>
  <c r="P28" i="23"/>
  <c r="AE27" i="23"/>
  <c r="AD27" i="23"/>
  <c r="AC27" i="23"/>
  <c r="AB27" i="23"/>
  <c r="AA27" i="23"/>
  <c r="Z27" i="23"/>
  <c r="Y27" i="23"/>
  <c r="X27" i="23"/>
  <c r="W27" i="23"/>
  <c r="V27" i="23"/>
  <c r="U27" i="23"/>
  <c r="T27" i="23"/>
  <c r="S27" i="23"/>
  <c r="R27" i="23"/>
  <c r="Q27" i="23"/>
  <c r="P27" i="23"/>
  <c r="AC26" i="23"/>
  <c r="AI6" i="23"/>
  <c r="AF6" i="23"/>
  <c r="X6" i="23"/>
  <c r="Q6" i="23"/>
  <c r="J6" i="23"/>
  <c r="G6" i="23"/>
  <c r="J36" i="23" l="1"/>
  <c r="S108" i="17"/>
  <c r="S110" i="17"/>
  <c r="S112" i="17"/>
  <c r="S114" i="17"/>
  <c r="T25" i="19" l="1"/>
  <c r="T24" i="19"/>
  <c r="T27" i="19"/>
  <c r="T26" i="19"/>
  <c r="T29" i="19"/>
  <c r="T28" i="19"/>
  <c r="X27" i="9"/>
  <c r="AD26" i="9" s="1"/>
  <c r="X26" i="9" s="1"/>
  <c r="W27" i="9"/>
  <c r="X29" i="9"/>
  <c r="AD28" i="9" s="1"/>
  <c r="X28" i="9" s="1"/>
  <c r="W29" i="9"/>
  <c r="X31" i="9"/>
  <c r="AD30" i="9" s="1"/>
  <c r="X30" i="9" s="1"/>
  <c r="W31" i="9"/>
  <c r="X33" i="9"/>
  <c r="AD32" i="9" s="1"/>
  <c r="X32" i="9" s="1"/>
  <c r="W33" i="9"/>
  <c r="W26" i="9" l="1"/>
  <c r="W28" i="9"/>
  <c r="W30" i="9"/>
  <c r="W32" i="9"/>
  <c r="R29" i="12"/>
  <c r="Q29" i="12"/>
  <c r="R28" i="12"/>
  <c r="R27" i="12"/>
  <c r="Q27" i="12"/>
  <c r="R26" i="12"/>
  <c r="Q26" i="12" l="1"/>
  <c r="Q28" i="12"/>
  <c r="S17" i="13"/>
  <c r="R17" i="13"/>
  <c r="S16" i="13"/>
  <c r="R16" i="13" l="1"/>
  <c r="Q23" i="2"/>
  <c r="P23" i="2"/>
  <c r="Q22" i="2"/>
  <c r="P22" i="2" l="1"/>
  <c r="AH6" i="8"/>
  <c r="V6" i="16"/>
  <c r="P6" i="6"/>
  <c r="AG6" i="2"/>
  <c r="P31" i="2"/>
  <c r="P29" i="2"/>
  <c r="P27" i="2"/>
  <c r="P25" i="2"/>
  <c r="P21" i="2"/>
  <c r="P19" i="2"/>
  <c r="P17" i="2"/>
  <c r="P15" i="2"/>
  <c r="G6" i="2" l="1"/>
  <c r="T24" i="7"/>
  <c r="Q30" i="2"/>
  <c r="P30" i="2" s="1"/>
  <c r="Q31" i="2"/>
  <c r="H6" i="15"/>
  <c r="AG7" i="22" s="1"/>
  <c r="R6" i="15"/>
  <c r="AI7" i="22" s="1"/>
  <c r="N6" i="15"/>
  <c r="AH7" i="22" s="1"/>
  <c r="AK13" i="22"/>
  <c r="AK7" i="22"/>
  <c r="AJ7" i="22"/>
  <c r="AJ6" i="7" l="1"/>
  <c r="AK10" i="22" s="1"/>
  <c r="AG6" i="7"/>
  <c r="AJ10" i="22" s="1"/>
  <c r="AE6" i="8"/>
  <c r="AJ14" i="22" s="1"/>
  <c r="AK14" i="22"/>
  <c r="AE6" i="12"/>
  <c r="AJ5" i="22" s="1"/>
  <c r="AJ12" i="22"/>
  <c r="AD6" i="2"/>
  <c r="AJ3" i="22" s="1"/>
  <c r="O6" i="2" l="1"/>
  <c r="S83" i="7"/>
  <c r="S81" i="7"/>
  <c r="S79" i="7"/>
  <c r="S77" i="7"/>
  <c r="S75" i="7"/>
  <c r="S73" i="7"/>
  <c r="S71" i="7"/>
  <c r="S69" i="7"/>
  <c r="S67" i="7"/>
  <c r="S65" i="7"/>
  <c r="S63" i="7"/>
  <c r="S61" i="7"/>
  <c r="S59" i="7"/>
  <c r="S57" i="7"/>
  <c r="S55" i="7"/>
  <c r="S53" i="7"/>
  <c r="S51" i="7"/>
  <c r="S49" i="7"/>
  <c r="S47" i="7"/>
  <c r="S45" i="7"/>
  <c r="S43" i="7"/>
  <c r="S41" i="7"/>
  <c r="S39" i="7"/>
  <c r="S37" i="7"/>
  <c r="S35" i="7"/>
  <c r="S33" i="7"/>
  <c r="S31" i="7"/>
  <c r="S29" i="7"/>
  <c r="S27" i="7"/>
  <c r="S25" i="7"/>
  <c r="S23" i="7"/>
  <c r="S21" i="7"/>
  <c r="S19" i="7"/>
  <c r="S17" i="7"/>
  <c r="S15" i="7"/>
  <c r="P6" i="16"/>
  <c r="AI6" i="22" s="1"/>
  <c r="V6" i="2"/>
  <c r="AI3" i="22" s="1"/>
  <c r="AK12" i="22"/>
  <c r="AH12" i="22"/>
  <c r="AI12" i="22"/>
  <c r="AD22" i="9"/>
  <c r="Q25" i="12"/>
  <c r="X21" i="9"/>
  <c r="AD20" i="9" s="1"/>
  <c r="X20" i="9" s="1"/>
  <c r="X19" i="9"/>
  <c r="AD18" i="9" s="1"/>
  <c r="X18" i="9" s="1"/>
  <c r="X17" i="9"/>
  <c r="AD16" i="9" s="1"/>
  <c r="X16" i="9" s="1"/>
  <c r="T16" i="19"/>
  <c r="Q6" i="19"/>
  <c r="AI9" i="22" s="1"/>
  <c r="R6" i="7"/>
  <c r="AH10" i="22" s="1"/>
  <c r="Y6" i="7"/>
  <c r="AI10" i="22" s="1"/>
  <c r="W6" i="8"/>
  <c r="AI14" i="22" s="1"/>
  <c r="Q20" i="2"/>
  <c r="T14" i="19"/>
  <c r="W6" i="12"/>
  <c r="AI5" i="22" s="1"/>
  <c r="P6" i="8"/>
  <c r="AH14" i="22" s="1"/>
  <c r="R21" i="8"/>
  <c r="Q21" i="8"/>
  <c r="R20" i="8"/>
  <c r="R19" i="8"/>
  <c r="Q19" i="8"/>
  <c r="R18" i="8"/>
  <c r="R17" i="8"/>
  <c r="Q17" i="8"/>
  <c r="R16" i="8"/>
  <c r="Q15" i="8"/>
  <c r="X6" i="19"/>
  <c r="AK9" i="22" s="1"/>
  <c r="T31" i="19"/>
  <c r="T30" i="19"/>
  <c r="T23" i="19"/>
  <c r="T22" i="19"/>
  <c r="T21" i="19"/>
  <c r="T20" i="19"/>
  <c r="T19" i="19"/>
  <c r="T18" i="19"/>
  <c r="T17" i="19"/>
  <c r="T15" i="19"/>
  <c r="AM40" i="17"/>
  <c r="AC40" i="17"/>
  <c r="AL40" i="17" s="1"/>
  <c r="Z40" i="17"/>
  <c r="AJ40" i="17" s="1"/>
  <c r="W40" i="17"/>
  <c r="AH40" i="17"/>
  <c r="AK40" i="17"/>
  <c r="X40" i="17"/>
  <c r="AI40" i="17" s="1"/>
  <c r="P6" i="12"/>
  <c r="AH5" i="22" s="1"/>
  <c r="G6" i="8" l="1"/>
  <c r="Q16" i="8"/>
  <c r="Q20" i="8"/>
  <c r="Q18" i="8"/>
  <c r="G6" i="19"/>
  <c r="XFD9" i="21"/>
  <c r="AH3" i="22"/>
  <c r="G6" i="7"/>
  <c r="S106" i="17"/>
  <c r="T30" i="7"/>
  <c r="AH6" i="12"/>
  <c r="AK5" i="22" s="1"/>
  <c r="J6" i="19" l="1"/>
  <c r="AG9" i="22" s="1"/>
  <c r="AA56" i="17"/>
  <c r="AK56" i="17" s="1"/>
  <c r="AK116" i="17" s="1"/>
  <c r="W56" i="17"/>
  <c r="AD56" i="17"/>
  <c r="AM56" i="17" s="1"/>
  <c r="AM116" i="17" s="1"/>
  <c r="AC56" i="17"/>
  <c r="AL56" i="17" s="1"/>
  <c r="AL116" i="17" s="1"/>
  <c r="X56" i="17"/>
  <c r="AI56" i="17" s="1"/>
  <c r="AI116" i="17" s="1"/>
  <c r="Z56" i="17"/>
  <c r="AJ56" i="17" s="1"/>
  <c r="AJ116" i="17" s="1"/>
  <c r="AK3" i="22"/>
  <c r="Q19" i="6"/>
  <c r="P19" i="6"/>
  <c r="Q18" i="6"/>
  <c r="Q17" i="6"/>
  <c r="P17" i="6"/>
  <c r="Q16" i="6"/>
  <c r="P15" i="6"/>
  <c r="T83" i="7"/>
  <c r="T82" i="7"/>
  <c r="S82" i="7" s="1"/>
  <c r="T81" i="7"/>
  <c r="T80" i="7"/>
  <c r="S80" i="7" s="1"/>
  <c r="T79" i="7"/>
  <c r="T78" i="7"/>
  <c r="S78" i="7" s="1"/>
  <c r="T77" i="7"/>
  <c r="T76" i="7"/>
  <c r="S76" i="7" s="1"/>
  <c r="T75" i="7"/>
  <c r="T74" i="7"/>
  <c r="S74" i="7" s="1"/>
  <c r="T73" i="7"/>
  <c r="T72" i="7"/>
  <c r="S72" i="7" s="1"/>
  <c r="T71" i="7"/>
  <c r="T70" i="7"/>
  <c r="S70" i="7" s="1"/>
  <c r="T69" i="7"/>
  <c r="T68" i="7"/>
  <c r="T67" i="7"/>
  <c r="T66" i="7"/>
  <c r="S66" i="7" s="1"/>
  <c r="T65" i="7"/>
  <c r="T64" i="7"/>
  <c r="S64" i="7" s="1"/>
  <c r="T63" i="7"/>
  <c r="T62" i="7"/>
  <c r="S62" i="7" s="1"/>
  <c r="T61" i="7"/>
  <c r="T60" i="7"/>
  <c r="S60" i="7" s="1"/>
  <c r="T59" i="7"/>
  <c r="T58" i="7"/>
  <c r="S58" i="7" s="1"/>
  <c r="T57" i="7"/>
  <c r="T56" i="7"/>
  <c r="S56" i="7" s="1"/>
  <c r="T55" i="7"/>
  <c r="T54" i="7"/>
  <c r="T53" i="7"/>
  <c r="T52" i="7"/>
  <c r="S52" i="7" s="1"/>
  <c r="T51" i="7"/>
  <c r="T50" i="7"/>
  <c r="T49" i="7"/>
  <c r="T48" i="7"/>
  <c r="S48" i="7" s="1"/>
  <c r="T47" i="7"/>
  <c r="T46" i="7"/>
  <c r="T45" i="7"/>
  <c r="T44" i="7"/>
  <c r="S44" i="7" s="1"/>
  <c r="T43" i="7"/>
  <c r="T42" i="7"/>
  <c r="T41" i="7"/>
  <c r="T40" i="7"/>
  <c r="S40" i="7" s="1"/>
  <c r="T39" i="7"/>
  <c r="T38" i="7"/>
  <c r="S38" i="7" s="1"/>
  <c r="T37" i="7"/>
  <c r="T36" i="7"/>
  <c r="S36" i="7" s="1"/>
  <c r="T35" i="7"/>
  <c r="T34" i="7"/>
  <c r="S34" i="7" s="1"/>
  <c r="T33" i="7"/>
  <c r="T32" i="7"/>
  <c r="S32" i="7" s="1"/>
  <c r="T31" i="7"/>
  <c r="S30" i="7"/>
  <c r="T29" i="7"/>
  <c r="T28" i="7"/>
  <c r="S28" i="7" s="1"/>
  <c r="T27" i="7"/>
  <c r="T26" i="7"/>
  <c r="S26" i="7" s="1"/>
  <c r="T25" i="7"/>
  <c r="S24" i="7"/>
  <c r="T23" i="7"/>
  <c r="T22" i="7"/>
  <c r="S22" i="7" s="1"/>
  <c r="T21" i="7"/>
  <c r="T20" i="7"/>
  <c r="S20" i="7" s="1"/>
  <c r="T19" i="7"/>
  <c r="T18" i="7"/>
  <c r="S18" i="7" s="1"/>
  <c r="T17" i="7"/>
  <c r="T16" i="7"/>
  <c r="S16" i="7" s="1"/>
  <c r="X25" i="9"/>
  <c r="AD24" i="9" s="1"/>
  <c r="W25" i="9"/>
  <c r="W23" i="9"/>
  <c r="X22" i="9"/>
  <c r="W21" i="9"/>
  <c r="W20" i="9" s="1"/>
  <c r="W19" i="9"/>
  <c r="W17" i="9"/>
  <c r="W16" i="9" s="1"/>
  <c r="W15" i="9"/>
  <c r="AK6" i="22"/>
  <c r="Q21" i="16"/>
  <c r="P21" i="16"/>
  <c r="Q20" i="16"/>
  <c r="Q19" i="16"/>
  <c r="P19" i="16"/>
  <c r="Q18" i="16"/>
  <c r="Q17" i="16"/>
  <c r="P17" i="16"/>
  <c r="Q16" i="16"/>
  <c r="P15" i="16"/>
  <c r="J39" i="16"/>
  <c r="J38" i="16"/>
  <c r="Q15" i="16"/>
  <c r="Q14" i="16"/>
  <c r="R25" i="12"/>
  <c r="R24" i="12"/>
  <c r="Q24" i="12" s="1"/>
  <c r="R23" i="12"/>
  <c r="Q23" i="12"/>
  <c r="R22" i="12"/>
  <c r="R21" i="12"/>
  <c r="Q21" i="12"/>
  <c r="R20" i="12"/>
  <c r="R19" i="12"/>
  <c r="Q19" i="12"/>
  <c r="R18" i="12"/>
  <c r="R17" i="12"/>
  <c r="Q17" i="12"/>
  <c r="R16" i="12"/>
  <c r="Q15" i="12"/>
  <c r="S39" i="13"/>
  <c r="R39" i="13"/>
  <c r="S38" i="13"/>
  <c r="S37" i="13"/>
  <c r="R37" i="13"/>
  <c r="S36" i="13"/>
  <c r="S35" i="13"/>
  <c r="R35" i="13"/>
  <c r="S34" i="13"/>
  <c r="R15" i="13"/>
  <c r="S15" i="13"/>
  <c r="S14" i="13"/>
  <c r="J43" i="12"/>
  <c r="J42" i="12"/>
  <c r="R15" i="12"/>
  <c r="R14" i="12"/>
  <c r="J46" i="9"/>
  <c r="J45" i="9"/>
  <c r="X15" i="9"/>
  <c r="AD14" i="9" s="1"/>
  <c r="K39" i="8"/>
  <c r="K38" i="8"/>
  <c r="R15" i="8"/>
  <c r="R14" i="8"/>
  <c r="T15" i="7"/>
  <c r="T14" i="7"/>
  <c r="J37" i="6"/>
  <c r="J36" i="6"/>
  <c r="Q15" i="6"/>
  <c r="Q14" i="6"/>
  <c r="Q16" i="2"/>
  <c r="Q17" i="2"/>
  <c r="Q18" i="2"/>
  <c r="P18" i="2" s="1"/>
  <c r="Q19" i="2"/>
  <c r="Q21" i="2"/>
  <c r="Q24" i="2"/>
  <c r="Q25" i="2"/>
  <c r="Q26" i="2"/>
  <c r="Q27" i="2"/>
  <c r="Q28" i="2"/>
  <c r="Q29" i="2"/>
  <c r="Q14" i="2"/>
  <c r="P14" i="2" s="1"/>
  <c r="Q15" i="2"/>
  <c r="P20" i="2"/>
  <c r="P18" i="6" l="1"/>
  <c r="G6" i="6"/>
  <c r="Q20" i="12"/>
  <c r="P14" i="6"/>
  <c r="P16" i="16"/>
  <c r="P20" i="16"/>
  <c r="J44" i="12"/>
  <c r="P16" i="6"/>
  <c r="G6" i="16"/>
  <c r="Q18" i="12"/>
  <c r="P14" i="16"/>
  <c r="J40" i="16"/>
  <c r="P18" i="16"/>
  <c r="W22" i="9"/>
  <c r="G6" i="9"/>
  <c r="P6" i="9"/>
  <c r="AI8" i="22" s="1"/>
  <c r="AH56" i="17"/>
  <c r="AH116" i="17" s="1"/>
  <c r="AM117" i="17"/>
  <c r="R36" i="13"/>
  <c r="G6" i="13"/>
  <c r="R34" i="13"/>
  <c r="R38" i="13"/>
  <c r="P26" i="2"/>
  <c r="P16" i="2"/>
  <c r="P24" i="2"/>
  <c r="X24" i="9"/>
  <c r="W24" i="9" s="1"/>
  <c r="AK117" i="17"/>
  <c r="S42" i="7"/>
  <c r="S46" i="7"/>
  <c r="S50" i="7"/>
  <c r="S54" i="7"/>
  <c r="S68" i="7"/>
  <c r="Q22" i="12"/>
  <c r="Q16" i="12"/>
  <c r="Y27" i="8"/>
  <c r="AB28" i="8" s="1"/>
  <c r="S23" i="8"/>
  <c r="Y23" i="8"/>
  <c r="AB24" i="8" s="1"/>
  <c r="S27" i="8"/>
  <c r="AD27" i="8"/>
  <c r="Q14" i="8"/>
  <c r="K40" i="8"/>
  <c r="J38" i="6"/>
  <c r="AB25" i="6"/>
  <c r="X21" i="6"/>
  <c r="AA22" i="6" s="1"/>
  <c r="AC25" i="6"/>
  <c r="X25" i="6"/>
  <c r="AA26" i="6" s="1"/>
  <c r="R25" i="6"/>
  <c r="R21" i="6"/>
  <c r="AG12" i="22"/>
  <c r="S14" i="7"/>
  <c r="W18" i="9"/>
  <c r="AH34" i="9"/>
  <c r="AJ34" i="9"/>
  <c r="AE34" i="9"/>
  <c r="AH35" i="9" s="1"/>
  <c r="AH40" i="9" s="1"/>
  <c r="Y34" i="9"/>
  <c r="J47" i="9"/>
  <c r="AC27" i="16"/>
  <c r="AC23" i="16"/>
  <c r="R23" i="16"/>
  <c r="X23" i="16"/>
  <c r="AA24" i="16" s="1"/>
  <c r="X27" i="16"/>
  <c r="AA28" i="16" s="1"/>
  <c r="S23" i="16"/>
  <c r="Y23" i="16"/>
  <c r="S27" i="16"/>
  <c r="Y27" i="16"/>
  <c r="T23" i="16"/>
  <c r="W24" i="16" s="1"/>
  <c r="Z23" i="16"/>
  <c r="T27" i="16"/>
  <c r="W28" i="16" s="1"/>
  <c r="Z27" i="16"/>
  <c r="AA23" i="16"/>
  <c r="R27" i="16"/>
  <c r="O23" i="16"/>
  <c r="O24" i="16" s="1"/>
  <c r="U23" i="16"/>
  <c r="O27" i="16"/>
  <c r="O28" i="16" s="1"/>
  <c r="O29" i="16" s="1"/>
  <c r="U27" i="16"/>
  <c r="AA27" i="16"/>
  <c r="P23" i="16"/>
  <c r="S24" i="16" s="1"/>
  <c r="V23" i="16"/>
  <c r="AB23" i="16"/>
  <c r="P27" i="16"/>
  <c r="S28" i="16" s="1"/>
  <c r="V27" i="16"/>
  <c r="AB27" i="16"/>
  <c r="Q23" i="16"/>
  <c r="W23" i="16"/>
  <c r="Q27" i="16"/>
  <c r="W27" i="16"/>
  <c r="AD31" i="12"/>
  <c r="Y31" i="12"/>
  <c r="AB32" i="12" s="1"/>
  <c r="G6" i="12"/>
  <c r="S31" i="12"/>
  <c r="P40" i="12"/>
  <c r="T31" i="12"/>
  <c r="Z31" i="12"/>
  <c r="O31" i="12"/>
  <c r="J31" i="12" s="1"/>
  <c r="P31" i="12"/>
  <c r="P32" i="12" s="1"/>
  <c r="P33" i="12" s="1"/>
  <c r="V31" i="12"/>
  <c r="AB31" i="12"/>
  <c r="Q31" i="12"/>
  <c r="T32" i="12" s="1"/>
  <c r="W31" i="12"/>
  <c r="AC31" i="12"/>
  <c r="U31" i="12"/>
  <c r="X32" i="12" s="1"/>
  <c r="AA31" i="12"/>
  <c r="Q14" i="12"/>
  <c r="R31" i="12"/>
  <c r="X31" i="12"/>
  <c r="R14" i="13"/>
  <c r="O36" i="12"/>
  <c r="Z34" i="9"/>
  <c r="AF34" i="9"/>
  <c r="O34" i="9"/>
  <c r="J34" i="9" s="1"/>
  <c r="AA34" i="9"/>
  <c r="AD35" i="9" s="1"/>
  <c r="AG34" i="9"/>
  <c r="V34" i="9"/>
  <c r="V35" i="9" s="1"/>
  <c r="V36" i="9" s="1"/>
  <c r="AB34" i="9"/>
  <c r="W34" i="9"/>
  <c r="Z35" i="9" s="1"/>
  <c r="AC34" i="9"/>
  <c r="AI34" i="9"/>
  <c r="X34" i="9"/>
  <c r="AD34" i="9"/>
  <c r="T23" i="8"/>
  <c r="Z23" i="8"/>
  <c r="T27" i="8"/>
  <c r="Z27" i="8"/>
  <c r="O23" i="8"/>
  <c r="U23" i="8"/>
  <c r="X24" i="8" s="1"/>
  <c r="AA23" i="8"/>
  <c r="O27" i="8"/>
  <c r="K27" i="8" s="1"/>
  <c r="U27" i="8"/>
  <c r="X28" i="8" s="1"/>
  <c r="AA27" i="8"/>
  <c r="P23" i="8"/>
  <c r="P24" i="8" s="1"/>
  <c r="V23" i="8"/>
  <c r="AB23" i="8"/>
  <c r="P27" i="8"/>
  <c r="P28" i="8" s="1"/>
  <c r="P29" i="8" s="1"/>
  <c r="V27" i="8"/>
  <c r="AB27" i="8"/>
  <c r="Q23" i="8"/>
  <c r="T24" i="8" s="1"/>
  <c r="W23" i="8"/>
  <c r="AC23" i="8"/>
  <c r="Q27" i="8"/>
  <c r="T28" i="8" s="1"/>
  <c r="W27" i="8"/>
  <c r="AC27" i="8"/>
  <c r="R23" i="8"/>
  <c r="X23" i="8"/>
  <c r="AD23" i="8"/>
  <c r="R27" i="8"/>
  <c r="X27" i="8"/>
  <c r="S21" i="6"/>
  <c r="S25" i="6"/>
  <c r="Y25" i="6"/>
  <c r="T21" i="6"/>
  <c r="W22" i="6" s="1"/>
  <c r="Z21" i="6"/>
  <c r="T25" i="6"/>
  <c r="W26" i="6" s="1"/>
  <c r="Z25" i="6"/>
  <c r="O21" i="6"/>
  <c r="O22" i="6" s="1"/>
  <c r="U21" i="6"/>
  <c r="AA21" i="6"/>
  <c r="O25" i="6"/>
  <c r="O26" i="6" s="1"/>
  <c r="O27" i="6" s="1"/>
  <c r="U25" i="6"/>
  <c r="AA25" i="6"/>
  <c r="P21" i="6"/>
  <c r="S22" i="6" s="1"/>
  <c r="V21" i="6"/>
  <c r="AB21" i="6"/>
  <c r="P25" i="6"/>
  <c r="S26" i="6" s="1"/>
  <c r="V25" i="6"/>
  <c r="Y21" i="6"/>
  <c r="Q21" i="6"/>
  <c r="W21" i="6"/>
  <c r="AC21" i="6"/>
  <c r="Q25" i="6"/>
  <c r="W25" i="6"/>
  <c r="P28" i="2"/>
  <c r="J6" i="6" l="1"/>
  <c r="AG13" i="22" s="1"/>
  <c r="J6" i="16"/>
  <c r="AG6" i="22" s="1"/>
  <c r="J6" i="12"/>
  <c r="AG5" i="22" s="1"/>
  <c r="AA31" i="6"/>
  <c r="AA33" i="16"/>
  <c r="K6" i="8"/>
  <c r="AG14" i="22" s="1"/>
  <c r="I6" i="2"/>
  <c r="AI117" i="17"/>
  <c r="AI118" i="17" s="1"/>
  <c r="AI11" i="22" s="1"/>
  <c r="AK118" i="17"/>
  <c r="AJ11" i="22" s="1"/>
  <c r="AM118" i="17"/>
  <c r="AK11" i="22" s="1"/>
  <c r="AI6" i="13"/>
  <c r="AK4" i="22" s="1"/>
  <c r="X6" i="13"/>
  <c r="AI4" i="22" s="1"/>
  <c r="AI2" i="22" s="1"/>
  <c r="AF6" i="13"/>
  <c r="AJ4" i="22" s="1"/>
  <c r="AJ2" i="22" s="1"/>
  <c r="J6" i="7"/>
  <c r="AG10" i="22" s="1"/>
  <c r="AB33" i="8"/>
  <c r="Q6" i="13"/>
  <c r="AH4" i="22" s="1"/>
  <c r="AH2" i="22" s="1"/>
  <c r="K6" i="13"/>
  <c r="AG4" i="22" s="1"/>
  <c r="X37" i="12"/>
  <c r="AB29" i="8"/>
  <c r="AB30" i="8" s="1"/>
  <c r="W31" i="6"/>
  <c r="J25" i="6"/>
  <c r="AA27" i="6"/>
  <c r="AA28" i="6" s="1"/>
  <c r="AH36" i="9"/>
  <c r="AH37" i="9" s="1"/>
  <c r="AD40" i="9"/>
  <c r="J27" i="16"/>
  <c r="AA29" i="16"/>
  <c r="AA30" i="16" s="1"/>
  <c r="O35" i="16"/>
  <c r="AA34" i="16"/>
  <c r="O25" i="16"/>
  <c r="W34" i="16"/>
  <c r="O33" i="16"/>
  <c r="AA35" i="16"/>
  <c r="AA36" i="16"/>
  <c r="S34" i="16"/>
  <c r="O36" i="16"/>
  <c r="O34" i="16"/>
  <c r="AA25" i="16"/>
  <c r="S33" i="16"/>
  <c r="W33" i="16"/>
  <c r="Z32" i="16"/>
  <c r="T32" i="16"/>
  <c r="X31" i="16"/>
  <c r="R31" i="16"/>
  <c r="Y32" i="16"/>
  <c r="S32" i="16"/>
  <c r="AC31" i="16"/>
  <c r="W31" i="16"/>
  <c r="Q31" i="16"/>
  <c r="X32" i="16"/>
  <c r="R32" i="16"/>
  <c r="AB31" i="16"/>
  <c r="P31" i="16"/>
  <c r="U32" i="16"/>
  <c r="S31" i="16"/>
  <c r="V31" i="16"/>
  <c r="AC32" i="16"/>
  <c r="W32" i="16"/>
  <c r="Q32" i="16"/>
  <c r="AA31" i="16"/>
  <c r="U31" i="16"/>
  <c r="O31" i="16"/>
  <c r="AB32" i="16"/>
  <c r="V32" i="16"/>
  <c r="P32" i="16"/>
  <c r="Z31" i="16"/>
  <c r="T31" i="16"/>
  <c r="J23" i="16"/>
  <c r="AA32" i="16"/>
  <c r="O32" i="16"/>
  <c r="Y31" i="16"/>
  <c r="AB33" i="12"/>
  <c r="AB34" i="12" s="1"/>
  <c r="R35" i="12"/>
  <c r="AB37" i="12"/>
  <c r="P38" i="12"/>
  <c r="Q36" i="12"/>
  <c r="P36" i="12"/>
  <c r="X38" i="12"/>
  <c r="R36" i="12"/>
  <c r="W36" i="12"/>
  <c r="AB30" i="12"/>
  <c r="T38" i="12"/>
  <c r="Y35" i="12"/>
  <c r="AB39" i="12"/>
  <c r="Q35" i="12"/>
  <c r="P37" i="12"/>
  <c r="S35" i="12"/>
  <c r="AB38" i="12"/>
  <c r="Z35" i="12"/>
  <c r="X36" i="12"/>
  <c r="AA36" i="12"/>
  <c r="Y36" i="12"/>
  <c r="V35" i="12"/>
  <c r="T37" i="12"/>
  <c r="AB35" i="12"/>
  <c r="O35" i="12"/>
  <c r="AD36" i="12"/>
  <c r="X35" i="12"/>
  <c r="AB36" i="12"/>
  <c r="U36" i="12"/>
  <c r="AC35" i="12"/>
  <c r="Z36" i="12"/>
  <c r="P35" i="12"/>
  <c r="V36" i="12"/>
  <c r="P39" i="12"/>
  <c r="AA35" i="12"/>
  <c r="T36" i="12"/>
  <c r="S36" i="12"/>
  <c r="AB40" i="12"/>
  <c r="U35" i="12"/>
  <c r="AD35" i="12"/>
  <c r="W35" i="12"/>
  <c r="AC36" i="12"/>
  <c r="T35" i="12"/>
  <c r="AG39" i="9"/>
  <c r="AA39" i="9"/>
  <c r="O39" i="9"/>
  <c r="AE38" i="9"/>
  <c r="Y38" i="9"/>
  <c r="AB38" i="9"/>
  <c r="AH39" i="9"/>
  <c r="AB39" i="9"/>
  <c r="AF38" i="9"/>
  <c r="AF39" i="9"/>
  <c r="Z39" i="9"/>
  <c r="AJ38" i="9"/>
  <c r="AD38" i="9"/>
  <c r="X38" i="9"/>
  <c r="AA38" i="9"/>
  <c r="AE39" i="9"/>
  <c r="Y39" i="9"/>
  <c r="AI38" i="9"/>
  <c r="AC38" i="9"/>
  <c r="W38" i="9"/>
  <c r="AJ39" i="9"/>
  <c r="AD39" i="9"/>
  <c r="X39" i="9"/>
  <c r="AH38" i="9"/>
  <c r="V38" i="9"/>
  <c r="AI39" i="9"/>
  <c r="AC39" i="9"/>
  <c r="W39" i="9"/>
  <c r="AG38" i="9"/>
  <c r="O38" i="9"/>
  <c r="V39" i="9"/>
  <c r="Z38" i="9"/>
  <c r="Z40" i="9"/>
  <c r="V42" i="9"/>
  <c r="Z41" i="9"/>
  <c r="AH41" i="9"/>
  <c r="AD41" i="9"/>
  <c r="V40" i="9"/>
  <c r="AH43" i="9"/>
  <c r="V43" i="9"/>
  <c r="V41" i="9"/>
  <c r="AH42" i="9"/>
  <c r="X33" i="8"/>
  <c r="AB25" i="8"/>
  <c r="T33" i="8"/>
  <c r="P35" i="8"/>
  <c r="AB34" i="8"/>
  <c r="P25" i="8"/>
  <c r="X34" i="8"/>
  <c r="P33" i="8"/>
  <c r="AB36" i="8"/>
  <c r="T34" i="8"/>
  <c r="P36" i="8"/>
  <c r="P34" i="8"/>
  <c r="AB35" i="8"/>
  <c r="AA32" i="8"/>
  <c r="U32" i="8"/>
  <c r="O32" i="8"/>
  <c r="Y31" i="8"/>
  <c r="S31" i="8"/>
  <c r="V32" i="8"/>
  <c r="T31" i="8"/>
  <c r="Z32" i="8"/>
  <c r="T32" i="8"/>
  <c r="AD31" i="8"/>
  <c r="X31" i="8"/>
  <c r="R31" i="8"/>
  <c r="P32" i="8"/>
  <c r="Y32" i="8"/>
  <c r="S32" i="8"/>
  <c r="AC31" i="8"/>
  <c r="W31" i="8"/>
  <c r="Q31" i="8"/>
  <c r="AB32" i="8"/>
  <c r="AD32" i="8"/>
  <c r="X32" i="8"/>
  <c r="R32" i="8"/>
  <c r="AB31" i="8"/>
  <c r="V31" i="8"/>
  <c r="P31" i="8"/>
  <c r="AC32" i="8"/>
  <c r="W32" i="8"/>
  <c r="Q32" i="8"/>
  <c r="AA31" i="8"/>
  <c r="U31" i="8"/>
  <c r="O31" i="8"/>
  <c r="K23" i="8"/>
  <c r="Z31" i="8"/>
  <c r="O33" i="6"/>
  <c r="AA32" i="6"/>
  <c r="O23" i="6"/>
  <c r="W32" i="6"/>
  <c r="O31" i="6"/>
  <c r="AA34" i="6"/>
  <c r="S32" i="6"/>
  <c r="O34" i="6"/>
  <c r="O32" i="6"/>
  <c r="AA33" i="6"/>
  <c r="Z30" i="6"/>
  <c r="T30" i="6"/>
  <c r="X29" i="6"/>
  <c r="R29" i="6"/>
  <c r="Y30" i="6"/>
  <c r="S30" i="6"/>
  <c r="AC29" i="6"/>
  <c r="W29" i="6"/>
  <c r="Q29" i="6"/>
  <c r="Y29" i="6"/>
  <c r="X30" i="6"/>
  <c r="R30" i="6"/>
  <c r="AB29" i="6"/>
  <c r="V29" i="6"/>
  <c r="P29" i="6"/>
  <c r="O30" i="6"/>
  <c r="AC30" i="6"/>
  <c r="W30" i="6"/>
  <c r="Q30" i="6"/>
  <c r="AA29" i="6"/>
  <c r="U29" i="6"/>
  <c r="O29" i="6"/>
  <c r="AB30" i="6"/>
  <c r="V30" i="6"/>
  <c r="P30" i="6"/>
  <c r="Z29" i="6"/>
  <c r="T29" i="6"/>
  <c r="J21" i="6"/>
  <c r="AA30" i="6"/>
  <c r="U30" i="6"/>
  <c r="S29" i="6"/>
  <c r="AA23" i="6"/>
  <c r="S31" i="6"/>
  <c r="AN118" i="17" l="1"/>
  <c r="AG11" i="22" s="1"/>
  <c r="AK2" i="22"/>
  <c r="AA26" i="16"/>
  <c r="AB26" i="8"/>
  <c r="AA24" i="6"/>
  <c r="AG3" i="22" l="1"/>
  <c r="I49" i="2" l="1"/>
  <c r="O33" i="2" l="1"/>
  <c r="P33" i="2"/>
  <c r="Q33" i="2"/>
  <c r="R33" i="2"/>
  <c r="S33" i="2"/>
  <c r="T33" i="2"/>
  <c r="U33" i="2"/>
  <c r="V33" i="2"/>
  <c r="W33" i="2"/>
  <c r="X33" i="2"/>
  <c r="Y33" i="2"/>
  <c r="Z33" i="2"/>
  <c r="AA33" i="2"/>
  <c r="AB33" i="2"/>
  <c r="AC33" i="2"/>
  <c r="N33" i="2"/>
  <c r="O37" i="2"/>
  <c r="P37" i="2"/>
  <c r="Q37" i="2"/>
  <c r="R37" i="2"/>
  <c r="S37" i="2"/>
  <c r="T37" i="2"/>
  <c r="U37" i="2"/>
  <c r="V37" i="2"/>
  <c r="W37" i="2"/>
  <c r="X37" i="2"/>
  <c r="Y37" i="2"/>
  <c r="Z37" i="2"/>
  <c r="AA37" i="2"/>
  <c r="AB37" i="2"/>
  <c r="AC37" i="2"/>
  <c r="N37" i="2"/>
  <c r="N42" i="2" l="1"/>
  <c r="T42" i="2"/>
  <c r="Z42" i="2"/>
  <c r="O42" i="2"/>
  <c r="U42" i="2"/>
  <c r="AA42" i="2"/>
  <c r="P42" i="2"/>
  <c r="V42" i="2"/>
  <c r="AB42" i="2"/>
  <c r="W42" i="2"/>
  <c r="Q42" i="2"/>
  <c r="R42" i="2"/>
  <c r="X42" i="2"/>
  <c r="S42" i="2"/>
  <c r="Y42" i="2"/>
  <c r="AC42" i="2"/>
  <c r="O41" i="2"/>
  <c r="Z41" i="2"/>
  <c r="S41" i="2"/>
  <c r="P41" i="2"/>
  <c r="Y41" i="2"/>
  <c r="R41" i="2"/>
  <c r="X41" i="2"/>
  <c r="AC41" i="2"/>
  <c r="V41" i="2"/>
  <c r="W41" i="2"/>
  <c r="AB41" i="2"/>
  <c r="U41" i="2"/>
  <c r="I48" i="2"/>
  <c r="AA41" i="2"/>
  <c r="T41" i="2"/>
  <c r="Q41" i="2"/>
  <c r="AA34" i="2"/>
  <c r="N41" i="2"/>
  <c r="I37" i="2"/>
  <c r="O34" i="2"/>
  <c r="I33" i="2"/>
  <c r="AA38" i="2"/>
  <c r="O38" i="2"/>
  <c r="W34" i="2"/>
  <c r="W38" i="2"/>
  <c r="S34" i="2"/>
  <c r="S38" i="2"/>
  <c r="W43" i="2" l="1"/>
  <c r="AA43" i="2"/>
  <c r="S43" i="2"/>
  <c r="AA39" i="2"/>
  <c r="O45" i="2"/>
  <c r="AA45" i="2"/>
  <c r="O44" i="2"/>
  <c r="O43" i="2"/>
  <c r="S44" i="2"/>
  <c r="W44" i="2"/>
  <c r="O46" i="2"/>
  <c r="AA44" i="2"/>
  <c r="AA46" i="2"/>
  <c r="O35" i="2"/>
  <c r="O39" i="2"/>
  <c r="AA35" i="2"/>
  <c r="AA40" i="2" l="1"/>
  <c r="AA36" i="2"/>
  <c r="I50" i="2" l="1"/>
  <c r="U6" i="9" l="1"/>
  <c r="AK8" i="22" s="1"/>
  <c r="X14" i="9"/>
  <c r="W14" i="9" l="1"/>
  <c r="J6" i="9" s="1"/>
  <c r="AG8" i="22" s="1"/>
  <c r="AG2" i="2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MITZI TATIANA FERRO</author>
  </authors>
  <commentList>
    <comment ref="AE11" authorId="0" shapeId="0" xr:uid="{4D9DC69F-7EB3-4696-BE27-E0F425318050}">
      <text>
        <r>
          <rPr>
            <b/>
            <sz val="16"/>
            <color indexed="81"/>
            <rFont val="Calibri"/>
            <family val="2"/>
            <scheme val="minor"/>
          </rPr>
          <t xml:space="preserve">INTRODUZCA LA FECHA (AAAA-MM-DD) </t>
        </r>
        <r>
          <rPr>
            <sz val="16"/>
            <color indexed="81"/>
            <rFont val="Calibri"/>
            <family val="2"/>
            <scheme val="minor"/>
          </rPr>
          <t xml:space="preserve">y el avance respectivo frente a la actividad
(Cada vez que introduzca el seguimiento, no botrre los seguiminetos anteriores, deje la trazabilidad)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MITZI TATIANA FERRO</author>
  </authors>
  <commentList>
    <comment ref="AE11" authorId="0" shapeId="0" xr:uid="{AACC9175-C3CF-411C-976C-E144C29FBCBD}">
      <text>
        <r>
          <rPr>
            <b/>
            <sz val="16"/>
            <color indexed="81"/>
            <rFont val="Calibri"/>
            <family val="2"/>
            <scheme val="minor"/>
          </rPr>
          <t xml:space="preserve">INTRODUZCA LA FECHA (AAAA-MM-DD) </t>
        </r>
        <r>
          <rPr>
            <sz val="16"/>
            <color indexed="81"/>
            <rFont val="Calibri"/>
            <family val="2"/>
            <scheme val="minor"/>
          </rPr>
          <t xml:space="preserve">y el avance respectivo frente a la actividad
(Cada vez que introduzca el seguimiento, no botrre los seguiminetos anteriores, deje la trazabilidad)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MITZI TATIANA FERRO</author>
  </authors>
  <commentList>
    <comment ref="AF11" authorId="0" shapeId="0" xr:uid="{FC534883-0E6C-4C66-B50E-7A9F1E03621D}">
      <text>
        <r>
          <rPr>
            <b/>
            <sz val="16"/>
            <color indexed="81"/>
            <rFont val="Calibri"/>
            <family val="2"/>
            <scheme val="minor"/>
          </rPr>
          <t xml:space="preserve">INTRODUZCA LA FECHA (AAAA-MM-DD) </t>
        </r>
        <r>
          <rPr>
            <sz val="16"/>
            <color indexed="81"/>
            <rFont val="Calibri"/>
            <family val="2"/>
            <scheme val="minor"/>
          </rPr>
          <t xml:space="preserve">y el avance respectivo frente a la actividad
(Cada vez que introduzca el seguimiento, no botrre los seguiminetos anteriores, deje la trazabilidad)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MITZI TATIANA FERRO</author>
  </authors>
  <commentList>
    <comment ref="AG11" authorId="0" shapeId="0" xr:uid="{AF431877-75D8-4A23-9B3A-C66557AC66FE}">
      <text>
        <r>
          <rPr>
            <b/>
            <sz val="16"/>
            <color indexed="81"/>
            <rFont val="Calibri"/>
            <family val="2"/>
            <scheme val="minor"/>
          </rPr>
          <t xml:space="preserve">INTRODUZCA LA FECHA (AAAA-MM-DD) </t>
        </r>
        <r>
          <rPr>
            <sz val="16"/>
            <color indexed="81"/>
            <rFont val="Calibri"/>
            <family val="2"/>
            <scheme val="minor"/>
          </rPr>
          <t xml:space="preserve">y el avance respectivo frente a la actividad
(Cada vez que introduzca el seguimiento, no botrre los seguiminetos anteriores, deje la trazabilidad)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MITZI TATIANA FERRO</author>
  </authors>
  <commentList>
    <comment ref="AF11" authorId="0" shapeId="0" xr:uid="{C98FFED6-8369-45D4-AB13-1E4AB8BA672C}">
      <text>
        <r>
          <rPr>
            <b/>
            <sz val="16"/>
            <color indexed="81"/>
            <rFont val="Calibri"/>
            <family val="2"/>
            <scheme val="minor"/>
          </rPr>
          <t xml:space="preserve">INTRODUZCA LA FECHA (AAAA-MM-DD) </t>
        </r>
        <r>
          <rPr>
            <sz val="16"/>
            <color indexed="81"/>
            <rFont val="Calibri"/>
            <family val="2"/>
            <scheme val="minor"/>
          </rPr>
          <t xml:space="preserve">y el avance respectivo frente a la actividad
(Cada vez que introduzca el seguimiento, no botrre los seguiminetos anteriores, deje la trazabilidad)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JUAN CARLOS BAUTISTA NARVAEZ</author>
    <author>ANDREA VANESSA CAMACHO</author>
    <author>DANILO ROJAS ORTIZ</author>
    <author>GIOVANNI MEDINA ORTIZ</author>
    <author>Admin</author>
    <author>tc={EFDD2E76-1681-4109-9DB5-A6F57DC4FED7}</author>
    <author>tc={FDBE4230-ECD8-4BB2-B93F-CBFD26534360}</author>
    <author>tc={6C22B3C8-F348-4757-A1E7-5EA167090EA6}</author>
    <author>tc={60472DEB-B3CC-4C50-91DC-9161ECEBDB5F}</author>
    <author>tc={9CC84503-5525-452D-BEEF-4998724CAD0C}</author>
    <author>tc={CE3A7BF7-1721-461E-A047-A749561C89F9}</author>
    <author>tc={2988BC93-04B7-43D8-9A8A-59E960DD2265}</author>
    <author>tc={E9511BB5-9696-4541-A72A-E193F60ED180}</author>
    <author>tc={A938AC0A-A327-44B8-A519-FCD40A43B945}</author>
    <author>tc={06D4F58F-3838-42B6-B83C-0E0F91C0BAD3}</author>
    <author>tc={8A3B6FBC-BDDF-4613-8D62-0EC93D39FB7E}</author>
    <author>tc={0A4476A0-1B9D-43C9-9F98-C7F9926E1746}</author>
    <author>tc={797F2E71-0B20-4E2F-B6FF-8AF08B64CF93}</author>
    <author>tc={6AA85ED0-1FF5-4A1C-ABB5-EF9D30CBEC27}</author>
    <author>tc={FD27F4AA-5320-43C2-8ED7-48CEE493E1B1}</author>
    <author>tc={96FD8CC7-9077-4657-A45A-BB38AB8993B0}</author>
    <author>tc={F9E1E91D-65F6-4DD9-84A7-C017C8A42DA7}</author>
    <author>tc={17BBD044-34E4-4907-807C-269567394421}</author>
    <author>tc={318A3977-1E7D-42C9-BE92-2DA66B631404}</author>
    <author>tc={C5D1D2FE-DEF5-40CA-AF56-3803A866041A}</author>
    <author>tc={33D88D3F-AC54-41FF-8D95-0D14B7463BB2}</author>
    <author>tc={99063E06-E78F-405C-932A-B94BBCC2A7C3}</author>
    <author>tc={3AE66A30-ED6D-4AB2-A920-6832F34AFD60}</author>
    <author>tc={D5DF7BAA-ECFA-49DF-BA57-C98748B53892}</author>
    <author>tc={3BCFED9C-266B-4060-BB21-9DD1102563A7}</author>
    <author>tc={B0770859-AB79-4BCB-8078-BD470758BDDD}</author>
    <author>tc={268E5C35-BF71-41CD-92DE-441660DC7659}</author>
    <author>tc={5CA86924-637A-437A-A86A-9A14FD23EA76}</author>
    <author>tc={AE04BE33-8227-4237-86C8-20E6DD2D22AB}</author>
    <author>tc={AE23FCAA-2369-4A3B-B530-AC9C38B384DB}</author>
    <author>tc={54014E91-A265-4C39-A777-8BB789EF4024}</author>
    <author>tc={3113AD6A-E145-4823-B866-69E273EC93D2}</author>
    <author>tc={2036E619-D42A-46AF-9480-68CD73231305}</author>
    <author>tc={79B7DF49-E3A7-43E5-8C50-68636BBCC1A9}</author>
    <author>tc={310695E7-DE97-436D-9D30-86251A109F64}</author>
    <author>tc={7EEF0212-78AD-45AC-BFF0-8999B37DEBEB}</author>
    <author>tc={BCF65B7A-6C95-47DC-B21B-F42906AE0BD5}</author>
    <author>tc={202CC4BE-7835-4DD4-9EDE-BCF1FF757373}</author>
    <author>tc={24C0C8CA-C08B-4D45-8194-BD291D8483EB}</author>
    <author>tc={5D699AEA-919F-4672-B8A1-C1C050E2A088}</author>
    <author>tc={FCCBA512-2320-4732-A9D4-BD1D6269A3A1}</author>
    <author>tc={CF21A15C-8665-4EC7-97E3-0B704739F602}</author>
    <author>tc={3F44EDB2-53C1-4A06-9CB7-5382349ADFD5}</author>
    <author>tc={D899FEF7-5839-4DE4-B7F4-190538ACDE34}</author>
    <author>tc={E19DA574-6C77-4BF1-BE79-18545CD2C0F8}</author>
    <author>tc={8F0D019A-2902-4CC3-A082-5B7553BA2E20}</author>
    <author>tc={2766CF86-3536-42AA-9B35-ECDC7513F4F3}</author>
    <author>tc={D548C541-7CD2-406E-AC15-3D6C14250699}</author>
    <author>tc={E39CC03C-2575-46F9-80CE-D7814B77DC4A}</author>
    <author>tc={BCE6293F-3E58-47CD-A570-E12F76EE2984}</author>
    <author>tc={B122B3C2-24EC-4242-970D-993E7B8697CF}</author>
    <author>tc={31229157-D3CE-478C-9797-335B0C422B66}</author>
    <author>tc={AF2CA3BA-F780-4AF3-9BF1-7426A578591A}</author>
    <author>tc={61D19B68-A283-4FB2-B96A-DECC7E2E4745}</author>
    <author>tc={662C09D7-4480-463B-A4A8-F1D58F0903B0}</author>
    <author>tc={39272659-8E77-472D-B685-5948CD830BBA}</author>
    <author>tc={A21C179F-155A-4AF1-8D75-B38AE495C053}</author>
    <author>tc={98AE2B21-F1AD-46DB-B385-98A2C4590CC2}</author>
    <author>tc={549786A6-18C6-412A-BCF3-66FBB87573A4}</author>
    <author>tc={7761E4A5-58A8-4020-8B93-BB85799C0AB4}</author>
    <author>tc={D8F9B61E-86A6-4FEE-AA0B-4B00B2648F53}</author>
    <author>tc={8AF3752B-C293-4BD9-A386-B59F4ED1B165}</author>
    <author>tc={1E5B70C0-E685-47D9-BA03-C12BE353BF55}</author>
    <author>tc={E7BB4C7E-2C35-4FDE-A36C-652B8DC87EA1}</author>
    <author>tc={0DC46E25-FA47-4C65-8D1C-5AA25383628F}</author>
    <author>tc={B0AB1093-0445-46BC-A22D-F1187D557BB6}</author>
    <author>tc={940FA618-FA8F-4CB8-AD4C-46AFB4955075}</author>
    <author>tc={59B7E3DC-3316-427E-AB61-57EAB2A9FBF7}</author>
    <author>tc={06F5DBF2-77ED-451F-A13C-4B1DE477320D}</author>
    <author>tc={56AA8DB9-065E-49C5-8E56-80FBF078CB37}</author>
  </authors>
  <commentList>
    <comment ref="A11" authorId="0" shapeId="0" xr:uid="{C942A26D-0B39-4C69-A9B1-D352B2965155}">
      <text>
        <r>
          <rPr>
            <b/>
            <sz val="9"/>
            <color rgb="FF000000"/>
            <rFont val="Tahoma"/>
            <family val="2"/>
          </rPr>
          <t xml:space="preserve">
Seleccione la opción según corresponda
</t>
        </r>
        <r>
          <rPr>
            <sz val="9"/>
            <color rgb="FF000000"/>
            <rFont val="Tahoma"/>
            <family val="2"/>
          </rPr>
          <t xml:space="preserve">
</t>
        </r>
      </text>
    </comment>
    <comment ref="D11" authorId="1" shapeId="0" xr:uid="{4E249092-B8A3-421B-86F7-0882951364F4}">
      <text>
        <r>
          <rPr>
            <sz val="9"/>
            <color indexed="81"/>
            <rFont val="Tahoma"/>
            <family val="2"/>
          </rPr>
          <t xml:space="preserve">Digite el Código UNSPSC según corresponda de acuerdo al listado señalado en la hoja "Código UNSPSC", si tiene más de uno agregar en Columna V 
"Observaciones"
</t>
        </r>
      </text>
    </comment>
    <comment ref="E11" authorId="2" shapeId="0" xr:uid="{F344B479-C87F-4702-8920-633D69A85917}">
      <text>
        <r>
          <rPr>
            <b/>
            <sz val="9"/>
            <color rgb="FF000000"/>
            <rFont val="Tahoma"/>
            <family val="2"/>
          </rPr>
          <t>En esta columna se debe indicar el nombre del código seleccionado en la columna anterior.</t>
        </r>
      </text>
    </comment>
    <comment ref="F11" authorId="0" shapeId="0" xr:uid="{DD345454-D325-41B7-8006-0A6658283DEB}">
      <text>
        <r>
          <rPr>
            <b/>
            <sz val="9"/>
            <color rgb="FF000000"/>
            <rFont val="Tahoma"/>
            <family val="2"/>
          </rPr>
          <t xml:space="preserve">en esta columna se debe realizar una breve descripcion del bien o servicio a contratar.
</t>
        </r>
      </text>
    </comment>
    <comment ref="G11" authorId="3" shapeId="0" xr:uid="{D2519B1F-8AE3-4D7D-9548-9C7288A21756}">
      <text>
        <r>
          <rPr>
            <b/>
            <sz val="9"/>
            <color rgb="FF000000"/>
            <rFont val="Tahoma"/>
            <family val="2"/>
          </rPr>
          <t>en esta columna se debe indicar el mes de inicio del proceso (el inicio de todas las acciones precontractuales, Previo al vencimiento del contrato vigente si lo hay o previo a la fecha de inicio de ejecución de la contratación requerida.</t>
        </r>
      </text>
    </comment>
    <comment ref="H11" authorId="3" shapeId="0" xr:uid="{0D3CF1FB-A5E6-4B61-915A-48403B840678}">
      <text>
        <r>
          <rPr>
            <b/>
            <sz val="9"/>
            <color rgb="FF000000"/>
            <rFont val="Tahoma"/>
            <family val="2"/>
          </rPr>
          <t>en esta columna se debe indicar el mes de recepción de ofertas posterior a la consecución de CDP.</t>
        </r>
      </text>
    </comment>
    <comment ref="I11" authorId="2" shapeId="0" xr:uid="{64276E42-7A81-467B-B8A7-6FEB50C69B2B}">
      <text>
        <r>
          <rPr>
            <b/>
            <sz val="9"/>
            <color rgb="FF000000"/>
            <rFont val="Tahoma"/>
            <family val="2"/>
          </rPr>
          <t xml:space="preserve">DURACIÓN DEL CONTRATO PROYECTADO EN DIAS (Ejemplo: si el contrato es por un año el tiempo en días sera de 365 días)
</t>
        </r>
      </text>
    </comment>
    <comment ref="J11" authorId="4" shapeId="0" xr:uid="{53CEB50A-3FFF-4F9E-8B0F-CD4ED167FE34}">
      <text>
        <r>
          <rPr>
            <b/>
            <sz val="9"/>
            <color rgb="FF000000"/>
            <rFont val="Tahoma"/>
            <family val="2"/>
          </rPr>
          <t>seleccione la opcion que corresponda según el tipo de modalidad</t>
        </r>
        <r>
          <rPr>
            <sz val="9"/>
            <color rgb="FF000000"/>
            <rFont val="Tahoma"/>
            <family val="2"/>
          </rPr>
          <t xml:space="preserve">
</t>
        </r>
      </text>
    </comment>
    <comment ref="K11" authorId="4" shapeId="0" xr:uid="{35E78676-A384-4094-A67E-5C5619DB868A}">
      <text>
        <r>
          <rPr>
            <b/>
            <sz val="9"/>
            <color rgb="FF000000"/>
            <rFont val="Tahoma"/>
            <family val="2"/>
          </rPr>
          <t xml:space="preserve">Corresponde, al valor del presupuesto aprobado por la Junta Directiva.
</t>
        </r>
      </text>
    </comment>
    <comment ref="L11" authorId="0" shapeId="0" xr:uid="{93181992-0AD0-4FA3-98D7-5A999164EF10}">
      <text>
        <r>
          <rPr>
            <b/>
            <sz val="9"/>
            <color rgb="FF000000"/>
            <rFont val="Tahoma"/>
            <family val="2"/>
          </rPr>
          <t xml:space="preserve">en esta columna se debe indicar el porcentaje correspondiente al IVA, si no genera IVA el porcentaje sera 0
</t>
        </r>
      </text>
    </comment>
    <comment ref="M11" authorId="4" shapeId="0" xr:uid="{2E26CDB9-03C5-495A-A9B0-2A90FEA285A4}">
      <text>
        <r>
          <rPr>
            <b/>
            <sz val="9"/>
            <color rgb="FF000000"/>
            <rFont val="Tahoma"/>
            <family val="2"/>
          </rPr>
          <t>Corresponde al valor IVA que genera el servicio o bien a contratar</t>
        </r>
      </text>
    </comment>
    <comment ref="O11" authorId="0" shapeId="0" xr:uid="{6733E88F-FB26-49EB-93D4-03C6682BAAB5}">
      <text>
        <r>
          <rPr>
            <b/>
            <sz val="9"/>
            <color rgb="FF000000"/>
            <rFont val="Tahoma"/>
            <family val="2"/>
          </rPr>
          <t>en esta columna se debe indicar si se requieren o no vigencias futuras.</t>
        </r>
      </text>
    </comment>
    <comment ref="P11" authorId="0" shapeId="0" xr:uid="{8E6F3C46-073F-48B4-92EF-9E4D9252C1BE}">
      <text>
        <r>
          <rPr>
            <b/>
            <sz val="9"/>
            <color rgb="FF000000"/>
            <rFont val="Tahoma"/>
            <family val="2"/>
          </rPr>
          <t xml:space="preserve">seleccione la opción según corresponda.
</t>
        </r>
      </text>
    </comment>
    <comment ref="Q11" authorId="2" shapeId="0" xr:uid="{2659FBA0-A88E-43C0-811E-9F7A2A864B06}">
      <text>
        <r>
          <rPr>
            <b/>
            <sz val="9"/>
            <color rgb="FF000000"/>
            <rFont val="Tahoma"/>
            <family val="2"/>
          </rPr>
          <t>Indicar el valor estimado de la contrtación SIN puntos, comas ni signos; SÓLO NÚMEROS. UNICAMENTE para esta vigencia</t>
        </r>
      </text>
    </comment>
    <comment ref="R11" authorId="0" shapeId="0" xr:uid="{16BA2764-5176-4CB6-A006-243D61A43486}">
      <text>
        <r>
          <rPr>
            <b/>
            <sz val="9"/>
            <color rgb="FF000000"/>
            <rFont val="Tahoma"/>
            <family val="2"/>
          </rPr>
          <t>Indicar el valor estimado de la contrtación SIN puntos, comas ni signos; SÓLO NÚMEROS. UNICAMENTE para esta vigencia</t>
        </r>
      </text>
    </comment>
    <comment ref="S11" authorId="0" shapeId="0" xr:uid="{4C1E007E-6141-4065-A312-69C5002F3F92}">
      <text>
        <r>
          <rPr>
            <b/>
            <sz val="9"/>
            <color rgb="FF000000"/>
            <rFont val="Tahoma"/>
            <family val="2"/>
          </rPr>
          <t>Indicar el valor estimado de la contrtación SIN puntos, comas ni signos; SÓLO NÚMEROS. UNICAMENTE para esta vigencia</t>
        </r>
      </text>
    </comment>
    <comment ref="T11" authorId="0" shapeId="0" xr:uid="{4CF72FCE-E792-4CCE-BF94-5841CB27117E}">
      <text>
        <r>
          <rPr>
            <b/>
            <sz val="9"/>
            <color rgb="FF000000"/>
            <rFont val="Tahoma"/>
            <family val="2"/>
          </rPr>
          <t>Indicar el valor estimado de la contrtación SIN puntos, comas ni signos; SÓLO NÚMEROS. UNICAMENTE para esta vigencia</t>
        </r>
        <r>
          <rPr>
            <sz val="9"/>
            <color rgb="FF000000"/>
            <rFont val="Tahoma"/>
            <family val="2"/>
          </rPr>
          <t xml:space="preserve">
</t>
        </r>
      </text>
    </comment>
    <comment ref="U11" authorId="2" shapeId="0" xr:uid="{27B5C56B-5C4E-43A1-810F-6555C7EB005F}">
      <text>
        <r>
          <rPr>
            <b/>
            <sz val="9"/>
            <color rgb="FF000000"/>
            <rFont val="Tahoma"/>
            <family val="2"/>
          </rPr>
          <t>FUNCIONARIO RESPONSABLE DE LA CONTRATACION</t>
        </r>
      </text>
    </comment>
    <comment ref="Q40" authorId="5" shapeId="0" xr:uid="{EFDD2E76-1681-4109-9DB5-A6F57DC4FED7}">
      <text>
        <t>[Comentario encadenado]
Su versión de Excel le permite leer este comentario encadenado; sin embargo, las ediciones que se apliquen se quitarán si el archivo se abre en una versión más reciente de Excel. Más información: https://go.microsoft.com/fwlink/?linkid=870924
Comentario:
    Valor presupuesto inferior al valor total del contrato, revisar.</t>
      </text>
    </comment>
    <comment ref="F50" authorId="6" shapeId="0" xr:uid="{FDBE4230-ECD8-4BB2-B93F-CBFD26534360}">
      <text>
        <t>[Comentario encadenado]
Su versión de Excel le permite leer este comentario encadenado; sin embargo, las ediciones que se apliquen se quitarán si el archivo se abre en una versión más reciente de Excel. Más información: https://go.microsoft.com/fwlink/?linkid=870924
Comentario:
    Por favor confirmar necesidad, ya que la línea esta repetida con la siguiente, definir cual se deja.  Además, el contrato 066-2025 tiene prorroga hasta el 31 de dic 2026.</t>
      </text>
    </comment>
    <comment ref="F51" authorId="7" shapeId="0" xr:uid="{6C22B3C8-F348-4757-A1E7-5EA167090EA6}">
      <text>
        <t>[Comentario encadenado]
Su versión de Excel le permite leer este comentario encadenado; sin embargo, las ediciones que se apliquen se quitarán si el archivo se abre en una versión más reciente de Excel. Más información: https://go.microsoft.com/fwlink/?linkid=870924
Comentario:
    Por favor confirmar necesidad, ya que la línea esta repetida con la anterior, definir cual se deja.  Además, el contrato 066-2025 tiene prorroga hasta el 31 de dic 2026.</t>
      </text>
    </comment>
    <comment ref="Q52" authorId="8" shapeId="0" xr:uid="{60472DEB-B3CC-4C50-91DC-9161ECEBDB5F}">
      <text>
        <t>[Comentario encadenado]
Su versión de Excel le permite leer este comentario encadenado; sin embargo, las ediciones que se apliquen se quitarán si el archivo se abre en una versión más reciente de Excel. Más información: https://go.microsoft.com/fwlink/?linkid=870924
Comentario:
    Valor presupuesto superior al valor total del contrato, revisar.</t>
      </text>
    </comment>
    <comment ref="F55" authorId="9" shapeId="0" xr:uid="{9CC84503-5525-452D-BEEF-4998724CAD0C}">
      <text>
        <t>[Comentario encadenado]
Su versión de Excel le permite leer este comentario encadenado; sin embargo, las ediciones que se apliquen se quitarán si el archivo se abre en una versión más reciente de Excel. Más información: https://go.microsoft.com/fwlink/?linkid=870924
Comentario:
    Validar posible duplicada</t>
      </text>
    </comment>
    <comment ref="F56" authorId="10" shapeId="0" xr:uid="{CE3A7BF7-1721-461E-A047-A749561C89F9}">
      <text>
        <t>[Comentario encadenado]
Su versión de Excel le permite leer este comentario encadenado; sin embargo, las ediciones que se apliquen se quitarán si el archivo se abre en una versión más reciente de Excel. Más información: https://go.microsoft.com/fwlink/?linkid=870924
Comentario:
    Validar posible duplicada</t>
      </text>
    </comment>
    <comment ref="F57" authorId="11" shapeId="0" xr:uid="{2988BC93-04B7-43D8-9A8A-59E960DD2265}">
      <text>
        <t>[Comentario encadenado]
Su versión de Excel le permite leer este comentario encadenado; sin embargo, las ediciones que se apliquen se quitarán si el archivo se abre en una versión más reciente de Excel. Más información: https://go.microsoft.com/fwlink/?linkid=870924
Comentario:
    Validar posible duplicada</t>
      </text>
    </comment>
    <comment ref="F58" authorId="12" shapeId="0" xr:uid="{E9511BB5-9696-4541-A72A-E193F60ED180}">
      <text>
        <t>[Comentario encadenado]
Su versión de Excel le permite leer este comentario encadenado; sin embargo, las ediciones que se apliquen se quitarán si el archivo se abre en una versión más reciente de Excel. Más información: https://go.microsoft.com/fwlink/?linkid=870924
Comentario:
    Validar posible duplicada</t>
      </text>
    </comment>
    <comment ref="J59" authorId="13" shapeId="0" xr:uid="{A938AC0A-A327-44B8-A519-FCD40A43B945}">
      <text>
        <t>[Comentario encadenado]
Su versión de Excel le permite leer este comentario encadenado; sin embargo, las ediciones que se apliquen se quitarán si el archivo se abre en una versión más reciente de Excel. Más información: https://go.microsoft.com/fwlink/?linkid=870924
Comentario:
    Confirmar modalidad por valor contratación - Corresponde a una Cerrada</t>
      </text>
    </comment>
    <comment ref="Q63" authorId="14" shapeId="0" xr:uid="{06D4F58F-3838-42B6-B83C-0E0F91C0BAD3}">
      <text>
        <t>[Comentario encadenado]
Su versión de Excel le permite leer este comentario encadenado; sin embargo, las ediciones que se apliquen se quitarán si el archivo se abre en una versión más reciente de Excel. Más información: https://go.microsoft.com/fwlink/?linkid=870924
Comentario:
    Indicar presupuesto para todas los vigencias.</t>
      </text>
    </comment>
    <comment ref="R63" authorId="15" shapeId="0" xr:uid="{8A3B6FBC-BDDF-4613-8D62-0EC93D39FB7E}">
      <text>
        <t>[Comentario encadenado]
Su versión de Excel le permite leer este comentario encadenado; sin embargo, las ediciones que se apliquen se quitarán si el archivo se abre en una versión más reciente de Excel. Más información: https://go.microsoft.com/fwlink/?linkid=870924
Comentario:
    Indicar presupuesto para todas los vigencias.</t>
      </text>
    </comment>
    <comment ref="S63" authorId="16" shapeId="0" xr:uid="{0A4476A0-1B9D-43C9-9F98-C7F9926E1746}">
      <text>
        <t>[Comentario encadenado]
Su versión de Excel le permite leer este comentario encadenado; sin embargo, las ediciones que se apliquen se quitarán si el archivo se abre en una versión más reciente de Excel. Más información: https://go.microsoft.com/fwlink/?linkid=870924
Comentario:
    Indicar presupuesto para todas los vigencias.</t>
      </text>
    </comment>
    <comment ref="T63" authorId="17" shapeId="0" xr:uid="{797F2E71-0B20-4E2F-B6FF-8AF08B64CF93}">
      <text>
        <t>[Comentario encadenado]
Su versión de Excel le permite leer este comentario encadenado; sin embargo, las ediciones que se apliquen se quitarán si el archivo se abre en una versión más reciente de Excel. Más información: https://go.microsoft.com/fwlink/?linkid=870924
Comentario:
    Indicar presupuesto para todas los vigencias.</t>
      </text>
    </comment>
    <comment ref="J146" authorId="18" shapeId="0" xr:uid="{6AA85ED0-1FF5-4A1C-ABB5-EF9D30CBEC27}">
      <text>
        <t>[Comentario encadenado]
Su versión de Excel le permite leer este comentario encadenado; sin embargo, las ediciones que se apliquen se quitarán si el archivo se abre en una versión más reciente de Excel. Más información: https://go.microsoft.com/fwlink/?linkid=870924
Comentario:
    Validar modalidad, 2 líneas.</t>
      </text>
    </comment>
    <comment ref="H147" authorId="19" shapeId="0" xr:uid="{FD27F4AA-5320-43C2-8ED7-48CEE493E1B1}">
      <text>
        <t>[Comentario encadenado]
Su versión de Excel le permite leer este comentario encadenado; sin embargo, las ediciones que se apliquen se quitarán si el archivo se abre en una versión más reciente de Excel. Más información: https://go.microsoft.com/fwlink/?linkid=870924
Comentario:
    Error cronológico.</t>
      </text>
    </comment>
    <comment ref="J147" authorId="20" shapeId="0" xr:uid="{96FD8CC7-9077-4657-A45A-BB38AB8993B0}">
      <text>
        <t>[Comentario encadenado]
Su versión de Excel le permite leer este comentario encadenado; sin embargo, las ediciones que se apliquen se quitarán si el archivo se abre en una versión más reciente de Excel. Más información: https://go.microsoft.com/fwlink/?linkid=870924
Comentario:
    Validar modalidad, 2 líneas.</t>
      </text>
    </comment>
    <comment ref="L148" authorId="21" shapeId="0" xr:uid="{F9E1E91D-65F6-4DD9-84A7-C017C8A42DA7}">
      <text>
        <t>[Comentario encadenado]
Su versión de Excel le permite leer este comentario encadenado; sin embargo, las ediciones que se apliquen se quitarán si el archivo se abre en una versión más reciente de Excel. Más información: https://go.microsoft.com/fwlink/?linkid=870924
Comentario:
    Iva no 19%</t>
      </text>
    </comment>
    <comment ref="J149" authorId="22" shapeId="0" xr:uid="{17BBD044-34E4-4907-807C-269567394421}">
      <text>
        <t>[Comentario encadenado]
Su versión de Excel le permite leer este comentario encadenado; sin embargo, las ediciones que se apliquen se quitarán si el archivo se abre en una versión más reciente de Excel. Más información: https://go.microsoft.com/fwlink/?linkid=870924
Comentario:
    Validar modalidad</t>
      </text>
    </comment>
    <comment ref="R149" authorId="23" shapeId="0" xr:uid="{318A3977-1E7D-42C9-BE92-2DA66B631404}">
      <text>
        <t>[Comentario encadenado]
Su versión de Excel le permite leer este comentario encadenado; sin embargo, las ediciones que se apliquen se quitarán si el archivo se abre en una versión más reciente de Excel. Más información: https://go.microsoft.com/fwlink/?linkid=870924
Comentario:
    Revisar presupuesto</t>
      </text>
    </comment>
    <comment ref="J154" authorId="24" shapeId="0" xr:uid="{C5D1D2FE-DEF5-40CA-AF56-3803A866041A}">
      <text>
        <t>[Comentario encadenado]
Su versión de Excel le permite leer este comentario encadenado; sin embargo, las ediciones que se apliquen se quitarán si el archivo se abre en una versión más reciente de Excel. Más información: https://go.microsoft.com/fwlink/?linkid=870924
Comentario:
    Validar modalidad</t>
      </text>
    </comment>
    <comment ref="J165" authorId="25" shapeId="0" xr:uid="{33D88D3F-AC54-41FF-8D95-0D14B7463BB2}">
      <text>
        <t>[Comentario encadenado]
Su versión de Excel le permite leer este comentario encadenado; sin embargo, las ediciones que se apliquen se quitarán si el archivo se abre en una versión más reciente de Excel. Más información: https://go.microsoft.com/fwlink/?linkid=870924
Comentario:
    Abierta</t>
      </text>
    </comment>
    <comment ref="O165" authorId="26" shapeId="0" xr:uid="{99063E06-E78F-405C-932A-B94BBCC2A7C3}">
      <text>
        <t>[Comentario encadenado]
Su versión de Excel le permite leer este comentario encadenado; sin embargo, las ediciones que se apliquen se quitarán si el archivo se abre en una versión más reciente de Excel. Más información: https://go.microsoft.com/fwlink/?linkid=870924
Comentario:
    Si vigencias futuras</t>
      </text>
    </comment>
    <comment ref="Q229" authorId="27" shapeId="0" xr:uid="{3AE66A30-ED6D-4AB2-A920-6832F34AFD60}">
      <text>
        <t>[Comentario encadenado]
Su versión de Excel le permite leer este comentario encadenado; sin embargo, las ediciones que se apliquen se quitarán si el archivo se abre en una versión más reciente de Excel. Más información: https://go.microsoft.com/fwlink/?linkid=870924
Comentario:
    No coincide valor total contrato</t>
      </text>
    </comment>
    <comment ref="H231" authorId="28" shapeId="0" xr:uid="{D5DF7BAA-ECFA-49DF-BA57-C98748B53892}">
      <text>
        <t>[Comentario encadenado]
Su versión de Excel le permite leer este comentario encadenado; sin embargo, las ediciones que se apliquen se quitarán si el archivo se abre en una versión más reciente de Excel. Más información: https://go.microsoft.com/fwlink/?linkid=870924
Comentario:
    Corregir cronológicamente</t>
      </text>
    </comment>
    <comment ref="M233" authorId="29" shapeId="0" xr:uid="{3BCFED9C-266B-4060-BB21-9DD1102563A7}">
      <text>
        <t>[Comentario encadenado]
Su versión de Excel le permite leer este comentario encadenado; sin embargo, las ediciones que se apliquen se quitarán si el archivo se abre en una versión más reciente de Excel. Más información: https://go.microsoft.com/fwlink/?linkid=870924
Comentario:
    Revisar valor IVA ya que no corresponde al 19% diligenciado.</t>
      </text>
    </comment>
    <comment ref="F236" authorId="30" shapeId="0" xr:uid="{B0770859-AB79-4BCB-8078-BD470758BDDD}">
      <text>
        <t>[Comentario encadenado]
Su versión de Excel le permite leer este comentario encadenado; sin embargo, las ediciones que se apliquen se quitarán si el archivo se abre en una versión más reciente de Excel. Más información: https://go.microsoft.com/fwlink/?linkid=870924
Comentario:
    Validar si deben incluir la línea en PAA 2026 ya que contrato firmado en dic 2025 con objeto similar, tiene vigencia hasta dic 2028.</t>
      </text>
    </comment>
    <comment ref="G236" authorId="31" shapeId="0" xr:uid="{268E5C35-BF71-41CD-92DE-441660DC7659}">
      <text>
        <t>[Comentario encadenado]
Su versión de Excel le permite leer este comentario encadenado; sin embargo, las ediciones que se apliquen se quitarán si el archivo se abre en una versión más reciente de Excel. Más información: https://go.microsoft.com/fwlink/?linkid=870924
Comentario:
    Corregir columna H - I,  ya que la información está errónea cronológicamente, tener en cuenta Ley de Garantías.</t>
      </text>
    </comment>
    <comment ref="H236" authorId="32" shapeId="0" xr:uid="{5CA86924-637A-437A-A86A-9A14FD23EA76}">
      <text>
        <t>[Comentario encadenado]
Su versión de Excel le permite leer este comentario encadenado; sin embargo, las ediciones que se apliquen se quitarán si el archivo se abre en una versión más reciente de Excel. Más información: https://go.microsoft.com/fwlink/?linkid=870924
Comentario:
    Corregir columna H - I,  ya que la información está errónea cronológicamente, tener en cuenta Ley de Garantías.</t>
      </text>
    </comment>
    <comment ref="H241" authorId="33" shapeId="0" xr:uid="{AE04BE33-8227-4237-86C8-20E6DD2D22AB}">
      <text>
        <t>[Comentario encadenado]
Su versión de Excel le permite leer este comentario encadenado; sin embargo, las ediciones que se apliquen se quitarán si el archivo se abre en una versión más reciente de Excel. Más información: https://go.microsoft.com/fwlink/?linkid=870924
Comentario:
    Corregir cronológicamente</t>
      </text>
    </comment>
    <comment ref="Q243" authorId="34" shapeId="0" xr:uid="{AE23FCAA-2369-4A3B-B530-AC9C38B384DB}">
      <text>
        <t>[Comentario encadenado]
Su versión de Excel le permite leer este comentario encadenado; sin embargo, las ediciones que se apliquen se quitarán si el archivo se abre en una versión más reciente de Excel. Más información: https://go.microsoft.com/fwlink/?linkid=870924
Comentario:
    Valor presupuesto vigencias superior al valor total del contrato, revisar.</t>
      </text>
    </comment>
    <comment ref="J264" authorId="35" shapeId="0" xr:uid="{54014E91-A265-4C39-A777-8BB789EF4024}">
      <text>
        <t>[Comentario encadenado]
Su versión de Excel le permite leer este comentario encadenado; sin embargo, las ediciones que se apliquen se quitarán si el archivo se abre en una versión más reciente de Excel. Más información: https://go.microsoft.com/fwlink/?linkid=870924
Comentario:
    Confirmar modalidad por valor contratación - Corresponde a una Simplificada</t>
      </text>
    </comment>
    <comment ref="J268" authorId="36" shapeId="0" xr:uid="{3113AD6A-E145-4823-B866-69E273EC93D2}">
      <text>
        <t>[Comentario encadenado]
Su versión de Excel le permite leer este comentario encadenado; sin embargo, las ediciones que se apliquen se quitarán si el archivo se abre en una versión más reciente de Excel. Más información: https://go.microsoft.com/fwlink/?linkid=870924
Comentario:
    Simplificada</t>
      </text>
    </comment>
    <comment ref="J277" authorId="37" shapeId="0" xr:uid="{2036E619-D42A-46AF-9480-68CD73231305}">
      <text>
        <t>[Comentario encadenado]
Su versión de Excel le permite leer este comentario encadenado; sin embargo, las ediciones que se apliquen se quitarán si el archivo se abre en una versión más reciente de Excel. Más información: https://go.microsoft.com/fwlink/?linkid=870924
Comentario:
    Confirmar modalidad por valor contratación - Corresponde a una Simplificada</t>
      </text>
    </comment>
    <comment ref="J278" authorId="38" shapeId="0" xr:uid="{79B7DF49-E3A7-43E5-8C50-68636BBCC1A9}">
      <text>
        <t>[Comentario encadenado]
Su versión de Excel le permite leer este comentario encadenado; sin embargo, las ediciones que se apliquen se quitarán si el archivo se abre en una versión más reciente de Excel. Más información: https://go.microsoft.com/fwlink/?linkid=870924
Comentario:
    Confirmar modalidad por valor contratación - Corresponde a una Simplificada</t>
      </text>
    </comment>
    <comment ref="J280" authorId="39" shapeId="0" xr:uid="{310695E7-DE97-436D-9D30-86251A109F64}">
      <text>
        <t>[Comentario encadenado]
Su versión de Excel le permite leer este comentario encadenado; sin embargo, las ediciones que se apliquen se quitarán si el archivo se abre en una versión más reciente de Excel. Más información: https://go.microsoft.com/fwlink/?linkid=870924
Comentario:
    Validar modalidad por valor contratación - Simplificada</t>
      </text>
    </comment>
    <comment ref="J281" authorId="40" shapeId="0" xr:uid="{7EEF0212-78AD-45AC-BFF0-8999B37DEBEB}">
      <text>
        <t>[Comentario encadenado]
Su versión de Excel le permite leer este comentario encadenado; sin embargo, las ediciones que se apliquen se quitarán si el archivo se abre en una versión más reciente de Excel. Más información: https://go.microsoft.com/fwlink/?linkid=870924
Comentario:
    Validar modalidad por valor contratación - Simplificada</t>
      </text>
    </comment>
    <comment ref="J282" authorId="41" shapeId="0" xr:uid="{BCF65B7A-6C95-47DC-B21B-F42906AE0BD5}">
      <text>
        <t>[Comentario encadenado]
Su versión de Excel le permite leer este comentario encadenado; sin embargo, las ediciones que se apliquen se quitarán si el archivo se abre en una versión más reciente de Excel. Más información: https://go.microsoft.com/fwlink/?linkid=870924
Comentario:
    Validar modalidad por valor contratación - Simplificada</t>
      </text>
    </comment>
    <comment ref="J312" authorId="42" shapeId="0" xr:uid="{202CC4BE-7835-4DD4-9EDE-BCF1FF757373}">
      <text>
        <t>[Comentario encadenado]
Su versión de Excel le permite leer este comentario encadenado; sin embargo, las ediciones que se apliquen se quitarán si el archivo se abre en una versión más reciente de Excel. Más información: https://go.microsoft.com/fwlink/?linkid=870924
Comentario:
    Validar modalidad por valor contratación - Simplificada</t>
      </text>
    </comment>
    <comment ref="J351" authorId="43" shapeId="0" xr:uid="{24C0C8CA-C08B-4D45-8194-BD291D8483EB}">
      <text>
        <t>[Comentario encadenado]
Su versión de Excel le permite leer este comentario encadenado; sin embargo, las ediciones que se apliquen se quitarán si el archivo se abre en una versión más reciente de Excel. Más información: https://go.microsoft.com/fwlink/?linkid=870924
Comentario:
    Directa</t>
      </text>
    </comment>
    <comment ref="J357" authorId="44" shapeId="0" xr:uid="{5D699AEA-919F-4672-B8A1-C1C050E2A088}">
      <text>
        <t>[Comentario encadenado]
Su versión de Excel le permite leer este comentario encadenado; sin embargo, las ediciones que se apliquen se quitarán si el archivo se abre en una versión más reciente de Excel. Más información: https://go.microsoft.com/fwlink/?linkid=870924
Comentario:
    Validar modalidad por valor contratación - Simplificada</t>
      </text>
    </comment>
    <comment ref="J358" authorId="45" shapeId="0" xr:uid="{FCCBA512-2320-4732-A9D4-BD1D6269A3A1}">
      <text>
        <t>[Comentario encadenado]
Su versión de Excel le permite leer este comentario encadenado; sin embargo, las ediciones que se apliquen se quitarán si el archivo se abre en una versión más reciente de Excel. Más información: https://go.microsoft.com/fwlink/?linkid=870924
Comentario:
    Validar modalidad por valor contratación - Simplificada</t>
      </text>
    </comment>
    <comment ref="J359" authorId="46" shapeId="0" xr:uid="{CF21A15C-8665-4EC7-97E3-0B704739F602}">
      <text>
        <t>[Comentario encadenado]
Su versión de Excel le permite leer este comentario encadenado; sin embargo, las ediciones que se apliquen se quitarán si el archivo se abre en una versión más reciente de Excel. Más información: https://go.microsoft.com/fwlink/?linkid=870924
Comentario:
    Validar modalidad por valor contratación - Simplificada</t>
      </text>
    </comment>
    <comment ref="J361" authorId="47" shapeId="0" xr:uid="{3F44EDB2-53C1-4A06-9CB7-5382349ADFD5}">
      <text>
        <t>[Comentario encadenado]
Su versión de Excel le permite leer este comentario encadenado; sin embargo, las ediciones que se apliquen se quitarán si el archivo se abre en una versión más reciente de Excel. Más información: https://go.microsoft.com/fwlink/?linkid=870924
Comentario:
    Validar modalidad por valor contratación - Simplificada</t>
      </text>
    </comment>
    <comment ref="J363" authorId="48" shapeId="0" xr:uid="{D899FEF7-5839-4DE4-B7F4-190538ACDE34}">
      <text>
        <t>[Comentario encadenado]
Su versión de Excel le permite leer este comentario encadenado; sin embargo, las ediciones que se apliquen se quitarán si el archivo se abre en una versión más reciente de Excel. Más información: https://go.microsoft.com/fwlink/?linkid=870924
Comentario:
    Validar modalidad por valor contratación - Simplificada</t>
      </text>
    </comment>
    <comment ref="J364" authorId="49" shapeId="0" xr:uid="{E19DA574-6C77-4BF1-BE79-18545CD2C0F8}">
      <text>
        <t>[Comentario encadenado]
Su versión de Excel le permite leer este comentario encadenado; sin embargo, las ediciones que se apliquen se quitarán si el archivo se abre en una versión más reciente de Excel. Más información: https://go.microsoft.com/fwlink/?linkid=870924
Comentario:
    Validar modalidad por valor contratación - Simplificada</t>
      </text>
    </comment>
    <comment ref="J365" authorId="50" shapeId="0" xr:uid="{8F0D019A-2902-4CC3-A082-5B7553BA2E20}">
      <text>
        <t>[Comentario encadenado]
Su versión de Excel le permite leer este comentario encadenado; sin embargo, las ediciones que se apliquen se quitarán si el archivo se abre en una versión más reciente de Excel. Más información: https://go.microsoft.com/fwlink/?linkid=870924
Comentario:
    Validar modalidad por valor contratación - Simplificada</t>
      </text>
    </comment>
    <comment ref="J366" authorId="51" shapeId="0" xr:uid="{2766CF86-3536-42AA-9B35-ECDC7513F4F3}">
      <text>
        <t>[Comentario encadenado]
Su versión de Excel le permite leer este comentario encadenado; sin embargo, las ediciones que se apliquen se quitarán si el archivo se abre en una versión más reciente de Excel. Más información: https://go.microsoft.com/fwlink/?linkid=870924
Comentario:
    Validar modalidad por valor contratación - Simplificada</t>
      </text>
    </comment>
    <comment ref="J367" authorId="52" shapeId="0" xr:uid="{D548C541-7CD2-406E-AC15-3D6C14250699}">
      <text>
        <t>[Comentario encadenado]
Su versión de Excel le permite leer este comentario encadenado; sin embargo, las ediciones que se apliquen se quitarán si el archivo se abre en una versión más reciente de Excel. Más información: https://go.microsoft.com/fwlink/?linkid=870924
Comentario:
    Validar modalidad por valor contratación - Simplificada</t>
      </text>
    </comment>
    <comment ref="J369" authorId="53" shapeId="0" xr:uid="{E39CC03C-2575-46F9-80CE-D7814B77DC4A}">
      <text>
        <t>[Comentario encadenado]
Su versión de Excel le permite leer este comentario encadenado; sin embargo, las ediciones que se apliquen se quitarán si el archivo se abre en una versión más reciente de Excel. Más información: https://go.microsoft.com/fwlink/?linkid=870924
Comentario:
    Validar modalidad por valor contratación - Simplificada</t>
      </text>
    </comment>
    <comment ref="J375" authorId="54" shapeId="0" xr:uid="{BCE6293F-3E58-47CD-A570-E12F76EE2984}">
      <text>
        <t>[Comentario encadenado]
Su versión de Excel le permite leer este comentario encadenado; sin embargo, las ediciones que se apliquen se quitarán si el archivo se abre en una versión más reciente de Excel. Más información: https://go.microsoft.com/fwlink/?linkid=870924
Comentario:
    Validar modalidad por valor contratación - Simplificada</t>
      </text>
    </comment>
    <comment ref="J384" authorId="55" shapeId="0" xr:uid="{B122B3C2-24EC-4242-970D-993E7B8697CF}">
      <text>
        <t>[Comentario encadenado]
Su versión de Excel le permite leer este comentario encadenado; sin embargo, las ediciones que se apliquen se quitarán si el archivo se abre en una versión más reciente de Excel. Más información: https://go.microsoft.com/fwlink/?linkid=870924
Comentario:
    Cerrada</t>
      </text>
    </comment>
    <comment ref="J385" authorId="56" shapeId="0" xr:uid="{31229157-D3CE-478C-9797-335B0C422B66}">
      <text>
        <t>[Comentario encadenado]
Su versión de Excel le permite leer este comentario encadenado; sin embargo, las ediciones que se apliquen se quitarán si el archivo se abre en una versión más reciente de Excel. Más información: https://go.microsoft.com/fwlink/?linkid=870924
Comentario:
    Cerrada</t>
      </text>
    </comment>
    <comment ref="F400" authorId="57" shapeId="0" xr:uid="{AF2CA3BA-F780-4AF3-9BF1-7426A578591A}">
      <text>
        <t>[Comentario encadenado]
Su versión de Excel le permite leer este comentario encadenado; sin embargo, las ediciones que se apliquen se quitarán si el archivo se abre en una versión más reciente de Excel. Más información: https://go.microsoft.com/fwlink/?linkid=870924
Comentario:
    Confirmar si la necesidad se incluye en PAA 2026 y validar información línea</t>
      </text>
    </comment>
    <comment ref="J438" authorId="58" shapeId="0" xr:uid="{61D19B68-A283-4FB2-B96A-DECC7E2E4745}">
      <text>
        <t>[Comentario encadenado]
Su versión de Excel le permite leer este comentario encadenado; sin embargo, las ediciones que se apliquen se quitarán si el archivo se abre en una versión más reciente de Excel. Más información: https://go.microsoft.com/fwlink/?linkid=870924
Comentario:
    Validar modalidad por valor contratación - Simplificada</t>
      </text>
    </comment>
    <comment ref="J439" authorId="59" shapeId="0" xr:uid="{662C09D7-4480-463B-A4A8-F1D58F0903B0}">
      <text>
        <t>[Comentario encadenado]
Su versión de Excel le permite leer este comentario encadenado; sin embargo, las ediciones que se apliquen se quitarán si el archivo se abre en una versión más reciente de Excel. Más información: https://go.microsoft.com/fwlink/?linkid=870924
Comentario:
    Validar modalidad por valor contratación - Simplificada</t>
      </text>
    </comment>
    <comment ref="J440" authorId="60" shapeId="0" xr:uid="{39272659-8E77-472D-B685-5948CD830BBA}">
      <text>
        <t>[Comentario encadenado]
Su versión de Excel le permite leer este comentario encadenado; sin embargo, las ediciones que se apliquen se quitarán si el archivo se abre en una versión más reciente de Excel. Más información: https://go.microsoft.com/fwlink/?linkid=870924
Comentario:
    Validar modalidad por valor contratación - Simplificada</t>
      </text>
    </comment>
    <comment ref="J441" authorId="61" shapeId="0" xr:uid="{A21C179F-155A-4AF1-8D75-B38AE495C053}">
      <text>
        <t>[Comentario encadenado]
Su versión de Excel le permite leer este comentario encadenado; sin embargo, las ediciones que se apliquen se quitarán si el archivo se abre en una versión más reciente de Excel. Más información: https://go.microsoft.com/fwlink/?linkid=870924
Comentario:
    Validar modalidad por valor contratación - Simplificada</t>
      </text>
    </comment>
    <comment ref="J442" authorId="62" shapeId="0" xr:uid="{98AE2B21-F1AD-46DB-B385-98A2C4590CC2}">
      <text>
        <t>[Comentario encadenado]
Su versión de Excel le permite leer este comentario encadenado; sin embargo, las ediciones que se apliquen se quitarán si el archivo se abre en una versión más reciente de Excel. Más información: https://go.microsoft.com/fwlink/?linkid=870924
Comentario:
    Validar modalidad por valor contratación - Simplificada</t>
      </text>
    </comment>
    <comment ref="F453" authorId="63" shapeId="0" xr:uid="{549786A6-18C6-412A-BCF3-66FBB87573A4}">
      <text>
        <t>[Comentario encadenado]
Su versión de Excel le permite leer este comentario encadenado; sin embargo, las ediciones que se apliquen se quitarán si el archivo se abre en una versión más reciente de Excel. Más información: https://go.microsoft.com/fwlink/?linkid=870924
Comentario:
    Por favor confirmar necesidad, ya que la línea puede estar repetida con “Adecuación oficinas Tunja” en PAA de la Subgerencia de Recursos Físicos, definir cual se deja y/o unificar.</t>
      </text>
    </comment>
    <comment ref="J453" authorId="64" shapeId="0" xr:uid="{7761E4A5-58A8-4020-8B93-BB85799C0AB4}">
      <text>
        <t>[Comentario encadenado]
Su versión de Excel le permite leer este comentario encadenado; sin embargo, las ediciones que se apliquen se quitarán si el archivo se abre en una versión más reciente de Excel. Más información: https://go.microsoft.com/fwlink/?linkid=870924
Comentario:
    Cerrada</t>
      </text>
    </comment>
    <comment ref="J458" authorId="65" shapeId="0" xr:uid="{D8F9B61E-86A6-4FEE-AA0B-4B00B2648F53}">
      <text>
        <t>[Comentario encadenado]
Su versión de Excel le permite leer este comentario encadenado; sin embargo, las ediciones que se apliquen se quitarán si el archivo se abre en una versión más reciente de Excel. Más información: https://go.microsoft.com/fwlink/?linkid=870924
Comentario:
    Cerrada</t>
      </text>
    </comment>
    <comment ref="F460" authorId="66" shapeId="0" xr:uid="{8AF3752B-C293-4BD9-A386-B59F4ED1B165}">
      <text>
        <t>[Comentario encadenado]
Su versión de Excel le permite leer este comentario encadenado; sin embargo, las ediciones que se apliquen se quitarán si el archivo se abre en una versión más reciente de Excel. Más información: https://go.microsoft.com/fwlink/?linkid=870924
Comentario:
    Confirmar si la necesidad se incluye en PAA 2026 y validar información línea</t>
      </text>
    </comment>
    <comment ref="J460" authorId="67" shapeId="0" xr:uid="{1E5B70C0-E685-47D9-BA03-C12BE353BF55}">
      <text>
        <t>[Comentario encadenado]
Su versión de Excel le permite leer este comentario encadenado; sin embargo, las ediciones que se apliquen se quitarán si el archivo se abre en una versión más reciente de Excel. Más información: https://go.microsoft.com/fwlink/?linkid=870924
Comentario:
    Cerrada</t>
      </text>
    </comment>
    <comment ref="F466" authorId="68" shapeId="0" xr:uid="{E7BB4C7E-2C35-4FDE-A36C-652B8DC87EA1}">
      <text>
        <t>[Comentario encadenado]
Su versión de Excel le permite leer este comentario encadenado; sin embargo, las ediciones que se apliquen se quitarán si el archivo se abre en una versión más reciente de Excel. Más información: https://go.microsoft.com/fwlink/?linkid=870924
Comentario:
    Confirmar si la necesidad se incluye en PAA 2026 y validar información línea</t>
      </text>
    </comment>
    <comment ref="F471" authorId="69" shapeId="0" xr:uid="{0DC46E25-FA47-4C65-8D1C-5AA25383628F}">
      <text>
        <t>[Comentario encadenado]
Su versión de Excel le permite leer este comentario encadenado; sin embargo, las ediciones que se apliquen se quitarán si el archivo se abre en una versión más reciente de Excel. Más información: https://go.microsoft.com/fwlink/?linkid=870924
Comentario:
    Por favor confirmar necesidad, ya que la línea puede estar repetida con “Adecuación oficinas Villavicencio” en PAA de la Subgerencia de Recursos Fisicos, definir cual se deja y/o unificar.</t>
      </text>
    </comment>
    <comment ref="J474" authorId="70" shapeId="0" xr:uid="{B0AB1093-0445-46BC-A22D-F1187D557BB6}">
      <text>
        <t>[Comentario encadenado]
Su versión de Excel le permite leer este comentario encadenado; sin embargo, las ediciones que se apliquen se quitarán si el archivo se abre en una versión más reciente de Excel. Más información: https://go.microsoft.com/fwlink/?linkid=870924
Comentario:
    Validar modalidad por valor contratación - Simplificada</t>
      </text>
    </comment>
    <comment ref="J475" authorId="71" shapeId="0" xr:uid="{940FA618-FA8F-4CB8-AD4C-46AFB4955075}">
      <text>
        <t>[Comentario encadenado]
Su versión de Excel le permite leer este comentario encadenado; sin embargo, las ediciones que se apliquen se quitarán si el archivo se abre en una versión más reciente de Excel. Más información: https://go.microsoft.com/fwlink/?linkid=870924
Comentario:
    Validar modalidad por valor contratación - Simplificada</t>
      </text>
    </comment>
    <comment ref="J476" authorId="72" shapeId="0" xr:uid="{59B7E3DC-3316-427E-AB61-57EAB2A9FBF7}">
      <text>
        <t>[Comentario encadenado]
Su versión de Excel le permite leer este comentario encadenado; sin embargo, las ediciones que se apliquen se quitarán si el archivo se abre en una versión más reciente de Excel. Más información: https://go.microsoft.com/fwlink/?linkid=870924
Comentario:
    Validar modalidad por valor contratación - Simplificada</t>
      </text>
    </comment>
    <comment ref="J477" authorId="73" shapeId="0" xr:uid="{06F5DBF2-77ED-451F-A13C-4B1DE477320D}">
      <text>
        <t>[Comentario encadenado]
Su versión de Excel le permite leer este comentario encadenado; sin embargo, las ediciones que se apliquen se quitarán si el archivo se abre en una versión más reciente de Excel. Más información: https://go.microsoft.com/fwlink/?linkid=870924
Comentario:
    Validar modalidad por valor contratación - Simplificada</t>
      </text>
    </comment>
    <comment ref="J478" authorId="74" shapeId="0" xr:uid="{56AA8DB9-065E-49C5-8E56-80FBF078CB37}">
      <text>
        <t>[Comentario encadenado]
Su versión de Excel le permite leer este comentario encadenado; sin embargo, las ediciones que se apliquen se quitarán si el archivo se abre en una versión más reciente de Excel. Más información: https://go.microsoft.com/fwlink/?linkid=870924
Comentario:
    Validar modalidad por valor contratación - Simplificada</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MITZI TATIANA FERRO</author>
  </authors>
  <commentList>
    <comment ref="AE11" authorId="0" shapeId="0" xr:uid="{49828359-41D4-4E1C-AC3A-E25A026F3A3B}">
      <text>
        <r>
          <rPr>
            <b/>
            <sz val="16"/>
            <color indexed="81"/>
            <rFont val="Calibri"/>
            <family val="2"/>
            <scheme val="minor"/>
          </rPr>
          <t xml:space="preserve">INTRODUZCA LA FECHA (AAAA-MM-DD) </t>
        </r>
        <r>
          <rPr>
            <sz val="16"/>
            <color indexed="81"/>
            <rFont val="Calibri"/>
            <family val="2"/>
            <scheme val="minor"/>
          </rPr>
          <t xml:space="preserve">y el avance respectivo frente a la actividad
(Cada vez que introduzca el seguimiento, no botrre los seguiminetos anteriores, deje la trazabilidad)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MITZI TATIANA FERRO</author>
  </authors>
  <commentList>
    <comment ref="AL11" authorId="0" shapeId="0" xr:uid="{D11F7AD5-A3D1-4F9F-89FE-EFE3503623FC}">
      <text>
        <r>
          <rPr>
            <b/>
            <sz val="16"/>
            <color indexed="81"/>
            <rFont val="Calibri"/>
            <family val="2"/>
            <scheme val="minor"/>
          </rPr>
          <t xml:space="preserve">INTRODUZCA LA FECHA (AAAA-MM-DD) </t>
        </r>
        <r>
          <rPr>
            <sz val="16"/>
            <color indexed="81"/>
            <rFont val="Calibri"/>
            <family val="2"/>
            <scheme val="minor"/>
          </rPr>
          <t xml:space="preserve">y el avance respectivo frente a la actividad
(Cada vez que introduzca el seguimiento, no botrre los seguiminetos anteriores, deje la trazabilidad)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MITZI TATIANA FERRO</author>
  </authors>
  <commentList>
    <comment ref="AH11" authorId="0" shapeId="0" xr:uid="{1DA12D47-A495-4D0B-9883-F7548F58542C}">
      <text>
        <r>
          <rPr>
            <b/>
            <sz val="16"/>
            <color indexed="81"/>
            <rFont val="Calibri"/>
            <family val="2"/>
            <scheme val="minor"/>
          </rPr>
          <t xml:space="preserve">INTRODUZCA LA FECHA (AAAA-MM-DD) </t>
        </r>
        <r>
          <rPr>
            <sz val="16"/>
            <color indexed="81"/>
            <rFont val="Calibri"/>
            <family val="2"/>
            <scheme val="minor"/>
          </rPr>
          <t xml:space="preserve">y el avance respectivo frente a la actividad
(Cada vez que introduzca el seguimiento, no botrre los seguiminetos anteriores, deje la trazabilidad)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MITZI TATIANA FERRO</author>
  </authors>
  <commentList>
    <comment ref="AH11" authorId="0" shapeId="0" xr:uid="{A61195D2-8BA1-4283-BC65-E3556E5D7879}">
      <text>
        <r>
          <rPr>
            <b/>
            <sz val="16"/>
            <color indexed="81"/>
            <rFont val="Calibri"/>
            <family val="2"/>
            <scheme val="minor"/>
          </rPr>
          <t xml:space="preserve">INTRODUZCA LA FECHA (AAAA-MM-DD) </t>
        </r>
        <r>
          <rPr>
            <sz val="16"/>
            <color indexed="81"/>
            <rFont val="Calibri"/>
            <family val="2"/>
            <scheme val="minor"/>
          </rPr>
          <t xml:space="preserve">y el avance respectivo frente a la actividad
(Cada vez que introduzca el seguimiento, no botrre los seguiminetos anteriores, deje la trazabilidad)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MITZI TATIANA FERRO</author>
  </authors>
  <commentList>
    <comment ref="AG11" authorId="0" shapeId="0" xr:uid="{2DE4E0A3-9D94-4E11-A043-BA5C4397F4C6}">
      <text>
        <r>
          <rPr>
            <b/>
            <sz val="16"/>
            <color indexed="81"/>
            <rFont val="Calibri"/>
            <family val="2"/>
            <scheme val="minor"/>
          </rPr>
          <t xml:space="preserve">INTRODUZCA LA FECHA (AAAA-MM-DD) </t>
        </r>
        <r>
          <rPr>
            <sz val="16"/>
            <color indexed="81"/>
            <rFont val="Calibri"/>
            <family val="2"/>
            <scheme val="minor"/>
          </rPr>
          <t xml:space="preserve">y el avance respectivo frente a la actividad
(Cada vez que introduzca el seguimiento, no botrre los seguiminetos anteriores, deje la trazabilidad)
</t>
        </r>
      </text>
    </comment>
  </commentList>
</comments>
</file>

<file path=xl/sharedStrings.xml><?xml version="1.0" encoding="utf-8"?>
<sst xmlns="http://schemas.openxmlformats.org/spreadsheetml/2006/main" count="9654" uniqueCount="1678">
  <si>
    <t>CONTROL DE CAMBIOS</t>
  </si>
  <si>
    <t>VERSIÓN</t>
  </si>
  <si>
    <t>FECHA</t>
  </si>
  <si>
    <t>CAMBIOS REALIZADOS</t>
  </si>
  <si>
    <t>EJECUCIÓN PLAN INSTITUCIONAL DE ACCIÓN ANUAL (PIAA)</t>
  </si>
  <si>
    <t xml:space="preserve">PLAN </t>
  </si>
  <si>
    <t>EJECUTADO GLOBAL</t>
  </si>
  <si>
    <t>CUMPLIMIENTO I TRIMESTRE</t>
  </si>
  <si>
    <t>CUMPLIMIENTO II TRIMESTRE</t>
  </si>
  <si>
    <t>CUMPLIMIENTO III TRIMESTRE</t>
  </si>
  <si>
    <t>CUMPLIMIENTO IV TRIMESTRE</t>
  </si>
  <si>
    <t>PIAA</t>
  </si>
  <si>
    <t>% DE AVANCE ACUMULADO - 2023</t>
  </si>
  <si>
    <t>EJECUCIÓN GLOBAL II TRIMESTRE</t>
  </si>
  <si>
    <t>EJECUCIÓN GLOBAL III TRIMESTRE</t>
  </si>
  <si>
    <t>EJECUCIÓN GLOBAL IV TRIMESTRE</t>
  </si>
  <si>
    <t>PSEC</t>
  </si>
  <si>
    <t>PINS</t>
  </si>
  <si>
    <t>PINAR</t>
  </si>
  <si>
    <t>PETH</t>
  </si>
  <si>
    <t>PAA</t>
  </si>
  <si>
    <t>PIC</t>
  </si>
  <si>
    <t>PII</t>
  </si>
  <si>
    <t>PSST</t>
  </si>
  <si>
    <t>PAAC</t>
  </si>
  <si>
    <t>PETI</t>
  </si>
  <si>
    <t>PTRSPI</t>
  </si>
  <si>
    <t>PSPI</t>
  </si>
  <si>
    <t xml:space="preserve">PLAN INTEGRADO DE ACCIÓN ANUAL 2023 - TABLERO DE CONTROL </t>
  </si>
  <si>
    <t>PLAN</t>
  </si>
  <si>
    <t>AVANCE I TRIM</t>
  </si>
  <si>
    <t>SECTORIAL</t>
  </si>
  <si>
    <t xml:space="preserve">INSTITUCIONAL </t>
  </si>
  <si>
    <t>PLAN INTEGRADO DE ACCIÓN ANUAL 2026 - SECTORIAL (DEFINIDO POR EL MINISTERIO DE HACIENDA Y CRÉDITO PÚBLICO)</t>
  </si>
  <si>
    <t>CONTROL EJECUCIÓN</t>
  </si>
  <si>
    <t>ROJO</t>
  </si>
  <si>
    <t>CONTROL CUMPLIMIENTO</t>
  </si>
  <si>
    <t>VERDE</t>
  </si>
  <si>
    <t>RESPONSABLE SEGUIMIENTO:</t>
  </si>
  <si>
    <t>GERENCIA DE INNOVACIÓN Y PROCESOS</t>
  </si>
  <si>
    <t>TOTAL PROGRAMADO:</t>
  </si>
  <si>
    <t>META</t>
  </si>
  <si>
    <t xml:space="preserve">TOTAL CUMPLIMIENTO I TRIMESTRE </t>
  </si>
  <si>
    <t>TOTAL CUMPLIMIENTO II TRIMESTRE</t>
  </si>
  <si>
    <t>TOTAL CUMPLIMIENTO III TRIMESTRE</t>
  </si>
  <si>
    <t>TOTAL CUMPLIMIENTO IV TRIMESTRE</t>
  </si>
  <si>
    <t>PARTE 1. ALINEACIÓN PLANEACIÓN ESTRATÉGICA</t>
  </si>
  <si>
    <t>PARTE 2. PLANIFICACIÓN ACTIVIDADES 2026</t>
  </si>
  <si>
    <t>PARTE 3. SEGUIMIENTO CUANTITATIVO</t>
  </si>
  <si>
    <t>PARTE 4. SEGUIMIENTO CUALITATIVO</t>
  </si>
  <si>
    <t xml:space="preserve">No. </t>
  </si>
  <si>
    <t>OBJETIVO ESTRATÉGICO  SECTORIAL</t>
  </si>
  <si>
    <t>OBJETIVO ESTRATEGICO PREVISORA</t>
  </si>
  <si>
    <t>DIMENSIÓN MIPG</t>
  </si>
  <si>
    <t>POLÍTICA MIPG</t>
  </si>
  <si>
    <t>RESPONSABLE</t>
  </si>
  <si>
    <t>DESCRIPCIÓN TAREA</t>
  </si>
  <si>
    <t xml:space="preserve">MEDICIÓN   </t>
  </si>
  <si>
    <t>RECURSOS</t>
  </si>
  <si>
    <t>PRESUPUESTO (FUENTE DE FINANCIAMIENTO)</t>
  </si>
  <si>
    <t>SEGUIMIENTO</t>
  </si>
  <si>
    <t>FECHA INICIAL</t>
  </si>
  <si>
    <t>FECHA FINAL</t>
  </si>
  <si>
    <t>PLANIFICACIÓN</t>
  </si>
  <si>
    <t>% Peso actividad dentro del plan</t>
  </si>
  <si>
    <t xml:space="preserve">Total % de avance </t>
  </si>
  <si>
    <t>ENERO</t>
  </si>
  <si>
    <t>FEBRERO</t>
  </si>
  <si>
    <t>MARZO</t>
  </si>
  <si>
    <t>ABRIL</t>
  </si>
  <si>
    <t>MAYO</t>
  </si>
  <si>
    <t>JUNIO</t>
  </si>
  <si>
    <t>JULIO</t>
  </si>
  <si>
    <t>AGOSTO</t>
  </si>
  <si>
    <t>SEPTIEMBRE</t>
  </si>
  <si>
    <t>OCTUBRE</t>
  </si>
  <si>
    <t>NOVIEMBRE</t>
  </si>
  <si>
    <t>DICIEMBRE</t>
  </si>
  <si>
    <t>ENERO 2024</t>
  </si>
  <si>
    <t>SEGUIMIENTO I TRIMESTRE</t>
  </si>
  <si>
    <t>SEGUIMIENTO II TRIMESTRE</t>
  </si>
  <si>
    <t>SEGUIMIENTO III TRIMESTRE</t>
  </si>
  <si>
    <t>SEGUIMIENTO IV TRIMESTRE</t>
  </si>
  <si>
    <t>GR1. FORTALECER LOS MECANISMOS PARA UNA CULTURA DE TRANSPARENCIA Y PARTICIPACIÓN CIUDADANA EN LAS ENTIDADES DEL SECTOR HACIENDA</t>
  </si>
  <si>
    <t xml:space="preserve">INCREMENTAR EL POSICIONAMIENTO Y RECONOCIMIENTO DE PREVISORA COMO UNA COMPAÑÍA SÓLIDA Y CONFIABLE </t>
  </si>
  <si>
    <t>DIMENSIÓN 3. GESTIÓN CON VALORES PARA RESULTADOS</t>
  </si>
  <si>
    <t>D3. PARTICIPACIÓN CIUDADANA EN LA GESTIÓN PÚBLICA</t>
  </si>
  <si>
    <t>GERENCIA DE SERVICIO</t>
  </si>
  <si>
    <t>Participar en las actividades que se definan en las mesas sectoriales de Relacionamiento Ciudadano - 2025</t>
  </si>
  <si>
    <t>Asistencia y participación entidades del Sector Hacienda.</t>
  </si>
  <si>
    <t>RECURSOS HUMANOS</t>
  </si>
  <si>
    <t>N/A</t>
  </si>
  <si>
    <t>TRIMESTRAL</t>
  </si>
  <si>
    <t>Ejecutado</t>
  </si>
  <si>
    <t>se participo en la sesion programada el 26 de enero - Capacitacion masiva servicio a la ciudadania</t>
  </si>
  <si>
    <t>se participo en la sesion programada el 27 de junio</t>
  </si>
  <si>
    <t>Por parte del Ministerio de Hacienda no se ha citado nueva reunion mesa sectorial de Servicio al Ciudadano</t>
  </si>
  <si>
    <t>Se revisaron las presentaciones realizadas en las sesiones  y se cargaron en el SMGI.</t>
  </si>
  <si>
    <t>Programado</t>
  </si>
  <si>
    <t>GC1. FORTALECER LAS CAPACIDADES DEL TALENTO HUMANO Y PROMOVER LA CULTURA DE INTEGRIDAD DEL SECTOR HACIENDA</t>
  </si>
  <si>
    <t xml:space="preserve">DIMENSIÓN 5. INFORMACIÓN Y COMUNICACIÓN </t>
  </si>
  <si>
    <t xml:space="preserve">D5. TRANSPARENCIA, ACCESO A LA INFORMACIÓN PÚBLICA Y LUCHA CONTRA LA CORRUPCIÓN </t>
  </si>
  <si>
    <t>OFICINA DE CONTROL INTERNO DISCIPLINARIO</t>
  </si>
  <si>
    <t>Participar de las sesiones del colectivo disciplinario y de las actividades que se deriven de las mesas de trabajo. - 2025</t>
  </si>
  <si>
    <t>RECURSOS HUMANOS - TÉCNOLOGICOS</t>
  </si>
  <si>
    <t xml:space="preserve">Se asistió a convocatorias desde el MHCP los dias 09 de febrero y 29 de marzo del 2023 respectivamente. Se adjuntan evidencias. </t>
  </si>
  <si>
    <t>Se asistió a la convocatoria desde el MHCP los días 11 de mayo y 29 de junio de 2023 respectivamente. Se adjuntan evidencias</t>
  </si>
  <si>
    <t>A día de hoy 12 de septiembre no nos han convocadoa a otra sesión del Colectivo Disciplinario.</t>
  </si>
  <si>
    <t>El día 27 de octubre hubo la quinta y última sesión del Colectivo Disciplinario.</t>
  </si>
  <si>
    <t>GR2. FORTALECER LA GESTIÓN DE CONOCIMIENTO E INNOVACIÓN EN LAS ENTIDADES DEL SECTOR HACIENDA</t>
  </si>
  <si>
    <t>FORTALECER LA INNOVACIÓN PARA ASEGURAR LA EFICIENCIA Y MEJORAMIENTO DE LA COMPAÑÍA, Y CONSOLIDAR FACTORES DE COMPETITIVIDAD EN EL MERCADO.</t>
  </si>
  <si>
    <t xml:space="preserve">DIMENSIÓN 6. GESTIÓN DEL CONOCIMIENTO </t>
  </si>
  <si>
    <t xml:space="preserve">D6. GESTIÓN DEL CONOCIMIENTO Y LA INFORMACIÓN </t>
  </si>
  <si>
    <t>Participar en la comunidad de practica sectorial de Gestión del Conocimiento e innovación - 2025</t>
  </si>
  <si>
    <t>No se han recibido convocatorias para participar en las mesas y actividades sectoriales de la Política de Gestión del Conocimiento y la Innovación</t>
  </si>
  <si>
    <t>La Previsora participó en el Evento presencial - Comunidad de práctica Gestión del Conocimiento e Innovación - Sector Hacienda realizado el 21 de diciembre en la Casa Santa Bárbara del MHCP.</t>
  </si>
  <si>
    <t>GC2. FORTALECER LA GESTIÓN PÚBLICA A TRAVÉS DE PROCESOS ADMINISTRATIVOS, FINANCIEROS Y JURÍDICOS DEL SECTOR HACIENDA</t>
  </si>
  <si>
    <t xml:space="preserve">LOGRAR SOSTENIBILIDAD ECONÓMICA, SOCIAL, AMBIENTAL Y DE BUEN GOBIERNO BUSCANDO RENTABILIDAD PARA LOS ACCIONISTAS. </t>
  </si>
  <si>
    <t>D3. DEFENSA JURÍDICA</t>
  </si>
  <si>
    <t>GERENCIA DE LITIGIOS</t>
  </si>
  <si>
    <t>Realizar informe con las conclusiones del análisis de casos perdidos y ganados y/o análisis de riesgos conforme al aplicativo dispuesto por la ANDJE - 2025</t>
  </si>
  <si>
    <t>No se han recibido convocatorias para participar en las mesas y actividades sectoriales de gestión documental</t>
  </si>
  <si>
    <t xml:space="preserve">Se hace participación en la convocatoria del Jueves 22 de junio del 2023 - El propósito fue el de dar a conocer los resultados del último Diagnóstico para la Consolidación y Fortalecimiento de la Gestión Documental.   </t>
  </si>
  <si>
    <t>Participación en la Segunda Mesa Sectorial de Gestión Documental, realizada el día 14 de septiembre de 2023 a través de la plataforma Teams.</t>
  </si>
  <si>
    <t>GR3. PROMOVER LA TRASNFORMACIÓN DIGITAL EN LAS ENTIDADES DEL SECTOR PARA CONTRIBUIR A LA MODERNIZACIÓN DE LOS PROCESOS DE ENTREGA DE PRODUCTOS Y SERVICIOS DE CADA ENTIDAD</t>
  </si>
  <si>
    <t>ACTIVAR LA RUTA TRANSFORMACIÓN DIGITAL DE PREVISORA, ASEGURANDO LAS CAPACIDADES, INFRAESTRUCTURA TECNOLÓGICA Y PROCESOS EFICIENTES QUE REQUIERE UNA EXPERIENCIA EMPÁTICA Y ÁGIL CON LOS CLIENTES E INTERMEDIARIOS.</t>
  </si>
  <si>
    <t>D3. SEGURIDAD DIGITAL</t>
  </si>
  <si>
    <t>GERENCIA DE RIESGOS</t>
  </si>
  <si>
    <t>Participar en las actividades que convoque el líder temático de Gobierno Digital y Seguridad Digital - 2025</t>
  </si>
  <si>
    <t xml:space="preserve">POTENCIAR LAS CAPACIDADES Y COMPETENCIAS REQUERIDAS PARA EL CUMPLIMIENTO DE LA ESTRATEGIA Y PARA MANTENER SU RECONOCIMIENTO COMO UNA COMPAÑÍA LÍDER EN EL MERCADO. </t>
  </si>
  <si>
    <t>DIMENSIÓN 1. TALENTO HUMANO</t>
  </si>
  <si>
    <t>D1. TALENTO HUMANO</t>
  </si>
  <si>
    <t>GERENCIA DE TALENTO HUMANO</t>
  </si>
  <si>
    <t>Participar en las mesas sectoriales, capacitaciones gestionadas por el Ministerio de Hacienda en el marco de la dimensión del Talento Humano -2025</t>
  </si>
  <si>
    <t xml:space="preserve">No se recibieron convocatorias sectoriales frente al seguimiento a la apropiación de tecnologías emergentes por parte del Ministerio de Hacienda y Crédito Público. </t>
  </si>
  <si>
    <t>En el marco de la Política de Seguridad Digital, Previsora asistió a la sesión con el Grupo de Respuesta a Emergencias Cibernéticas de Colombia - COLCERT,  quien actualmente es el punto de contacto para coordinar la prevención, mitigación, gestión y respuesta ante incidentes de seguridad digital.</t>
  </si>
  <si>
    <t>No se recibieron convocatorias sectoriales frente al seguimiento a la apropiación de tecnologías emergentes por parte del Ministerio de Hacienda y Crédito Público</t>
  </si>
  <si>
    <t>Se registraron las actividades en el SMGI. Ya se encuentra cumplida al 100% de acuerdo con las sesiones programadas.</t>
  </si>
  <si>
    <t>GERENCIA JURÍDICA</t>
  </si>
  <si>
    <t>Participar en las mesas sectoriales de la política de Defensa Jurídica del Sector Hacienda - 2025</t>
  </si>
  <si>
    <t>La Gerente de Talento Humano Tatiana Urrutia y la Secretaria General Leidy Mojica, participaron en la Mesa Sectorial Plan de Formalizacion del Empleo Publico en Equidad desarrollada el 21 de abril de 2023 en el auditorio del DAFP.</t>
  </si>
  <si>
    <t>No se recibieron convocatorias sectoriales frente a la política de integridad por parte de la Función Pública. Adicionalmente, la agenda de consulta de las sesiones realizadas no se tuvo disponible durante el tercer trimestre.</t>
  </si>
  <si>
    <t>OPTIMIZAR EL MODELO OPERATIVO CON PROCESOS TRANSVERSALES Y SISTEMAS INTEGRADOS PARA SER MÁS ÁGILES, FLEXIBLES Y EFICACES.</t>
  </si>
  <si>
    <t>D5. GESTIÓN DOCUMENTAL</t>
  </si>
  <si>
    <t>SUBGERENCIA DE RECURSOS FÍSICOS</t>
  </si>
  <si>
    <t>Participar en las mesas y actividades sectoriales de Gestión Documental - 2025</t>
  </si>
  <si>
    <t xml:space="preserve">No se recibió citación o invitación para participar de la mesa sectorial de política de defensa jurídica sector hacienda. </t>
  </si>
  <si>
    <t>No se recibió citación o invitación para participar de la mesa sectorial de política de defensa jurídica sector hacienda. A la espera de confirmar si la primera sesión se realizó antes del 30 de junio de 2023.</t>
  </si>
  <si>
    <t>No se recibió citación o invitación para participar de la mesa sectorial de política de defensa jurídica sector hacienda.</t>
  </si>
  <si>
    <t>D3. FORTALECIMIENTO ORGANIZACIONAL Y SIMPLIFICACIÓN DE PROCESOS</t>
  </si>
  <si>
    <t>SECRETARÍA GENERAL</t>
  </si>
  <si>
    <t>Participar en las mesas sectoriales de gestión y desempeño ambiental - 2025</t>
  </si>
  <si>
    <t>No aplica seguimiento para este periodo.</t>
  </si>
  <si>
    <t>Ejecutado por semana</t>
  </si>
  <si>
    <t>Ejecutado por mes</t>
  </si>
  <si>
    <t>Ejecutado por trimestre</t>
  </si>
  <si>
    <t>Ejecutado por año acumulado</t>
  </si>
  <si>
    <t>Programado por semana</t>
  </si>
  <si>
    <t>Programado por mes</t>
  </si>
  <si>
    <t>Programado por trimestre</t>
  </si>
  <si>
    <t>Programado por año acumulado</t>
  </si>
  <si>
    <t>% C SEMANAL A / META SEMANAL A</t>
  </si>
  <si>
    <t>% C SEMANAL ACUMULADO / META PW</t>
  </si>
  <si>
    <t>%C MES / META MES</t>
  </si>
  <si>
    <t>%C MES ACUMULADO / META PW</t>
  </si>
  <si>
    <t>%C TRIMESTRE / META TRIMESTRE A</t>
  </si>
  <si>
    <t>%C TRIMESTRE / META PW</t>
  </si>
  <si>
    <t xml:space="preserve">SEGUIMIENTO </t>
  </si>
  <si>
    <t>FORTALECER EL PROCESO DE CAPTURA, ANÁLISIS, ENTENDIMIENTO Y USO ADECUADO DE LOS DATOS INTERNOS Y EXTERNOS PARA LA TOMA DE DECISIONES, APALANCADO EN INTELIGENCIA ARTIFICIAL Y OTRAS TECNOLOGÍAS EMERGENTES.</t>
  </si>
  <si>
    <t>PLAN INSTITUCIONAL ANUAL</t>
  </si>
  <si>
    <t>ASAMBLEA GENERAL DE ACCIONISTAS</t>
  </si>
  <si>
    <t>MENSUAL</t>
  </si>
  <si>
    <t>DIMENSIÓN 2. DIRECCIONAMIENTO ESTRATÉGICO</t>
  </si>
  <si>
    <t>D1. INTEGRIDAD</t>
  </si>
  <si>
    <t>PLAN INSTITUCIONAL DE ARCHIVOS</t>
  </si>
  <si>
    <t>REVISOR FÍSCAL</t>
  </si>
  <si>
    <t xml:space="preserve">D2. PLANEACIÓN INSTITUCIONAL </t>
  </si>
  <si>
    <t>PLAN ANUAL DE ADQUISICIONES</t>
  </si>
  <si>
    <t>JUNTA DIRECTIVA</t>
  </si>
  <si>
    <t>SEMESTRAL</t>
  </si>
  <si>
    <t>DIMENSIÓN 4. EVALUACIÓN DE RESULTADOS</t>
  </si>
  <si>
    <t>D2. GESTIÓN PRESUPUESTAL Y EFICIENCIA EN EL GASTO PÚBLICO</t>
  </si>
  <si>
    <t>PLAN ESTRATÉGICO DE TALENTO HUMANO</t>
  </si>
  <si>
    <t>PRESIDENCIA</t>
  </si>
  <si>
    <t>D2. COMPRAS Y CONTRATACIÓN PÚBLICA</t>
  </si>
  <si>
    <t xml:space="preserve">PLAN INSTITUCIONAL DE CAPACITACIÓN </t>
  </si>
  <si>
    <t>CONTROL INTERNO</t>
  </si>
  <si>
    <t>GM1. LOGRAR LA SOSTENIBILIDAD FISCAL A TRAVÉS DEL RECAUDO, CONTROL EFECTIVO Y GENERACIÓN DE CULTURA DE LEGALIDAD</t>
  </si>
  <si>
    <t xml:space="preserve">CREAR VALOR DE MANERA APROPIADA, DIFERENCIAL Y CONTINUA PARA LOS CLIENTES OBJETIVO DE PREVISORA </t>
  </si>
  <si>
    <t>PLAN DE INCENTIVOS INSTITUCIONALES</t>
  </si>
  <si>
    <t>GM2. IMPLEMENTAR Y FORTALECER INSTRUMENTOS ECONOMICOS Y FINANCIEROS A TRAVÉS DE INVERSIONES TEMATICAS O CONVENIOS DE COFINANCIACIÓN, PARA CONTRIBUIR AL CAMBIO CLIMATICO Y AL USO SOSTENIBLE DE LA BIODIVERSIDAD</t>
  </si>
  <si>
    <t>FORTALECER EL RELACIONAMIENTO PARA ESTABLECER SINERGIAS CON EL GRUPO BICENTENARIO QUE GENEREN VALOR A LA COMPAÑÍA.</t>
  </si>
  <si>
    <t>DIMENSIÓN 7. CONTROL INTERNO</t>
  </si>
  <si>
    <t>D3. GOBIERNO DIGITAL</t>
  </si>
  <si>
    <t>PLAN DE TRABAJO ANUAL DE SEGURIDAD Y SALUD EN EL TRABAJO</t>
  </si>
  <si>
    <t>OFICIAL DE CUMPLIMIENTO</t>
  </si>
  <si>
    <t xml:space="preserve">GM3. DINAMIZAR LA BANCA DE DESARROLLO PARA LA INCLUSIÓN FINANCIERA, COMO INSTRUMENTO QUE INCENTIVE Y ESTIMULE LA COMPETITIVIDAD, INVERSIÓN, LA ECONOMIA POPULAR Y DESARROLLO </t>
  </si>
  <si>
    <t>MANTENER LA SOLIDEZ FINANCIERA, ASEGURAR RENTABILIDAD Y SER CONFIABLE EN SU PORTAFOLIO DE INVERSIÓN.</t>
  </si>
  <si>
    <t>PLAN ANTICORRUPCIÓN Y DE ATENCIÓN AL CIUDADANO</t>
  </si>
  <si>
    <t>PLAN ESTRATÉGICO DE TIC</t>
  </si>
  <si>
    <t>D3. MEJORA NORMATIVA</t>
  </si>
  <si>
    <t xml:space="preserve">PLAN DE TRATAMIENTO DE RIESGOS DE SEGURIDAD Y PRIVACIDAD DE LA INFORMACIÓN </t>
  </si>
  <si>
    <t>D3. SERVICIO AL CIUDADANO</t>
  </si>
  <si>
    <t xml:space="preserve">PLAN DE SEGURIDAD Y PRIVACIDAD DE LA INFORMACIÓN </t>
  </si>
  <si>
    <t>D3. RACIONALIZACIÓN DE TRAMITES</t>
  </si>
  <si>
    <t>PLAN SECTORIAL</t>
  </si>
  <si>
    <t>VICEPRESIDENCIA TÉCNICA</t>
  </si>
  <si>
    <t>OFICINA DE PREVENCIÓN DE RIESGOS</t>
  </si>
  <si>
    <t xml:space="preserve">D4. SEGUIMIENTO Y EVALUACIÓN DEL DESEMPEÑO INSTITUCIONAL </t>
  </si>
  <si>
    <t>GERENCIA DE REASEGUROS Y COASEGUROS</t>
  </si>
  <si>
    <t>GERENCIA DE ACTUARÍA</t>
  </si>
  <si>
    <t>GERENCIA TÉCNICA DE SOAT</t>
  </si>
  <si>
    <t>D5. GESTIÓN DE LA INFORMACIÓN ESTADÍSTICA</t>
  </si>
  <si>
    <t>GERENCIA TÉCNICA DE AUTOMOVILES</t>
  </si>
  <si>
    <t>GERENCIA TÉCNICA DE SEGUROS PATRIMONIALES Y VIDA</t>
  </si>
  <si>
    <t xml:space="preserve">D7. CONTROL INTERNO </t>
  </si>
  <si>
    <t>OFICINA DE CUMPLIMIENTO Y LINEAS FINANCIERAS</t>
  </si>
  <si>
    <t>OFICINA DE RESPONSABILIDAD CIVIL</t>
  </si>
  <si>
    <t>OFICINA DE VIDA GRUPO Y AP</t>
  </si>
  <si>
    <t>GERENCIA TÉCNICA DE SEGUROS GENERALES E INGENIERÍAS</t>
  </si>
  <si>
    <t>OFICINA DE TRANSPORTES</t>
  </si>
  <si>
    <t>OFICINA DE INCENDIO Y LINEAS ALIADAS</t>
  </si>
  <si>
    <t>OFICINA DE RAMOS TÉCNICOS</t>
  </si>
  <si>
    <t>VICEPRESIDENCIA FINANCIERA</t>
  </si>
  <si>
    <t>GERENCIA DE INVERSIONES</t>
  </si>
  <si>
    <t>GERENCIA CONTABLE Y TRIBUTARIA</t>
  </si>
  <si>
    <t>OFICINA DE CONTABILIDAD E IMPUESTOS</t>
  </si>
  <si>
    <t>GERENCIA DE PLANEACIÓN FINANCIERA</t>
  </si>
  <si>
    <t>GERENCIA DE CARTERA</t>
  </si>
  <si>
    <t>ACTUARIO RESPONSABLE</t>
  </si>
  <si>
    <t>VICEPRESIDENCIA JURÍDICA</t>
  </si>
  <si>
    <t xml:space="preserve">GERENCIA DE CONTRATACIÓN </t>
  </si>
  <si>
    <t>VICEPRESIDENCIA COMERCIAL</t>
  </si>
  <si>
    <t>GERENCIA DE NEGOCIOS ESTATALES</t>
  </si>
  <si>
    <t>GERENCIA DE DESARROLLO COMERCIAL</t>
  </si>
  <si>
    <t>GERENCIA DE NEGOCIOS PRIVADOS</t>
  </si>
  <si>
    <t>OFICINA DE MERCADEO Y PUBLICIDAD</t>
  </si>
  <si>
    <t>VICEPRESIDENCIA DE INDEMNIZACIONES</t>
  </si>
  <si>
    <t>GERENCIA DE INDEMNIZACIONES SEGUROS GENERALES Y PATRIMONIALES</t>
  </si>
  <si>
    <t>GERENCIA DE INDEMNIZACIONES AUTOMOVILES</t>
  </si>
  <si>
    <t>GERENCIA DE INDEMNIZACIONES SOAT - VIDA - AP</t>
  </si>
  <si>
    <t>OFICINA DE INDEMNIZACIONES ZONA OCCIDENTE</t>
  </si>
  <si>
    <t>OFICINA DE INDEMNIZACIONES ZONA NORTE</t>
  </si>
  <si>
    <t>OFICINA DE INDEMNIZACIONES ZONA CENTRO</t>
  </si>
  <si>
    <t>VICEPRESIDENCIA DE DESARROLLO CORPORATIVO</t>
  </si>
  <si>
    <t xml:space="preserve">GERENCIA DE PLANEACIÓN   </t>
  </si>
  <si>
    <t>SUBGERENCIA DE TRANSFORMACIÓN DIGITAL</t>
  </si>
  <si>
    <t>SUBGERENCIA DE MEJORAMIENTO DE PROCESOS</t>
  </si>
  <si>
    <t xml:space="preserve">GERENCIA DE TECNOLOGÍA DE LA INFORMACIÓN </t>
  </si>
  <si>
    <t>SUBGERENCIA DE PLANEACIÓN Y PROYECTOS T.I</t>
  </si>
  <si>
    <t xml:space="preserve">SUBGERENCIA DE INFRAESTRUCTURA Y SERVICIOS TECNOLÓGICOS </t>
  </si>
  <si>
    <t xml:space="preserve">SUBGERENCIA DE MANTENIMIENTO DE SISTEMAS DE INFORMACIÓN </t>
  </si>
  <si>
    <t>OFICINA DE ARQUITECTURA EMPRESARIAL</t>
  </si>
  <si>
    <t>SUCURSALES</t>
  </si>
  <si>
    <t>PLAN INTEGRADO DE ACCIÓN ANUAL 2026 - INSTITUCIONAL</t>
  </si>
  <si>
    <t>GERENCIA DE INNOVACIÓN Y PROCESOS
GERENCIA DE PLANEACIÓN</t>
  </si>
  <si>
    <t>TOTAL EJECUTADO GLOBAL:</t>
  </si>
  <si>
    <t>CORRESPONDABLE</t>
  </si>
  <si>
    <t>INICIATIVA</t>
  </si>
  <si>
    <t>#REPUTACIÓN CORPORATIVA</t>
  </si>
  <si>
    <t>Atender los lineamientos de la Ley 1712 de 2014, la Resolución 1519 de 2020 expedida por el MinTIC y las Directrices del Departamento Administrativo de la Función Pública (Transparencia) asegurar la integralidad y veracidad de la información publicada.</t>
  </si>
  <si>
    <t>Mantener actualizados los componentes de  la sección de Transparencia y acceso a la información pública en la página web</t>
  </si>
  <si>
    <t>#Actualizaciones sección de transparencia y acceso a la información pública realizados / # total de solicitudes de actualización de la sección de transparencia y acceso a la información pública trimestrales</t>
  </si>
  <si>
    <t>Humanos 
Tecnológicos
Financieros</t>
  </si>
  <si>
    <t>Gastos de Operación - Recursos Propios</t>
  </si>
  <si>
    <t>Medir el indice de ejecución de gastos operacionales</t>
  </si>
  <si>
    <t>Medir el indice de ejecución de gastos de operación</t>
  </si>
  <si>
    <t xml:space="preserve">Ejecutado gastos de operación / Total presupuesto gastos de operación. </t>
  </si>
  <si>
    <t>Humanos</t>
  </si>
  <si>
    <t>Medir los ahorros generados en el presupuesto de gastos administrativos, tecnológicos y comerciales, producto de menores valores adjudicados o presupuestos no utilizados.</t>
  </si>
  <si>
    <t>Medir los ahorros generados en el presupuesto de gastos administrativos, tecnológicos  y comerciales, producto de menores valores adjudicados o presupuestos no utilizados.</t>
  </si>
  <si>
    <t xml:space="preserve"> Ahorros de presupuesto / (Presupuesto de gastos administrativos, tecnológicos y comerciales)
NOTA: No se incluye presupuesto de proyectos, iniciativas y otros. </t>
  </si>
  <si>
    <t>#PROPÓSITO COLOMBIA</t>
  </si>
  <si>
    <t>Programa de Educación Financiera</t>
  </si>
  <si>
    <t>Impacto de Educación Financiera</t>
  </si>
  <si>
    <t>Número de Colombianos alcanzados con los contenidos de Educación Financiera
F=Incrementar 45.000 usuarios nuevos en el programa SaberSeguro.com #Usuarios Nuevos</t>
  </si>
  <si>
    <t>Recursos Humanos, Tecnológicos Financieros</t>
  </si>
  <si>
    <t xml:space="preserve">PLAN INSTITUCIONAL </t>
  </si>
  <si>
    <t>Participación de emisores que desarrollen planes ASG y administración de riesgos de transición climática</t>
  </si>
  <si>
    <t>(# de emisores con iniciativas ASG y administración de riesgos de transición climática / # total emisores aprobados) *100.</t>
  </si>
  <si>
    <t>Plan de Mantenimiento del SGIN</t>
  </si>
  <si>
    <t>Cumplir con el Plan de Mantenimiento del SGIN basado en la buenas practicas del Sello de Buenas Prácticas de Innovación.</t>
  </si>
  <si>
    <t>Seguimiento Plan de Trabajo</t>
  </si>
  <si>
    <t>Cultura de la innovación</t>
  </si>
  <si>
    <t>Fortalecer la cultura de la innovación - Porcentaje de participación de trabajadores en actividades del SGIN.</t>
  </si>
  <si>
    <t>No de trabajadores con participación en actividades SGIN / Total de trabajadores programados en actividades SGIN</t>
  </si>
  <si>
    <t>ANUAL</t>
  </si>
  <si>
    <t>Plan de Mantenimiento del SGI</t>
  </si>
  <si>
    <t>Ejecutar actividades que apunten al mantenimiento del Sistema de Gestión Integral (SGI) de la compañía.</t>
  </si>
  <si>
    <t>Intervenciones de procesos</t>
  </si>
  <si>
    <t xml:space="preserve">Ejecutar intervenciones de mejoramiento de procesos que contribuyan a la agilidad empresarial de la compañía. </t>
  </si>
  <si>
    <t xml:space="preserve">Indicador de Intervenciones de Mejoramiento de Procesos </t>
  </si>
  <si>
    <t>Gestionar el cumplimiento de sentencias y conciliaciones</t>
  </si>
  <si>
    <t xml:space="preserve">Indicador de cumplimiento de sentencias y conciliaciones formulado y medido </t>
  </si>
  <si>
    <t>Cumplimiento del Plan Estratégico Corporativo 2025</t>
  </si>
  <si>
    <t>Cumplir con el Plan Estratégico Corporativo 2025</t>
  </si>
  <si>
    <t>% de cumplimiento total del Plan Estratégico Corporativo 2025</t>
  </si>
  <si>
    <t>Tecnologicos
Humanos
Financieros</t>
  </si>
  <si>
    <t>Índice de madurez digital​</t>
  </si>
  <si>
    <t>Medición utilizando el instrumento de madurez digital establecido por la PWC y ajustado por Previsora. ​</t>
  </si>
  <si>
    <t>Media geométrica de los resultados de cada dimensión.​</t>
  </si>
  <si>
    <t>Gestión proyecto: Ingesta y Centralización de Datos.</t>
  </si>
  <si>
    <t>Gestión proyecto: Ingesta y Centralización de datos</t>
  </si>
  <si>
    <t>Cumplimiento gestión proyecto: 
(% Avance Real / % Planeado).</t>
  </si>
  <si>
    <t>PLAN INTEGRADO DE ACCIÓN ANUAL 2026 - PLAN INSTITUCIONAL DE ARCHIVO</t>
  </si>
  <si>
    <t>OBJETIVO PINAR</t>
  </si>
  <si>
    <t>ACTIVIDAD ANUAL</t>
  </si>
  <si>
    <t xml:space="preserve">Realizar seguimiento al Programa de gestión documental  PGD. </t>
  </si>
  <si>
    <t xml:space="preserve">Creación del  Programa de auditoría y control, Actualización Plan Institucional de Archivo PINAR y Programa de Gestión Documental, crear protocolo para aprobación y monitoreo de acciones de mejora en infraestructura archivística, Plan de Preservación Digital a Largo Plazo. </t>
  </si>
  <si>
    <t xml:space="preserve">Planes y programas realizados  / planes y programas planeados </t>
  </si>
  <si>
    <t>Presupuesto contemplado en Servicios de manejo documental</t>
  </si>
  <si>
    <t>RECURSOS PROPIOS</t>
  </si>
  <si>
    <t xml:space="preserve">Consolidar la carpeta Única en todas las sucursales de la Compañía </t>
  </si>
  <si>
    <t>Realizar el proceso de cargue documental (Pólizas) en el modulo de Onbase Carpeta Única</t>
  </si>
  <si>
    <t>Sucursales con Carpeta Única / Sucursales planeadas a contar con Carpeta Única</t>
  </si>
  <si>
    <t xml:space="preserve">Elaborar y presentar las tablas de valoración documental para convalidación al Archivo general de la Nación. </t>
  </si>
  <si>
    <t xml:space="preserve">Elaboración de tablas de Valoración Documental - TVD, para organización del acervo documental del año 1954 - 2001 </t>
  </si>
  <si>
    <t>Cantidad de tablas de valoración presentadas / Cantidad de tablas de valoración estimadas</t>
  </si>
  <si>
    <t xml:space="preserve">Proyecto SGDEA </t>
  </si>
  <si>
    <t xml:space="preserve">Realizar seguimiento al Sistema Integrado de Conservación - SIC. </t>
  </si>
  <si>
    <t xml:space="preserve">Seguimiento a:                                                                                                                                                                                                           a. Programa de Sensibilización y Toma de Conciencia
b. Programa de Inspección y Mantenimiento
c. Programa de Monitoreo y Control de Condiciones Ambientales
d. Programa de Limpieza de las Instalaciones
e. Programa de Saneamiento y Control de Plagas
f.  Programa de Conservación en la Producción y Manejo Documental                                                                                                               </t>
  </si>
  <si>
    <t xml:space="preserve">Programas ejecutados en el Programa de gestión documental / Programas planeados en el Programa de gestión documental </t>
  </si>
  <si>
    <t xml:space="preserve">Rubro Gastos de archivo y microfilmación </t>
  </si>
  <si>
    <t xml:space="preserve">Documento con soporte de entrega a convalidación según lo definido en el Acuerdo 001 del 2024. </t>
  </si>
  <si>
    <t xml:space="preserve">Documento de radicación de Tablas de valoración Documental </t>
  </si>
  <si>
    <t xml:space="preserve">Participación en los procesos de capacitación del proceso administrar la documentación al interior de la Compañía. </t>
  </si>
  <si>
    <t xml:space="preserve">Capacitaciones ejecutadas en la vigencia / Capacitaciones programadas en la vigencia </t>
  </si>
  <si>
    <t xml:space="preserve">Acto administrativo con la pólitica de gestión documental.  </t>
  </si>
  <si>
    <t xml:space="preserve">Indicadores de la política de Gestión Documental </t>
  </si>
  <si>
    <t xml:space="preserve">Total de Indicadores generados por vicepresidencia / Cumplimiento de los indicadores por vicepresidencia </t>
  </si>
  <si>
    <t>PROGRAMADO</t>
  </si>
  <si>
    <t xml:space="preserve">% DE AVANCE PW  </t>
  </si>
  <si>
    <t xml:space="preserve">% META PROGRAMADA  </t>
  </si>
  <si>
    <t xml:space="preserve">% CUMPLIMIENTO  </t>
  </si>
  <si>
    <t>PLAN INTEGRADO DE ACCIÓN ANUAL 2026 - PLAN ANUAL DE ADQUISICIONES</t>
  </si>
  <si>
    <t>cm / suc</t>
  </si>
  <si>
    <t>Vicepresidencia</t>
  </si>
  <si>
    <t>área / sucursal</t>
  </si>
  <si>
    <t>Códigos UNSPSC</t>
  </si>
  <si>
    <t>Descripción del código UNSPSC</t>
  </si>
  <si>
    <t>Descripción corta del bien o servicio a contratar</t>
  </si>
  <si>
    <t>Mes estimado para el inicio proceso selección</t>
  </si>
  <si>
    <t>Mes estimado para la presentación de ofertas</t>
  </si>
  <si>
    <t>Duración estimada  contrato en dias</t>
  </si>
  <si>
    <t xml:space="preserve">Modalidad  selección </t>
  </si>
  <si>
    <t>Valor Total de la Contratación
(Sin IVA)</t>
  </si>
  <si>
    <t>Porcentaje de IVA</t>
  </si>
  <si>
    <t>Valor IVA</t>
  </si>
  <si>
    <t>Valor total estimado</t>
  </si>
  <si>
    <t>¿Se requieren vigencias futuras?</t>
  </si>
  <si>
    <t>Estado de solicitud de vigencias futuras</t>
  </si>
  <si>
    <t>Valor presupuesto Vigencia 2026
incluido IVA</t>
  </si>
  <si>
    <t>Valor presupuesto Vigencia 2027
incluido IVA</t>
  </si>
  <si>
    <t>Valor presupuesto Vigencia 2028
incluido IVA2</t>
  </si>
  <si>
    <t>Valor presupuesto Vigencia 2029
incluido IVA</t>
  </si>
  <si>
    <t>Nombre de contacto del responsable</t>
  </si>
  <si>
    <t>CASA MATRIZ</t>
  </si>
  <si>
    <t>Política de inversiones</t>
  </si>
  <si>
    <t xml:space="preserve">Proveer insumos y servicio de valoración para los productos portafolio de inversiones de la compañía y mediciones para los riesgos financieros </t>
  </si>
  <si>
    <t>CONTRATACIÓN DIRECTA</t>
  </si>
  <si>
    <t>SI</t>
  </si>
  <si>
    <t>NO SOLICITADAS</t>
  </si>
  <si>
    <t>Sebastian Camilo Rivera</t>
  </si>
  <si>
    <t>Servicios de consultoría de negocios y administración corporativa</t>
  </si>
  <si>
    <t>Actuario SIAR-SOLVENCIA - Prestar los servicios especializados de un actuario para apoyar a la Gerencia de Riesgos, en la gestión del riesgo de seguros, solvencia II y generación de demás cálculos actuariales</t>
  </si>
  <si>
    <t>NO</t>
  </si>
  <si>
    <t>Jorge Augusto Delgadillo</t>
  </si>
  <si>
    <t>Software funcional específico de la empresa</t>
  </si>
  <si>
    <t>Prestar el servicio de licenciamiento, mantenimiento y actualización del Software Midas.</t>
  </si>
  <si>
    <t>Licenciamiento de modulos del sistema SAS, soporte especializado y training points</t>
  </si>
  <si>
    <t>Sebastian Camilo Rivera/Jorge Augusto Delgadillo</t>
  </si>
  <si>
    <t>Servicio de asesoramiento para la  gestión de riesgo</t>
  </si>
  <si>
    <t>Consultoría para el desarrollo e implementación de la normatividad y los cálculos requeridos de Solvencia II en la compañia.</t>
  </si>
  <si>
    <t>INVITACIÓN ABIERTA</t>
  </si>
  <si>
    <t>APROBADAS</t>
  </si>
  <si>
    <t>Jhon Alejandro Gomez/Jorge Augusto Delgadillo</t>
  </si>
  <si>
    <t>Proveedores de servicios de aplicación</t>
  </si>
  <si>
    <t>Compra o arrendamiento de una herramienta de software que permita la implementación de Solvencia II en la compañía.</t>
  </si>
  <si>
    <t>Contratar un perfil para prestación de servicios de apoyo al área de Riesgos Financieros de la Gerencia de Riesgos</t>
  </si>
  <si>
    <t>Sebastian Camilo Rivera/Jeam Nicolas Orbegozo Forero</t>
  </si>
  <si>
    <t>Automatización de los procesos de Riesgos Financieros.</t>
  </si>
  <si>
    <t>INVITACIÓN CERRADA</t>
  </si>
  <si>
    <t>Desarrollo e implementación de un programa para calculo del valor en riesgo y rentabilidad del portafolio de inversiones.</t>
  </si>
  <si>
    <t>Suscripción base de datos para listas restrictivas</t>
  </si>
  <si>
    <t>Cristina Concepción Reynosa Alarcon</t>
  </si>
  <si>
    <t>Suscripción base de datos para listas de PEP´S y PAI</t>
  </si>
  <si>
    <t>Servicio para el diligenciamiento de manera virtual del formulario de conocimiento del cliente.</t>
  </si>
  <si>
    <t>Contratar un perfil para prestación de servicios de apoyo al área de SARLAFT  de la Gerencia de Riesgos</t>
  </si>
  <si>
    <t>Servicios de consultoria para evaluar y optimizar el SARO</t>
  </si>
  <si>
    <t>Ines Nieto Quintero</t>
  </si>
  <si>
    <t xml:space="preserve">Servicios de investigación privada </t>
  </si>
  <si>
    <t>Servicios de investigación, análisis y administración de los casos reportados y de la línea ética</t>
  </si>
  <si>
    <t>Contratar un perfil para prestación de servicios de apoyo al área de SARO  de la Gerencia de Riesgos</t>
  </si>
  <si>
    <t>Carolina Osorio Arango/Jeam Nicolas Orbegozo Forero</t>
  </si>
  <si>
    <t>Diseño y ejecución de simulaciones y pruebas de continuidad del negocio que fortalezcan la capacidad de respuesta ante incidentes de seguridad y crisis</t>
  </si>
  <si>
    <t>Sandra Patricia Cediel</t>
  </si>
  <si>
    <t>servicios profesionales de abogado, analizando y proyectando las decisiones de segunda instancia de los procesos disciplinarios .</t>
  </si>
  <si>
    <t>Cindy Katherine Rincón Ramírez</t>
  </si>
  <si>
    <t xml:space="preserve">Servicios profesionales de asesor de Presidencia </t>
  </si>
  <si>
    <t>OFICINA DE CONTROL INTERNO</t>
  </si>
  <si>
    <t>Procedimientos o servicios administrativos</t>
  </si>
  <si>
    <t>Contrato de Prestación de Servicios Profesional apoyo actividades administrativas OCI</t>
  </si>
  <si>
    <t>MONICA FERNÁNDEZ QUINTERO</t>
  </si>
  <si>
    <t>Servicios de auditoría</t>
  </si>
  <si>
    <t>Certificación NOGAI Oficina de Control Interno</t>
  </si>
  <si>
    <t>Servicios de personal temporal</t>
  </si>
  <si>
    <t xml:space="preserve">Suministro de personal temporal </t>
  </si>
  <si>
    <t>ELIANA ROYS</t>
  </si>
  <si>
    <t>Seguros de vida</t>
  </si>
  <si>
    <t>Contratación Póliza de Vida Grupo plan de beneficios directivos</t>
  </si>
  <si>
    <t>SUBGERENCIA DESARROLLO DE TALENTO HUMANO</t>
  </si>
  <si>
    <t>Servicios de estudio de títulos</t>
  </si>
  <si>
    <t xml:space="preserve">Realización de estudios de seguridad a  los candidatos seleccionados para cubrir las vacantes de LA PREVISORA S.A a través de la verificación de antecedentes,verificación de referencias laborales, académicas y personales, visita domiciliaria,  en cumplimiento de las especificaciones definidas en el manual de vinculación </t>
  </si>
  <si>
    <t>LIANA ABRIL</t>
  </si>
  <si>
    <t>Formación o desarrollo laboral</t>
  </si>
  <si>
    <t>Desarrollar e implementar estrategias y herramientas necesarias para afianzar la cultura organizacional, basado en un proceso de integridad, gestión del cambio y liderazgo.</t>
  </si>
  <si>
    <t>Servicios de preselección  de hojas de vida o  currículum vitae</t>
  </si>
  <si>
    <t>Prestar el servicio de uso y administración de plataforma virtual para pruebas de psicotecnicas de ingreso a LA PREVISORA S.A.</t>
  </si>
  <si>
    <t>Servicios de suministro de alimentos</t>
  </si>
  <si>
    <t xml:space="preserve">Contratar un proveedor  que suministre  refrigerios para los procesos de Formación presenciales. </t>
  </si>
  <si>
    <t>Contratar proveedor especializado  que brinde de acuerdo a las necesidades de capacitación, entrenamiento y/o desarrollo de los colaboradores de La Previsora en diferentes cursos, congresos, foros y seminarios</t>
  </si>
  <si>
    <t>Cursos ofimaticos</t>
  </si>
  <si>
    <t>Prestar servicios especializados en búsqueda de talentos (head hunter), selección y presentación de candidatos potenciales para suplir las vacantes de los cargos directivos que requiera la Compañía.</t>
  </si>
  <si>
    <t>Contratación proveedor especializado en fortalecimiento de competencias a los funcionarios</t>
  </si>
  <si>
    <t>Bolsa Congresos, Foros y Seminarios, para atender los requerimientos de las áreas en el año, enfocadas en temas técnicos.</t>
  </si>
  <si>
    <t>Bolsa Congresos, Foros y Seminarios, para atender los requerimientos de las áreas en el año, enfocadas en temas  Normativos</t>
  </si>
  <si>
    <t>Realizar la auditoria de seguimiento a la Certificación de sello de no discriminación y certificación de empresa familiarmente responsable-EFR.</t>
  </si>
  <si>
    <t>SUBGERENCIA ADMINISTRACIÓN DE PERSONAL</t>
  </si>
  <si>
    <t>Eventos profesionales deportivos</t>
  </si>
  <si>
    <t>Realizar entrenamiento para el equipo de futbol femenino y masculino</t>
  </si>
  <si>
    <t>ANGELICA QUITIAN</t>
  </si>
  <si>
    <t>Realizar entrenamiento para el equipo de voleybol masculino y femenino</t>
  </si>
  <si>
    <t>Realizar entrenamiento para el equipo de baloncesto  masculino y femenino</t>
  </si>
  <si>
    <t>Gestión de eventos</t>
  </si>
  <si>
    <t>Desarrollar  el plan de bienestar,  reconocimiento, esferas mentales y puestos de trabajo para teletrabajo y capacitación</t>
  </si>
  <si>
    <t>Evaluación diagnóstica y productos de examen de uso general</t>
  </si>
  <si>
    <t>Exámenes médicos ocupacionales de ingreso, egreso, periódicos, post incapacidad entre otros</t>
  </si>
  <si>
    <t>Servicio de consultoría para (Capacitación, pausas activas, inspecciones de Seguridad y ejecución de planes de acción de la actualización documental de la vigencia 2025) en Sucursales</t>
  </si>
  <si>
    <t>Seguros de asistencia médica y hospitalización</t>
  </si>
  <si>
    <t>Póliza de hospitalización y cirugía para los funcionarios confeccionados según convención colectiva de trabajo 2024 - 2027 para la vigencia 2027</t>
  </si>
  <si>
    <t>ANGELICA MARIA QUITIAN CUBIDES</t>
  </si>
  <si>
    <t>Póliza de vida grupo y exequias para los funcionarios confeccionados según convención colectiva de trabaja 2024 - 2027 para la vigencia abril - diciembre 2026</t>
  </si>
  <si>
    <t>Póliza de vida grupo y exequias para los funcionarios confeccionados según convención colectiva de trabaja 2024 - 2027 para la vigencia 2027</t>
  </si>
  <si>
    <t>Póliza vida grupo deudor para los prestamos hipotecarios que han y/o serán otorgados a los trabajadores, según lo defino en la convención colectiva de trabajo 2024 - 2027 para la vigencia abril a diciembre 2026</t>
  </si>
  <si>
    <t>Póliza vida grupo deudor para los prestamos hipotecarios que han y/o serán otorgados a los trabajadores, según lo defino en la convención colectiva de trabajo 2024 - 2027 para la vigencia 2027</t>
  </si>
  <si>
    <t>Seguros de edificios o del contenido de edificios</t>
  </si>
  <si>
    <t>Póliza de incendio y terremoto para los inmuebles que se encuentran hipotecados a favor de la compañía por el préstamo otorgado a los trabajadores según la convención colectiva de trabajo 2024 - 2027 para la vigencia abril a diciembre 2026</t>
  </si>
  <si>
    <t>Póliza de incendio y terremoto para los inmuebles que se encuentran hipotecados a favor de la compañía por el préstamo otorgado a los trabajadores según la convención colectiva de trabajo 2024 - 2027 para la vigencia 2027</t>
  </si>
  <si>
    <t>Servicios legales de cobro de deudas o cartera.</t>
  </si>
  <si>
    <t>Convenio de colaboración tecnológica y operativa para la operación integral  de los créditos al personal y la respectiva cartera actual y futura, desde agosto 2026 a diciembre 2027</t>
  </si>
  <si>
    <t>SECRETARIA GENERAL</t>
  </si>
  <si>
    <t>Servicios de custodia de valores</t>
  </si>
  <si>
    <t>Contratar el servicio de administracion de acciones desmaterializadas de la compañía - DECEVAL</t>
  </si>
  <si>
    <t>JENNY ALEXANDRA NARANJO</t>
  </si>
  <si>
    <t xml:space="preserve">Servicios profesionales de adquisiciones </t>
  </si>
  <si>
    <t>Servicios profesionales para apoyar el direccionamiento de procesos asociados al fortalecimiento de una cultura de Sostenibilidad y Responsabilidad Social Empresarial (RSE)</t>
  </si>
  <si>
    <t>JAIVER ANDRES PARRA SILVA</t>
  </si>
  <si>
    <t>EL PROVEEDOR se obliga con LA PREVISORA S.A. a Prestar por sus propios medios, con plena autonomía técnica, administrativa y operacional, servicios profesionales para apoyar al área de Secretaría General en la construcción de estrategias y la gestión del cambio en la comunicación del Buen Gobierno Corporativo en la Compañía.</t>
  </si>
  <si>
    <t>JOSE JAVIER LOPEZ ACUÑA</t>
  </si>
  <si>
    <t>El PROVEEDOR se obliga con LA PREVISORA S.A. a prestar sus servicios profesionales, con plena autonomía técnica, administrativa y operacional para apoyar al área de Secretaría General en la gestión, coordinación, seguimiento y consolidación de la información institucional relacionada con el Formulario Único de Reporte de Avance de la Gestión – FURAG.</t>
  </si>
  <si>
    <t>EL CONTRATISTA se obliga con LA PREVISORA S.A. a prestar los servicios especializados para asesorar a la Secretaría General en asuntos jurídicos, contractuales y convencionales, realizando la verificación jurídica y técnica en cuanto al seguimiento y control de los requerimientos de la Superintendencia Financiera de Colombia, así como a otros entes de control.</t>
  </si>
  <si>
    <t>JOSE JAVIER LÓPEZ</t>
  </si>
  <si>
    <t>EL CONTRATISTA se obliga a prestar los servicios profesionales de asesor de la Junta Directiva de La Previsora S.A. en los asuntos jurídicos relacionados con el modelo de gobernanza de la entidad y otros asuntos que puedan surgir en el curso de las sesiones de dicho órgano de administración</t>
  </si>
  <si>
    <t>SOLICITADAS</t>
  </si>
  <si>
    <t xml:space="preserve">SUBGERENCIA DE RECURSOS FÍSICOS </t>
  </si>
  <si>
    <t>Servicios de elaboración de bebidas de agua</t>
  </si>
  <si>
    <t>Contratar el suministro para  los funcionarios y visitantes de Casa Matriz de bebidas hidratantes.</t>
  </si>
  <si>
    <t>JESSNY TATIANA GARCÍA CARVAJAL</t>
  </si>
  <si>
    <t>Servicio auditoria ambiental de empresas</t>
  </si>
  <si>
    <t>Contratar la recertificación del transporte vertical y puertas eléctricas de Casa Matriz</t>
  </si>
  <si>
    <t>CONTRATACIÓN SIMPLIFICADA</t>
  </si>
  <si>
    <t>MIRYAM ADRIANA ORTIZ TORRES</t>
  </si>
  <si>
    <t>Máquinas de cappuccino o expreso</t>
  </si>
  <si>
    <t xml:space="preserve">Contratar el mantenimiento de las máquinas de café </t>
  </si>
  <si>
    <t xml:space="preserve">Contratar los ramos de Automóviles, Manejo Comercial, Responsabilidad Civil, Riesgos Cibernéticos, Servidores Públicos, Todo Riesgo Daños Materiales, Transporte de Valores e Infidelidad y Riesgos Financieros </t>
  </si>
  <si>
    <t>Servicios de  mantenimiento o administración  de estaciones de bombeo</t>
  </si>
  <si>
    <t>Servicios de avalúo de inmuebles</t>
  </si>
  <si>
    <t>Contratar avalúos y estudio de títulos de los inmuebles de las compañía bajo normas NIIF</t>
  </si>
  <si>
    <t>NATHALY ANDREA MUÑOZ GARRIDO</t>
  </si>
  <si>
    <t>Servicios de mensajería expresa</t>
  </si>
  <si>
    <t>Contratar el servicio de mensajería o Courier para atender la recepción, clasificación, distribución transporte y entrega de documentos y paquetes corporativos, manejado a través del sistema de crédito con pago según guía prenumerada para atender el correo certificado a nivel urbano, municipios cercanos y lejanos, distribución nacional; envíos aeropuerto-aeropuerto, urgentes e internacionales.</t>
  </si>
  <si>
    <t>Servicios de correo electrónico y mensajería</t>
  </si>
  <si>
    <t xml:space="preserve">Correo electrónico certificado </t>
  </si>
  <si>
    <t>RUSBI JAIR ORDUZ  GONZÁLEZ</t>
  </si>
  <si>
    <t>Servicios de terminado interior, dotación y remodelación</t>
  </si>
  <si>
    <t>Casa Matriz_Adecuación integral y remodelación de siete pisos de Casa Matriz, incluye obra civil, sistema de oficina abierta, red eléctrica normal y regulada e iluminación</t>
  </si>
  <si>
    <t>THELMIRA NÚÑEZ GAONA</t>
  </si>
  <si>
    <t>Taller</t>
  </si>
  <si>
    <t>Contratar el mantenimiento preventivo y correctivo de los vehiculos de la Compañía</t>
  </si>
  <si>
    <t>Rehabilitación ambiental</t>
  </si>
  <si>
    <t>Compra de bonos de carbono para compensación</t>
  </si>
  <si>
    <t>DIANA PAOLA GRANADOS RUIZ</t>
  </si>
  <si>
    <t>Servicios de siembra de árboles, arbustos o plantas ornamentales</t>
  </si>
  <si>
    <t>Siembra de arboles</t>
  </si>
  <si>
    <t>Sistemas de alarma contra incendios</t>
  </si>
  <si>
    <t xml:space="preserve">Adquisición por actualización del sistema de detección de incendio Casa Matriz </t>
  </si>
  <si>
    <t>MÓNICA NAIREL HERNÁNDEZ MARTÍNEZ</t>
  </si>
  <si>
    <t>Detectores de movimiento</t>
  </si>
  <si>
    <t>Reconocimiento facial_Hardware</t>
  </si>
  <si>
    <t>Mantenimiento y Soporte de software</t>
  </si>
  <si>
    <t>Reconocimiento facial_Software</t>
  </si>
  <si>
    <t>Servicios de operaciones de arriendo</t>
  </si>
  <si>
    <t>Arriendo VIGOYA archivo FEP</t>
  </si>
  <si>
    <t>NATHALY MUÑOZ</t>
  </si>
  <si>
    <t>Servicios de auditoria ambiental de actividades específicas</t>
  </si>
  <si>
    <t xml:space="preserve">Auditoria energetica </t>
  </si>
  <si>
    <t>WALTER RICARDO MERCHÁN BAUTISTA</t>
  </si>
  <si>
    <t>Prestación de Servicios_Harold Berrio</t>
  </si>
  <si>
    <t>Revistas</t>
  </si>
  <si>
    <t>Contratar la suscripción al diario La República</t>
  </si>
  <si>
    <t>ADRIANA ORTIZ</t>
  </si>
  <si>
    <t>Suscripción vía web vLex</t>
  </si>
  <si>
    <t>Servicios de exterminación o fumigación</t>
  </si>
  <si>
    <t>Servicio de fumigación</t>
  </si>
  <si>
    <t>Centrales de energía solar</t>
  </si>
  <si>
    <t>ENERGÍA FOTOVOLTAICA</t>
  </si>
  <si>
    <t>WALTER MERCHAN</t>
  </si>
  <si>
    <t>TANQUES DE RECOLECCIÓN</t>
  </si>
  <si>
    <t>SISTEMA PARA EL USO DE AGUA LLUVIA</t>
  </si>
  <si>
    <t>CAJAS FUERTES</t>
  </si>
  <si>
    <t>RETIRO CAJA FUERTE PISO QUINTO</t>
  </si>
  <si>
    <t>THELMIRA NUÑEZ</t>
  </si>
  <si>
    <t>Auditorio</t>
  </si>
  <si>
    <t>MODERNIZACIÓN Y SUMINISTRO DE EQUIPOS DE AUDITORIO</t>
  </si>
  <si>
    <t>EXTINTORES</t>
  </si>
  <si>
    <t>COMPRA EXTINTORES</t>
  </si>
  <si>
    <t>JESSNY TATIANA GARCIA</t>
  </si>
  <si>
    <t>Transportes integrados de carga</t>
  </si>
  <si>
    <t>TRANSPORTE MULTIMODAL acarreos mobliliario en Bogota y a nivel nacional</t>
  </si>
  <si>
    <t>TERMOS GRANDES</t>
  </si>
  <si>
    <t>TANQUES DE ALMACENAMIENTO</t>
  </si>
  <si>
    <t>TRES BOMBAS Y DOS TANQUES HIDROACUMULADORES</t>
  </si>
  <si>
    <t>VICEPRESIDENCIA DESARROLLO CORPORATIVO</t>
  </si>
  <si>
    <t xml:space="preserve">SUBGERENCIA DE MEJORAMIENTO DE PROCESOS </t>
  </si>
  <si>
    <t xml:space="preserve">Servicios secretariales o de administración de oficinas  </t>
  </si>
  <si>
    <t>Prestación de Servicios
Prestación de Servicios para apoyo a la Gestión de la Subgerencia de Procesos</t>
  </si>
  <si>
    <t>Diego Orduz</t>
  </si>
  <si>
    <t xml:space="preserve">GERENCIA DE INNOVACIÓN Y PROCESOS </t>
  </si>
  <si>
    <t xml:space="preserve">Desarrollo de políticas u objetivos empresariales </t>
  </si>
  <si>
    <t>Diagnóstico 56001
Contratar los servicios para el diagnóstico frente al cumplimiento de los requisitos de la norma ISO 56001 del Sistema de Gestión de la Innovación en  LA PREVISORA S.A., que permita analizar y evaluar la posibilidad de implementación.</t>
  </si>
  <si>
    <t>Mitzi Tatiana Ferro</t>
  </si>
  <si>
    <t>Ejercicio de Innovación Interna  
Diseñar un concurso basado en retos (iniciativas, programas, soluciones, productos o servicios) alineados con los objetivos estratégicos de la compañía y que sean gestionados por medio de multidisciplinarios, apropiando y aplicando diferentes herramientas que se puedan apropiar</t>
  </si>
  <si>
    <t>Servicios de programación de aplicaciones</t>
  </si>
  <si>
    <t>Gamificacion con Realidad Aumentada (RA)
Configuracion de juegos, Retos Web y comunicaciones con RA de la Gerencia de Innovación, que permita fortalcer la cultura y capacidad de innovación en la Compañía.</t>
  </si>
  <si>
    <t>Esteban Tenorio</t>
  </si>
  <si>
    <t>Dia de La Innovación 2025
Contratar los servicios para realizar el Día de Innovación, se desarrollará una actividad para las Sucursales de Bogotá  y una actividad para Sucursales Fuera de Bogotá.</t>
  </si>
  <si>
    <t>Ivan Cortés</t>
  </si>
  <si>
    <t>Auditoria Icontec | 
Seguimiento en ISO 9001:2015 y 14001:2015
Auditoria Icontec | 
Sello Buenas Prácticas de Innovación</t>
  </si>
  <si>
    <t>Natalia Gómez/Mitzi Tatiana Ferro</t>
  </si>
  <si>
    <t>Aplicaciones para el mantenimiento de software.</t>
  </si>
  <si>
    <t>Isolución
Soporte y Mantenimiento anual de la herramienta de Gestión Documental Isolución</t>
  </si>
  <si>
    <t>Jhon Javier Mejia</t>
  </si>
  <si>
    <t>SUBGERENCIA DE MANTENIMIENTO DE SISTEMAS DE INFORMACIÓN</t>
  </si>
  <si>
    <t>Mantenimiento de software de juegos o entretenimiento de computador</t>
  </si>
  <si>
    <t>Fábrica de Pruebas de Software
Contratar servicios profesionales de fábrica de pruebas de Software</t>
  </si>
  <si>
    <t>Delfin Alexander Rodriguez Mendoza- Diana Marulanda</t>
  </si>
  <si>
    <t>SUBGERENCIA DE MANTENIMIENTO DE SISTEMAS DE INFORMACIÓN / SUBGERENCIA DE PROYECTOS</t>
  </si>
  <si>
    <t>Servicios de implementación de aplicaciones</t>
  </si>
  <si>
    <t>Soporte y Mantenimiento Sise</t>
  </si>
  <si>
    <t>Saul Ballesteros /Delfin Rodriguez</t>
  </si>
  <si>
    <t>Prestación de servicios profesionales.</t>
  </si>
  <si>
    <t>Prestar los servicios profesionales especializados para apoyar el diseño e implementación de reportería y tableros de control de la Previsora</t>
  </si>
  <si>
    <t>Delfin Rodriguez/Saul Ballesteros</t>
  </si>
  <si>
    <t>ARQUITECTURA EMPRESARIAL</t>
  </si>
  <si>
    <t>Arquitectura de sistemas</t>
  </si>
  <si>
    <t>Herramienta de Arquitectura Empresarial</t>
  </si>
  <si>
    <t>Juan Manuel Garcia-Carlos Arias</t>
  </si>
  <si>
    <t>Interoperabilidad</t>
  </si>
  <si>
    <t>SUBGERENCIA DE INFRAESTRUCTURA Y SERVICIOS DE TI</t>
  </si>
  <si>
    <t>Servicios de centros de datos</t>
  </si>
  <si>
    <t>Data Center</t>
  </si>
  <si>
    <t>Yeisson Chipatecua- Victor Robayo</t>
  </si>
  <si>
    <t>Servicio de licencias del software del computador</t>
  </si>
  <si>
    <t>Suscripción OFFICE 365</t>
  </si>
  <si>
    <t>Yeisson Chipatecua-Sergio suarez</t>
  </si>
  <si>
    <t>Seguridad de los computadores, redes o internet</t>
  </si>
  <si>
    <t>App de Vulnerabilidades</t>
  </si>
  <si>
    <t>Yeisson Chipatecua-Lorena Pedroza</t>
  </si>
  <si>
    <t>Servicios de sistemas y administración de componentes de sistemas</t>
  </si>
  <si>
    <t xml:space="preserve">Canales de Comunicaciones </t>
  </si>
  <si>
    <t>Yeisson Chipatecua-Manuel Cardenas</t>
  </si>
  <si>
    <t>Sistemas de recuperación de información</t>
  </si>
  <si>
    <t>Solución DLP</t>
  </si>
  <si>
    <t>Solución de Usuarios Privilegiados-PAM</t>
  </si>
  <si>
    <t>Software de edición y creación de contenidos</t>
  </si>
  <si>
    <t>PRODUCTOS ADOBE - AS</t>
  </si>
  <si>
    <t>Yeisson Chipatecua- Sergio Suarez</t>
  </si>
  <si>
    <t>Mantenimiento y soporte de software</t>
  </si>
  <si>
    <t>Sistema de Grabación de Llamadas</t>
  </si>
  <si>
    <t>Servicios de telecomunicaciones</t>
  </si>
  <si>
    <t>Telefonía Voz IP</t>
  </si>
  <si>
    <t>GERENCIA DE PLANEACIÓN</t>
  </si>
  <si>
    <t>Servicios de asesoramiento sobre planificación estratégica</t>
  </si>
  <si>
    <t>Definición estategia corporativa</t>
  </si>
  <si>
    <t>MARIA LUCIA LLERAS</t>
  </si>
  <si>
    <t>Software de planeación de recursos del negocio erp</t>
  </si>
  <si>
    <t>Implementación ERP Financiero</t>
  </si>
  <si>
    <t>LUZ STELLA ROJAS / MAYERLY CONSUELO LOPEZ</t>
  </si>
  <si>
    <t>Interventoría implementación ERP Finnaciero</t>
  </si>
  <si>
    <t>Desarrolladores temporales de software de tecnologías de la información</t>
  </si>
  <si>
    <t>Fábrica de Desarrollo</t>
  </si>
  <si>
    <t>MARIA LUCIA LLERAS / JOEL ROMERO</t>
  </si>
  <si>
    <t>Servicios de datos</t>
  </si>
  <si>
    <t>Administración y mantenimiento del repositorio centralizado y  de los modelos creados, desarrollo de nuevos modelos analiticos e iniciativas para la mejora de la calidad de la información</t>
  </si>
  <si>
    <t>MARIA LUCIA LLERAS / YULY ALEJANDRA RUIZ</t>
  </si>
  <si>
    <t>Ajuste  de reportesbajo la  norma NIIF de acuerdo con lo definido por la SFC</t>
  </si>
  <si>
    <t>LUZ STELLA ROJAS / MARYORY PAOLA GARCIA</t>
  </si>
  <si>
    <t>Consultoría estrategia omnicanalidad</t>
  </si>
  <si>
    <t>Ingeniería de software o hardware</t>
  </si>
  <si>
    <t>Integración documental emisión autos con carpeta digital</t>
  </si>
  <si>
    <t xml:space="preserve">MARIA LUCIA LLERAS </t>
  </si>
  <si>
    <t>Portal Reclamantes IPS Fase l</t>
  </si>
  <si>
    <t>Metodología y Análisis</t>
  </si>
  <si>
    <t>Medición Reputación Corporativa</t>
  </si>
  <si>
    <t>Mantenimiento de software de servidores</t>
  </si>
  <si>
    <t>Herramienta BSC</t>
  </si>
  <si>
    <t>Servicio de arriendo o leasing de plataformas o equipos de comunicación de datos</t>
  </si>
  <si>
    <t>Renovación de tiendas (APP)</t>
  </si>
  <si>
    <t>JOEL ROMERO</t>
  </si>
  <si>
    <t>Gerencia de proyectos</t>
  </si>
  <si>
    <t>Prestación de servicios para apoyo a la gestión de la Gerencia de Planeación</t>
  </si>
  <si>
    <t>Servicios de promoción cultural</t>
  </si>
  <si>
    <t>Desarrollo de actividades para la promoción de la cultura digital</t>
  </si>
  <si>
    <t>LILIA SORAYA MANZANO ROMERO/ WENDY JIMENEZ</t>
  </si>
  <si>
    <t>Asociaciones empresariales sectoriales</t>
  </si>
  <si>
    <t>Renovación membresía Colombia Fintech</t>
  </si>
  <si>
    <t>Servicio de investigación y desarrollo de aplicaciones o tecnología</t>
  </si>
  <si>
    <t>Evolutivos y mejoras canales digitales</t>
  </si>
  <si>
    <t>Software de creación y edición de páginas web</t>
  </si>
  <si>
    <t xml:space="preserve">Renovación suscripción y mantenimiento Portal Web </t>
  </si>
  <si>
    <t>Inclusión capa de Inteligencia Artificial en los activos digitales corporativos</t>
  </si>
  <si>
    <t>Prestación de servicios para apoyo a la gestión de la subgerencia de transformación digital</t>
  </si>
  <si>
    <t>LILIA SORAYA MANZANO ROMERO</t>
  </si>
  <si>
    <t xml:space="preserve">GERENCIA DE INVERSIONES </t>
  </si>
  <si>
    <t>Acuerdos de inversiones</t>
  </si>
  <si>
    <t>Asesoría jurídica para obtener la renovación del Legal Entity Identifier (LEI) necesario para la negociación de instrumentos derivados</t>
  </si>
  <si>
    <t>Maria Carolina Rodriguez/Maria Teresa Romero</t>
  </si>
  <si>
    <t>servicio de proveeduría o suministro de información para la valoración de las inversiones de la compañía, de acuerdo con las metodologías de valoración de Precia Proveedor de Precios para valoración S.A., incluyendo las no objetadas Superintendencia Financiera de Colombia.</t>
  </si>
  <si>
    <t>Software de contabilidad</t>
  </si>
  <si>
    <t>servicio de soporte, mantenimiento, consultoría y actualización de la aplicación de Conciliación DATA MATCH CONCISO WEB (nuevo versionamiento modelo SAAS)</t>
  </si>
  <si>
    <t>EVELYN ANDREA GÓMEZ MARÍN</t>
  </si>
  <si>
    <t>Servicios contables</t>
  </si>
  <si>
    <t>Prestar los servicios de diseño del proceso contable para NIIF 17 desarrollando un Subledger en Excel a partir de los resultados del cálculo actuarial generado en la herramienta PROPHET, así como la definición de los requerimientos para la adaptación del General Ledger a NIIF 17.</t>
  </si>
  <si>
    <t>SUBGERENCIA DE IMPUESTOS</t>
  </si>
  <si>
    <t>Programadores de computador</t>
  </si>
  <si>
    <t>Prestar el servicio de licenciamiento, mantenimiento y actualización del Software CERTAX.</t>
  </si>
  <si>
    <t>JORGE ENRIQUE ALDANA</t>
  </si>
  <si>
    <t>Prestar los servicios profesionales, con plena autonomía técnica, administrativa y operacional para apoyar a la Gerencia Contable y Tributaria en la evaluación, clasificación, identificación y elaboración de planes de acción para mejorar el proceso de depuración de terceros para la información exógena a la DIAN</t>
  </si>
  <si>
    <t>Apoyo en la elaboración de medios magnéticos</t>
  </si>
  <si>
    <t>Con el objeto de contratar la prestación de servicios especializados para la estabilización  y ejecución del proceso de facturación en medios y formatos electrónicos, el cual contempla entre otros, la expedición, entrega, aceptación, rechazo, exhibición y conservación de facturas por y en medios y formatos electrónicos</t>
  </si>
  <si>
    <t xml:space="preserve">GERENCIA DE CARTERA </t>
  </si>
  <si>
    <t xml:space="preserve">Prestar sus servicios profesionales de manera personal, de apoyo a la Gerencia de cartera en el levantamiento y construcción de instructivos operativos de los procesos gestionados por esta.  </t>
  </si>
  <si>
    <t>LEYDI XIMENA SANDOVAL</t>
  </si>
  <si>
    <t>Prestar sus servicios profesionales de manera personal, de apoyo a la Gerencia de cartera en el levantamiento y construcción de instructivos operativos de los procesos gestionados por esta.  Normativo</t>
  </si>
  <si>
    <t>VICEPRESIDENCIA INDEMNIZACIONES</t>
  </si>
  <si>
    <t>GERENCIA DE INDEMNIZACIONES AUTOMÓVILES</t>
  </si>
  <si>
    <t>La Compañía requiere contar con un proveedor que preste los servicios de trámites para el saneamiento de los vehículos asegurados, con el propósito de atender las reclamaciones y generar el pago de estas, esto atado al proceso de indemnizaciones autos como giro de negocio.</t>
  </si>
  <si>
    <t>ADRIANA ORJUELA</t>
  </si>
  <si>
    <t>GERENCIA DE INDEMNIZACIONES SOAT, VIDA Y AP</t>
  </si>
  <si>
    <t>Auditoria de cuentas médicas</t>
  </si>
  <si>
    <t>Carlos Alfredo Niño</t>
  </si>
  <si>
    <t>Valoración del estado de salud individual</t>
  </si>
  <si>
    <t>Calificación de pérdida de capacidad laboral (PCL)</t>
  </si>
  <si>
    <t>Servicios de contratación de personal</t>
  </si>
  <si>
    <t xml:space="preserve">Contratistas por prestación de servicios </t>
  </si>
  <si>
    <t>VICEPRESIDENCIA JURIDICA</t>
  </si>
  <si>
    <t xml:space="preserve">GERENCIA JURÍDICA </t>
  </si>
  <si>
    <t>Servicios de derecho comercial</t>
  </si>
  <si>
    <t>Asesoría y soporte en materia de Protección de Datos Personales a la compañía, incluido al Comité de protección de datos personales el cual cumple las funciones asignadas como Oficial de Protección de Datos Personales de La Previsora S.A Compañía de Seguros.</t>
  </si>
  <si>
    <t>MILAGROS DEL CARMEN SARMIENTO ORTIZ</t>
  </si>
  <si>
    <t>Atención de asesorias y conceptos jurídicos especializados a demanda</t>
  </si>
  <si>
    <t>Derecho de patentes, marcas o derechos de autor</t>
  </si>
  <si>
    <t>Prestación de servicios profesionales para la asesoría jurídica de propiedad intelectual (propiedad industrial, derechos de autor) y realizar las gestiones y trámites necesarios ante la SIC para obtener los regitros y/ o renovaciones de la propiedad industrial de La Previsora, así como la protección de Derechos de Autor de la Compañía ante la Drección Nacional de Derechos de Autor.</t>
  </si>
  <si>
    <t>GERENCIA DE CONTRATACION</t>
  </si>
  <si>
    <t xml:space="preserve">Apoyo Tecnico para el proceso de gestión contractual </t>
  </si>
  <si>
    <t>LUISA MARIA PAEZ VILLAMIL</t>
  </si>
  <si>
    <t>Servicios de alquiler o arrendamiento de licencias de software de computador</t>
  </si>
  <si>
    <t>Plataforma de contratación - honorarios administrativos</t>
  </si>
  <si>
    <t>Plataforma de contratación - arrendamiento de software</t>
  </si>
  <si>
    <t xml:space="preserve">VICEPRESIDENCIA JURÍDICA </t>
  </si>
  <si>
    <t>Apoyo profesional para el seguimiento y control de procesos disciplinarios que adelanta la compañía en Primera Instancia</t>
  </si>
  <si>
    <t>CAROLINA GIRALDO DUQUE</t>
  </si>
  <si>
    <t xml:space="preserve">Proveer un software de administración de litigios bajo modalidad de arrendamiento </t>
  </si>
  <si>
    <t>RODRIGO IGNACIO FRANCO ASHTON</t>
  </si>
  <si>
    <t>Apoyo profesional para el seguimiento y control de cumplimiento de fallos y sentencias en los procesos de responsabilidad fiscal, Administrativos y coactivos</t>
  </si>
  <si>
    <t>Apoyo asistencial para el proceso de pagos de la Gerencia de Litigios</t>
  </si>
  <si>
    <t>Apoyo Profesional para el proceso de pagos de la Gerencia de Litigios</t>
  </si>
  <si>
    <t>Apoyo técnico para el proceso de pagos de la Gerencia de Litigios</t>
  </si>
  <si>
    <t>Apoyo Asistencial para la gestión de comité de defensa de la Gerencia de Litigios</t>
  </si>
  <si>
    <t>Servicios de investigación legal</t>
  </si>
  <si>
    <t xml:space="preserve">Investigación Estudio de bienes </t>
  </si>
  <si>
    <t>Servicios de asistencia legal</t>
  </si>
  <si>
    <t>Representación y defensa judicial en los litigios de la compañía</t>
  </si>
  <si>
    <t xml:space="preserve">Representación y defensa judicial en TUTELAS </t>
  </si>
  <si>
    <t>VICEPRESIDENCIA TECNICA</t>
  </si>
  <si>
    <t xml:space="preserve">OFICINA DE RAMOS TÉCNICOS </t>
  </si>
  <si>
    <t>Servicios de cultivos agrícolas</t>
  </si>
  <si>
    <t>ARRENDAMIENTO DE SOFTWARE</t>
  </si>
  <si>
    <t>Andres Felipe Guerra Rodriguez</t>
  </si>
  <si>
    <t>GERENCIA TÉCNICA DE SEGUROS GENERALES E INGENIERIAS</t>
  </si>
  <si>
    <t>Asistencia y cuidado del hogar</t>
  </si>
  <si>
    <t>el proveedor se obliga con La Previsora S.A., a prestar los servicios de asistencia domiciliaria y personas para los asegurados de LA PREVISORA S.A.</t>
  </si>
  <si>
    <t>ALONSO BLANCO MEDINA - INGRID HERRERA MOYA</t>
  </si>
  <si>
    <t>Especialistas en interconexión de tecnologías de la información temporales</t>
  </si>
  <si>
    <t xml:space="preserve">Suministrar el derecho de uso de la plataforma tecnológica COLOMBIA SOFTWARE que permita la captura de todos y cada uno de los despachos que realicen los clientes asegurados en Previsora, a fin de emitir certificados específicos, de excesos y Previtrayectos, así como también permitir el cálculo de las primas causadas en un lapso de tiempo determinado. </t>
  </si>
  <si>
    <t>Javier Garzón Parroquiano</t>
  </si>
  <si>
    <t xml:space="preserve">VICEPRESIDENCIA TÉCNICA </t>
  </si>
  <si>
    <t>Soporte técnico para la parametrización y análisis detallado de documentos de la VP Técnica, incluyendo manuales, clausulados, instructivos y demás insumos necesarios, con el propósito de diseñar la arquitectura y entrenar el modelo de inteligencia artificial que brindará apoyo a sucursales, áreas de indemnizaciones y equipos técnicos en la suscripción de nuevos negocios más eficiente</t>
  </si>
  <si>
    <t>HERNAN  LINARES/JOHANNA MARTINEZ</t>
  </si>
  <si>
    <t>Fondos de pensiones administrados por el empleador</t>
  </si>
  <si>
    <t>CALCULO PASIVO PENSIONAL</t>
  </si>
  <si>
    <t>LEONARDO PARRA ALARCON</t>
  </si>
  <si>
    <t>ARRENDAMIENTO SOFTWARE - EMBLEM</t>
  </si>
  <si>
    <t>ARRENDAMIENTO SOFTWARE - PROPHET</t>
  </si>
  <si>
    <t>CAMILO FIGUEROA</t>
  </si>
  <si>
    <t>MIGRACION MODELOS - PROPHET</t>
  </si>
  <si>
    <t>Servicios de mercados de títulos valores y commodities</t>
  </si>
  <si>
    <t xml:space="preserve">Constitución y administración Patrimonio Autónomo seguro de cumplimiento </t>
  </si>
  <si>
    <t>MARIA ISABEL WILCHES SEGOVIA</t>
  </si>
  <si>
    <t>Servicio de procesamiento de datos en línea</t>
  </si>
  <si>
    <t>Suministro información comercial y financiera clientes seguro de cumplimiento</t>
  </si>
  <si>
    <t>Publicaciones periódicas</t>
  </si>
  <si>
    <t>Suscripcion plataforma Contratacion en Linea</t>
  </si>
  <si>
    <t>Emision, custodia pagarés seguro de cumpimiento y manejo</t>
  </si>
  <si>
    <t xml:space="preserve">OFICINA DE PREVENCIÓN DE RIESGOS </t>
  </si>
  <si>
    <t xml:space="preserve">INSPECCIÓN DE RIESGOS Y ACTIVIDADES DE PREVENCIÓN </t>
  </si>
  <si>
    <t>CARLOS EDUARDO TORRES GACHARNA</t>
  </si>
  <si>
    <t>SERVICIOS DE PREVENCIÓN DE PÉRDIDAS PARA EL RAMO DE TRANSPORTES</t>
  </si>
  <si>
    <t>SERVICIO DE ADMINISTRACIÓN DE RIESGOS DE RESPONSABILIDAD CIVIL PROFESIONAL DE CLÍNICAS Y HOSPITALES PARA LAS INSTITUCIONES HOSPITALARIAS</t>
  </si>
  <si>
    <t xml:space="preserve">PRESTAR LOS SERVICIOS DE PREVENCIÓN VIAL ESPECIALIZADOS PARA LOS DIFERENTES CLIENTES DEL RAMO DE AUTOMÓVILES. </t>
  </si>
  <si>
    <t xml:space="preserve">SERVICIO DE ANÁLISIS DIELÉCTRICO, FISICOQUÍMICO, CROMATOGRÁFICO DE GASES, FURANOS Y PCB´S A LOS TRANSFORMADORES ELÉCTRICOS; ANÁLISIS DE VIBRACIONES; DIAGNÓSTICO DE MOTORES ELÉCTRICOS MEDIANTE PRUEBAS DINÁMICAS Y/O ESTÁTICAS; INSPECCIÓN ULTRASÓNICA, INSPECCIÓN TERMOGRÁFICA Y MONITOREO EN LÍNEA PARA DETERMINAR PARÁMETROS DE CALIDAD DE ENERGÍA. </t>
  </si>
  <si>
    <t xml:space="preserve">PRESTAR EL SERVICIO DE ADMINISTRACIÓN DE RIESGOS EN LOS RAMOS DE MANEJO, INFIDELIDAD Y RIESGOS FINANCIEROS (IRF) Y CYBER, PARA LOS CLIENTES ASIGNADOS POR LA OFICINA DE PREVENCIÓN DE RIESGOS. </t>
  </si>
  <si>
    <t>Programas de asistencia a empleados</t>
  </si>
  <si>
    <t>Servicios de asistencia de automóviles, domiciliaria y a personas para los ramos adscritos a la Gerencia Técnica de Automóviles, Gerencia Técnica de Seguros Generales e Ingenierías y Gerencia Técnica de Seguros Patrimoniales y Vida, a nivel nacional</t>
  </si>
  <si>
    <t>LUIS FELIPE CASTILLO BETANCOURT</t>
  </si>
  <si>
    <t>GERENCIA TÉCNICA DE AUTOMÓVILES</t>
  </si>
  <si>
    <t>Software de reportes de bases de datos</t>
  </si>
  <si>
    <t>Consulta de reporte de SISA y CEXPER (PRODUCCIÓN Y SINIESTROS)</t>
  </si>
  <si>
    <t>WILSON ORLANDO PARRA NÚÑEZ</t>
  </si>
  <si>
    <t>Servicios de inspección de vehículos</t>
  </si>
  <si>
    <t xml:space="preserve">Servicio de inspección de automóviles </t>
  </si>
  <si>
    <t>Servicios de asistencia de emergencia en viajes</t>
  </si>
  <si>
    <t>Servicio de asistencia vehícular</t>
  </si>
  <si>
    <t>Análisis de riesgo o seguridad</t>
  </si>
  <si>
    <t>Prestar servicios para la calificación de historia créditicia de asegurados persona natural</t>
  </si>
  <si>
    <t xml:space="preserve">El proveedor se compromete a suministrar el servicio transaccional para la comercialización, administración y recaudo del ramo SOAT, ambiente WEB para todos los canales habilitados, con la integración total al sistema "core" de  LA PREVISORA S.A. de acuerdo con los requerimientos establecidos en las normas que regulan el SOAT. </t>
  </si>
  <si>
    <t>Magda Milena Pizzo B</t>
  </si>
  <si>
    <t>PRESTAR LOS SERVICIOS DE CONSULTA EN LÍNEA Y EN BATCH DE DATOS PERSONALES, INFORMACIÓN COMERCIAL Y GESTIÓN DE COBRANZA DE PERSONAS
NATURALES Y/O JURÍDICAS, QUE SE ENCUENTREN EN PROCESOS DE VINCULACIÓN Y/O VINCULADAS COMERCIALMENTE CON LA PREVISORA S.</t>
  </si>
  <si>
    <t>Juan Carlos Caballero Bernal</t>
  </si>
  <si>
    <t>Universidades y politécnicos</t>
  </si>
  <si>
    <t>Capacitaciones dirigidas a intermediarios con el fin de acreditar o actualizar la idoneidad tecnica,  requerida por la Superfinanciera en la circular externa 050 de 2015</t>
  </si>
  <si>
    <t>Agencias de viajes</t>
  </si>
  <si>
    <t>Prestación de Servicios para el suministro de tiquetes aéreos nacionales e internacionales, alojamiento, desplazamientos terrestres, asesoría y trámites conexos con este tipo de servicios para los Intermediarios que cumplan las condiciones del Plan de Reconocimiento Mutuamente 2025.</t>
  </si>
  <si>
    <t>Milena Lucia Acosta Niño</t>
  </si>
  <si>
    <t>Capacitaciones dirigidas a intermediarios para actualización en temas normativos de la actividad de intermediación de seguros</t>
  </si>
  <si>
    <t>Capacitaciones dirigidas a intermediarios para el desarrollo de la estrategia, acompañamiento y productividad, permitiendo fortalecer sus capacidades y hacer uso de las herramientas comerciales.
Mentoring con los aliados top más de acompañamiento para el desarrollo comercial enfocado en el crecimiento en ventas.</t>
  </si>
  <si>
    <t>Capacitaciones dirigidas a intermediarios para el desarrollo de la estrategia, acompañamiento y productividad, permitiendo fortalecer sus capacidades y hacer uso de las herramientas comerciales.
Motivación, logro de objetivos y cierre efectivo en ventas.</t>
  </si>
  <si>
    <t>Software de consultas y gestión de datos</t>
  </si>
  <si>
    <t xml:space="preserve">Desarrollar y poner en funcionamiento el Sistema Unificado de Consulta de Intermediarios de Seguros – SUCIS Gremial, que permitirá consolidar y dar a conocer a la Superintendencia Financiera y al público en general, la información relacionada con la idoneidad, experiencia y capacidad de los intermediarios
</t>
  </si>
  <si>
    <t>Aminta puyo</t>
  </si>
  <si>
    <t>Software de servidor de transacciones</t>
  </si>
  <si>
    <t>EL PROVEEDOR se obliga con LA PREVISORA S.A. a suministrar el servicio transaccional para la comercialización, administración y recaudo para las pólizas de Accidentes Personales en ambiente WEB cumpliendo con los parámetros exigidos por LA PREVISORA S.A.</t>
  </si>
  <si>
    <t>Sandra Milena Peña T.</t>
  </si>
  <si>
    <t xml:space="preserve">Servicios de asesorías educativas </t>
  </si>
  <si>
    <t>Participación en ferias con pasaje seguro</t>
  </si>
  <si>
    <t>Yanet Rojas</t>
  </si>
  <si>
    <t>Materiales educativos de recursos de aptitudes de vida</t>
  </si>
  <si>
    <t>Se prestarán servicios de asesoría, diseño y desarrollo de contenidos, además de un programa de coaching financiero, cumpliendo los criterios del sello de calidad de la Resolución 0240 de 2022, mediante talleres, material educativo y herramientas prácticas que fortalezcan el programa Saber Seguro de LA PREVISORA S.A.</t>
  </si>
  <si>
    <t>YANET ROJAS HERNÁNDEZ</t>
  </si>
  <si>
    <t>Software de desarrollo de plataformas web</t>
  </si>
  <si>
    <t>Contratación de los servicios de administración y mantenimiento de la página www.saberseguro.com</t>
  </si>
  <si>
    <t>Mercancía promocional</t>
  </si>
  <si>
    <t>Para dar continuidad al Sistema de Atención al Consumidor (SAC) de Previsora Seguros, se requiere adquirir elementos de apoyo para entregar a consumidores financieros como compensación por PQR y por participación en talleres, capacitaciones, ferias y actividades de educación financiera, así como en jornadas internas para funcionarios y terceros.</t>
  </si>
  <si>
    <t>ANGIE CHINOME</t>
  </si>
  <si>
    <t>Servicio de gestión de programas promocionales</t>
  </si>
  <si>
    <t>Contratar servicios de fidelización de clientes</t>
  </si>
  <si>
    <t>DIANA ARAGON</t>
  </si>
  <si>
    <t>Contratación de los servicios de consulta en línea y en bach de datos personales, información comercial y gestión de cobranza de personas juridicas.</t>
  </si>
  <si>
    <t>JUAN DAVID SÁNCHEZ</t>
  </si>
  <si>
    <t>Con esta contratación nos uniremos como padrinos a la estrategia de masificación de la herramienta lúdico - pedagógica “Nueva Pangea - La Expedición”, contribuyendo financieramente en el proceso de transferencia metodológica a los colegios del país priorizados por el Ministerio de Educación en el marco de la ejecución del Memorando de entendimiento N°2024153.</t>
  </si>
  <si>
    <t>Envio masivo de kit de bienvenida</t>
  </si>
  <si>
    <t>JUAN DAVID SANCHEZ</t>
  </si>
  <si>
    <t xml:space="preserve">OFICINA DE MERCADEO Y PUBLICIDAD </t>
  </si>
  <si>
    <t>EL PROVEEDOR se obliga con LA PREVISORA S.A. a entregar el -material promocional con la marca de LA PREVISORA S.A., para participar publicitariamente en ferias, exposiciones y seminarios., generando estatus y reconocimiento en actividades comerciales.</t>
  </si>
  <si>
    <t>GIOVANNI MEDINA</t>
  </si>
  <si>
    <t>Reuniones y eventos</t>
  </si>
  <si>
    <r>
      <t>EL PROVEEDOR se obliga con LA PREVISORA S.A. a</t>
    </r>
    <r>
      <rPr>
        <b/>
        <sz val="10"/>
        <color rgb="FF000000"/>
        <rFont val="Aptos"/>
        <family val="2"/>
      </rPr>
      <t xml:space="preserve"> </t>
    </r>
    <r>
      <rPr>
        <sz val="10"/>
        <color rgb="FF000000"/>
        <rFont val="Aptos"/>
        <family val="2"/>
      </rPr>
      <t>prestar el servicio de construcción, montaje y ejecución del comité de gestión 2026, a través de presentaciones, capacitaciones y entrenamiento del equipo comercial y directivo a nivel nacional de la Previsora S.A.</t>
    </r>
  </si>
  <si>
    <t>ALEJANDRA ESCOBAR</t>
  </si>
  <si>
    <t>SUBGERENCIA DE PLANEACIÓN COMERCIAL</t>
  </si>
  <si>
    <t>Investigación de mercados</t>
  </si>
  <si>
    <t>contratar servicios profesionales para realizar estudios de mercado a nivel nacional que requiere LA PREVISORA S.A., bajo la figura de “Bolsa de Investigación”</t>
  </si>
  <si>
    <t>JHON FABIO LINARES</t>
  </si>
  <si>
    <t>Realizar la encuesta de Calidad del servicio de las compañías de seguros durante el 2025</t>
  </si>
  <si>
    <t>Renovar el licenciamiento para uso de la plataforma SALESFORCE.COM</t>
  </si>
  <si>
    <t>PEDRO LUIS BERNAL SIERRA</t>
  </si>
  <si>
    <t>SUCURSAL</t>
  </si>
  <si>
    <t>SUCURSAL ARAUCA</t>
  </si>
  <si>
    <t>celebración del dia de la familia</t>
  </si>
  <si>
    <t>PEDRO ARMANDO PEÑA TOLOZA</t>
  </si>
  <si>
    <t>Servicio de mantenimiento de edificios</t>
  </si>
  <si>
    <t>Mantenimiento general sede Arauca, resanes, pinturas y mantenimientos varios</t>
  </si>
  <si>
    <t>Aires acondicionados</t>
  </si>
  <si>
    <t>Adquisición de un aire acondicionado</t>
  </si>
  <si>
    <t>Hornos microondas para uso doméstico</t>
  </si>
  <si>
    <t>Adquisición de horno microondas para uso del personal previsora sucursal Arauca</t>
  </si>
  <si>
    <t>Realizar evento aniversario previsora</t>
  </si>
  <si>
    <t>Cierre gestión de año 2026 con funcionarios de la sucursal Arauca</t>
  </si>
  <si>
    <t>Contratación de espacio para el lanzamiento del plan de reconocimientos de intermediarios</t>
  </si>
  <si>
    <t>Pedro Armando Peña Toloza</t>
  </si>
  <si>
    <t>Contratación de espacio para el cierre de año gestión de intermediarios</t>
  </si>
  <si>
    <t>SUCURSAL ARMENIA</t>
  </si>
  <si>
    <t>Servicio de instalación o mantenimiento o reparación de aires acondicionados</t>
  </si>
  <si>
    <t>MANTENIMIENTO PREVENTIVO Y/O CORRECTIVO DE AIRES ACONDICIONADOS</t>
  </si>
  <si>
    <t>GIOVANNA M HERNANDEZ GARCIA</t>
  </si>
  <si>
    <t>Servicios de  mantenimiento o administración  de canales</t>
  </si>
  <si>
    <t>MANTENIMIENTO DE CANALETAS</t>
  </si>
  <si>
    <t>Mantenimiento o reparación del sistema de plomería</t>
  </si>
  <si>
    <t>MANO DE OBRA E INSTALACION DE GRIFERIA AHORRADORA BAÑOS</t>
  </si>
  <si>
    <t>Servicio de instalación de controles electrónicos</t>
  </si>
  <si>
    <t>MANO DE OBRA E INSTALACION DE LUMINARIAS CON SENSORES DE MOVIMIENTOS</t>
  </si>
  <si>
    <t>DIA DE LA FAMILIA</t>
  </si>
  <si>
    <t>Servicio de parqueadero de vehículos</t>
  </si>
  <si>
    <t>SERVICIO DE PARQUEADERO PARA LOS FUNCIONARIOS DE LA SUCURSAL</t>
  </si>
  <si>
    <t>CIERRE DE GESTION FUNCIONARIOS</t>
  </si>
  <si>
    <t>CELEBRACION ANIVERSARIO PREVISORA</t>
  </si>
  <si>
    <t>SUCURSAL BUCARAMANGA</t>
  </si>
  <si>
    <t xml:space="preserve">Evento Cierre de Gestión Funcionarios </t>
  </si>
  <si>
    <t xml:space="preserve">DELSY YOLIMA MORA CONTRERAS </t>
  </si>
  <si>
    <t>Celebración Dia de la Familia</t>
  </si>
  <si>
    <t xml:space="preserve">Celebracion Aniversario Previsora </t>
  </si>
  <si>
    <t xml:space="preserve">Mantenimiento preventivo y correctivo de los Aires Acondicionados Suc Bucaramanga </t>
  </si>
  <si>
    <t>Servicio de inspección, mantenimiento o reparación de extinguidores de fuego</t>
  </si>
  <si>
    <t>Contratar el servicio de mantenimiento y recarga de extintores de la sucursal</t>
  </si>
  <si>
    <t>Servicios de montaje e instalación de ventanas y puertas</t>
  </si>
  <si>
    <t xml:space="preserve">Adquisición puerta en vidrio templado  de entrada a la sucursal </t>
  </si>
  <si>
    <t>Freidoras para uso doméstico</t>
  </si>
  <si>
    <t xml:space="preserve">Compra de Freidora Air Fryer de 12 Litros </t>
  </si>
  <si>
    <t>Servicios de mantenimiento y reparación de instalaciones</t>
  </si>
  <si>
    <t xml:space="preserve">Adecuacion baño de primer piso para minusvalidos y cambio a meson metalico en acero inoxidable para la cocina </t>
  </si>
  <si>
    <t xml:space="preserve">Mantemimiento de pisos Sucursal Bucaramanga </t>
  </si>
  <si>
    <t xml:space="preserve">Mantenimiento y Reparación  Muebles Sucursal Bucaramanga </t>
  </si>
  <si>
    <t>Relojes cronómetros</t>
  </si>
  <si>
    <t xml:space="preserve">Compra de Reloj de Fichar Ingreso y salida de la sucursal </t>
  </si>
  <si>
    <t xml:space="preserve">Realizar el embellecimiento y restauracion del mueble de madera de la ventanilla de la Oficina de Caja de la sucursal </t>
  </si>
  <si>
    <t>Sillas para ejecutivos</t>
  </si>
  <si>
    <t xml:space="preserve">Compra de 5 Sillas Oficinista para los practicantes y temporales </t>
  </si>
  <si>
    <t>SUCURSAL BUENAVENTURA</t>
  </si>
  <si>
    <t>Mantenimiento de aires acondicionados ;(7)  siete equipos de la Sucursal</t>
  </si>
  <si>
    <t xml:space="preserve"> N/A </t>
  </si>
  <si>
    <t>EDITH YANET FLOREZ</t>
  </si>
  <si>
    <t>señalizacion de la sucursal</t>
  </si>
  <si>
    <t>Impresión de papelería o formularios comerciales</t>
  </si>
  <si>
    <t>Impresion de papeleria o formularios comerciales (CARNETS ESTUDIANTILES)</t>
  </si>
  <si>
    <t>Contratacion - Dia de la Familia 2026 - Sucursal</t>
  </si>
  <si>
    <t xml:space="preserve">Celebración aniversario Compañia </t>
  </si>
  <si>
    <t>Cierre de gestión 2026- Colaboradores Suc Buenaventura</t>
  </si>
  <si>
    <t>SUCURSAL CALI</t>
  </si>
  <si>
    <t>Servicios de revestimiento</t>
  </si>
  <si>
    <t>Adecuación de muebles empotrados donde se encuentra instalado el sistema de aire acondicionado y marcos de puertas, cocinas y baños</t>
  </si>
  <si>
    <t xml:space="preserve"> NO </t>
  </si>
  <si>
    <t>CARMEN EUGENIA CHARRIA</t>
  </si>
  <si>
    <t>Servicio de remodelación de cocinas y baños</t>
  </si>
  <si>
    <t>Arreglo de baños (Hombres - Mujeres - Gerencia) y  Sala de Juntas</t>
  </si>
  <si>
    <t xml:space="preserve">CAMBIO DE BARRA (MESA COMEDOR) DE LA COCINA </t>
  </si>
  <si>
    <t>Servicio de alquiler y mantenimiento de mobiliario para oficina</t>
  </si>
  <si>
    <t>CAMBIO DE MODULARES Y OFICINA</t>
  </si>
  <si>
    <t>CAMBIO DE VINILOS EN VIDRIO</t>
  </si>
  <si>
    <t>Servicios de pintura</t>
  </si>
  <si>
    <t>PINTURA DE OFICINA PISO 8 Y 27</t>
  </si>
  <si>
    <t>RETIRO DE PERSIANAS Y SUMINISTRO E INSTALACIÓN DE PELICULA 3M CONTROL SOLAR</t>
  </si>
  <si>
    <t>Celebracion día de la familia</t>
  </si>
  <si>
    <t>Equipo y suministros para elaboración de café</t>
  </si>
  <si>
    <t>COMPRA DE GRECA INDUSTRIAL</t>
  </si>
  <si>
    <t>COMPRA DE HORNOS MICROHONDAS INDUSTRIAL</t>
  </si>
  <si>
    <t>Contratación de espacio para relacionamiento con intermediarios, presentación de cifras impulso cierre de año.</t>
  </si>
  <si>
    <t>Cumpleaños Previsora</t>
  </si>
  <si>
    <t>PARQUEADERO</t>
  </si>
  <si>
    <t xml:space="preserve">Mantenimiento de Aires Acondicionados </t>
  </si>
  <si>
    <t>SUCURSAL CARTAGENA</t>
  </si>
  <si>
    <t>Contratar servicio de parqueadero para vehiculos de funcionarios</t>
  </si>
  <si>
    <t>HERNANDO DE LA HOZ GONZALEZ</t>
  </si>
  <si>
    <t xml:space="preserve">Contratar servicio de Mantenimiento de Aires acondicionados </t>
  </si>
  <si>
    <t>Servicio de mantenimiento y reparación de equipos eléctricos</t>
  </si>
  <si>
    <t xml:space="preserve">Contratar servicio de Mantenimiento de Planta Electrica </t>
  </si>
  <si>
    <t>Día de la familia</t>
  </si>
  <si>
    <t xml:space="preserve">Aniversario en agosto </t>
  </si>
  <si>
    <t>Integración fin de año diciembre de 2025</t>
  </si>
  <si>
    <t>Compra de condensadora y aires acondicionado</t>
  </si>
  <si>
    <t>SUCURSAL CENTRO DE SERVICIOS MASIVOS</t>
  </si>
  <si>
    <t>Sillas para visitantes</t>
  </si>
  <si>
    <t>Adquisición de sillas interlocutoras para primer y segundo piso</t>
  </si>
  <si>
    <t>Miguel Angel Cepeda Rueda</t>
  </si>
  <si>
    <t>Cambio Chapilla muebles Gerencia</t>
  </si>
  <si>
    <t>Muebles de oficina</t>
  </si>
  <si>
    <t>Compra de calefactores</t>
  </si>
  <si>
    <t xml:space="preserve">SUCURSAL CENTRO EMPRESARIAL CORPORATIVO </t>
  </si>
  <si>
    <t>Servicios de renovación y reparación de edificios comerciales y de oficinas</t>
  </si>
  <si>
    <t>Adecuacion y encerramiento en vidrio de sala de reuniones sucursal C.E.C. para la utilización de esta en capacitaciones y demás actividades laborales</t>
  </si>
  <si>
    <t>JORGE LUIS CASTRO HERNANDEZ</t>
  </si>
  <si>
    <t>Mesas para servir o dispensar comidas</t>
  </si>
  <si>
    <t>Adquisicion de mesas (6) y sillas (24) para el area del comedor de la Suc. C.E.C. , debido a que las que se encuentran desgastadas y  actualmente han cumplido su ciclo de vida</t>
  </si>
  <si>
    <t>Cerramientos para bañeras o duchas</t>
  </si>
  <si>
    <t>Adecuacion de 2 duchas en los baños  de la  sucursal C.E.C. a fin de promover el uso de medios de transporte como la bicicleta  por parte de los funcionarios de la sucursal C.E.C. alineados al PIGA de la compañía</t>
  </si>
  <si>
    <t>Compra de horno microondas para la sucursal, teniendo en cuenta el numero de personal en labor presencial al interior de las instalaciones.</t>
  </si>
  <si>
    <t>Mesas</t>
  </si>
  <si>
    <t xml:space="preserve">Adquisicion de mesa de juntas para la sala de reuniones Suc. C.E.C. </t>
  </si>
  <si>
    <t>Puestos para computadores o notebooks</t>
  </si>
  <si>
    <t>REORGANIZACIÓN PUESTOS DE TRABAJO QUE SE ENCUENTRAN EN LA SUC. C.E.C. DEBIDO AL AUMENTO DEL PERSONAL EN PRESENCIALIDAD</t>
  </si>
  <si>
    <t>Juegos de deportes</t>
  </si>
  <si>
    <t>ADQUISICIÓN MESA DE PING-PONG PARA ZONA DE ESPARCIMIENTO A LOS FUNCIONARIOS DE LA SUCURSAL C.E.C.</t>
  </si>
  <si>
    <t>SUCURSAL CUCUTA</t>
  </si>
  <si>
    <t xml:space="preserve">Contratacion - Dia de la Familia 2026 - Suc. Cucuta </t>
  </si>
  <si>
    <t>MARIA CAMILA SANTOS PADILLA</t>
  </si>
  <si>
    <t xml:space="preserve">Contratacion - Cierre de Gestion Año 2026 - Funcionarios Suc. Cucuta. </t>
  </si>
  <si>
    <t xml:space="preserve">Contratacion Mantenimiento Correctivo y Preventivo Aires Acondicionados Suc. Cucuta </t>
  </si>
  <si>
    <t>SUCURSAL ESTATAL</t>
  </si>
  <si>
    <t>Servicio de pintura comercial</t>
  </si>
  <si>
    <t>Realizar obras de resane y pintura en las oficinas de la sucursal</t>
  </si>
  <si>
    <t>MARLY JOHANA PINEDA MEDINA</t>
  </si>
  <si>
    <t>SUCURSAL FLORENCIA</t>
  </si>
  <si>
    <t>Contrato de inspección de riesgos sucursal Florencia.</t>
  </si>
  <si>
    <t>JOSE ALEJANDRO VALENCIA</t>
  </si>
  <si>
    <t>Mantenimiento preventivo aires acondicionados</t>
  </si>
  <si>
    <t>Mantenimiento instalaciones Sucursal</t>
  </si>
  <si>
    <t>Celebración día de la familia</t>
  </si>
  <si>
    <t>Servicios eléctricos</t>
  </si>
  <si>
    <t>Instalación eléctrica para aviso luminoso por capacidad del cable de conexión del tomacorriente actual</t>
  </si>
  <si>
    <t>SUCURSAL IBAGUE</t>
  </si>
  <si>
    <t>contratar el mantenimiento de los aires acondicionados de la sucursal</t>
  </si>
  <si>
    <t>Germán Martínez Sánchez</t>
  </si>
  <si>
    <t>contratar el servicio de parqueadero para los funcionarios de la sucursal</t>
  </si>
  <si>
    <t>Reparaciones locativas para las oficinas de la sucursal Ibagué (LOCALES PROPIOS DE PREVISORA S.A)</t>
  </si>
  <si>
    <t>Aniversario en agosto</t>
  </si>
  <si>
    <t>Cierre de Gestión (Integración fin de año diciembre de 2026)</t>
  </si>
  <si>
    <t>SUCURSAL MANIZALES</t>
  </si>
  <si>
    <t>YULIANA LARA CÁRDENAS</t>
  </si>
  <si>
    <t>Celebracion cumpleaños Previsora</t>
  </si>
  <si>
    <t>Televisores</t>
  </si>
  <si>
    <t>Adquisición de Televisor 50" para sala de juntas</t>
  </si>
  <si>
    <t>Adquisición de Televisor 50" con parlante para sala multipropósito</t>
  </si>
  <si>
    <t xml:space="preserve">Arrendamiento de parqueaderos para vehículos de funcionarios de La Previsora S.A. Sucursal Manizales. </t>
  </si>
  <si>
    <t>Contratación de servicios de mantenimiento de aires acondicionados</t>
  </si>
  <si>
    <t>Sillas de brazos</t>
  </si>
  <si>
    <t>Compra de sillas sala de capacitación</t>
  </si>
  <si>
    <t>Adecuación sala multipróposito</t>
  </si>
  <si>
    <t>Adecuación Recepcion y pared oficina</t>
  </si>
  <si>
    <t>Adecuación oficinas propias Manizales para arrendar</t>
  </si>
  <si>
    <t>Paula Andrea Castaño Zuluaga</t>
  </si>
  <si>
    <t>SUCURSAL MEDELLIN</t>
  </si>
  <si>
    <t xml:space="preserve">Mantenimiento Aire Acondicionado </t>
  </si>
  <si>
    <t xml:space="preserve">Ana Cristina Arboleda Torres </t>
  </si>
  <si>
    <t xml:space="preserve">Arrendamiento de parqueaderos para vehículos de funcionarios de la sucursal. </t>
  </si>
  <si>
    <t xml:space="preserve">Solicitud de microondas indsutrial  para comedor de la sucursal </t>
  </si>
  <si>
    <t>Proyectores multimedia</t>
  </si>
  <si>
    <t xml:space="preserve">COMPRA VIDEO BEAM OFICINA GERENCIA </t>
  </si>
  <si>
    <t xml:space="preserve">ESTANTERÍA CON LLAVE PARA ALMACENAMIENTO DE PRODUCTOS DE ASEO </t>
  </si>
  <si>
    <t xml:space="preserve">Mantenimiento general de equipos de oficina </t>
  </si>
  <si>
    <t xml:space="preserve">Mantenimiento electrico sucursal </t>
  </si>
  <si>
    <t>Persianas enrollables</t>
  </si>
  <si>
    <t>MANO DE OBRA CAMBIO DE BLACKOUT</t>
  </si>
  <si>
    <t>Cambio de persianas (blackout) en mal estado</t>
  </si>
  <si>
    <t>Cafeteras para uso doméstico</t>
  </si>
  <si>
    <t xml:space="preserve">Compra greca industrial </t>
  </si>
  <si>
    <t>Iluminación de áreas</t>
  </si>
  <si>
    <t xml:space="preserve">Cambio Iluminacion recepcion </t>
  </si>
  <si>
    <t>Servicio de mantenimiento o reparación de equipos y sistemas de protección contra incendios</t>
  </si>
  <si>
    <t>Mantenimiento cuartos tecnicos</t>
  </si>
  <si>
    <t xml:space="preserve">Mantenimiento divisiones en vidrio templado </t>
  </si>
  <si>
    <t>Oscar Mesa</t>
  </si>
  <si>
    <t>SUCURSAL MOCOA</t>
  </si>
  <si>
    <t>EDWIN CUMBER AGUDELO</t>
  </si>
  <si>
    <t>Pintura total oficina sucusal Mocoa.</t>
  </si>
  <si>
    <t>Adecuación de cuarto de archivo para bodega.</t>
  </si>
  <si>
    <t>SUCURSAL MONTERIA</t>
  </si>
  <si>
    <t>Mantenimiento de aires acondicionados</t>
  </si>
  <si>
    <t>DIANA CABALLERO CONEO</t>
  </si>
  <si>
    <t>Celebración aniversario Previsora</t>
  </si>
  <si>
    <t>Adecuación y remodelación de oficina debido a traslado</t>
  </si>
  <si>
    <t>Activos fijos nueva oficina</t>
  </si>
  <si>
    <t>Servicio de parqueadero de vehiculo funcionarios</t>
  </si>
  <si>
    <t>SUCURSAL NEIVA</t>
  </si>
  <si>
    <t>GINA PAOLA OSORIO RODRIGUEZ</t>
  </si>
  <si>
    <t xml:space="preserve">Contratación del servicio de mantenimiento de aires acondicionados </t>
  </si>
  <si>
    <t>Contración servicio de mantenimiento planta electrica</t>
  </si>
  <si>
    <t>Contratación servicio de mantenimiento de sillas</t>
  </si>
  <si>
    <t>Celebracion dia cumpleaños Previsora</t>
  </si>
  <si>
    <t>Contratación compra de horno micrronda para uso de la oficina</t>
  </si>
  <si>
    <t>Contratación compra de cafeteria industrial para uso de la oficina</t>
  </si>
  <si>
    <t>Contración servicio de mantenimiento pintura de la sucursal</t>
  </si>
  <si>
    <t>SUCURSAL PASTO</t>
  </si>
  <si>
    <t>Alquiler y arrendamiento de propiedades o edificaciones</t>
  </si>
  <si>
    <t>PAGO ADMINISTRACION DE COPROPIEDAD</t>
  </si>
  <si>
    <t>Javier Guillermo Enriquez</t>
  </si>
  <si>
    <t>CONTRATAR SERVICIO DE MANTENIMIENTO AIRE ACONDICIONADO RACK</t>
  </si>
  <si>
    <t>Servicio de mantenimiento de energía de emergencia o de reserva</t>
  </si>
  <si>
    <t>CONTRATAR SERVICIO DE MANTENIMIENTO PLANTA ELECTRICA</t>
  </si>
  <si>
    <t>Aniversario compañía</t>
  </si>
  <si>
    <t>Oscar Iván Estrada Portilla</t>
  </si>
  <si>
    <t>SUCURSAL PEREIRA</t>
  </si>
  <si>
    <t>Compra equipo de aire acondicionado sala de capacitación</t>
  </si>
  <si>
    <t>RONALD MONTEALEGRE ZULUAGA</t>
  </si>
  <si>
    <t xml:space="preserve">Compra sofas sala de espera </t>
  </si>
  <si>
    <t>Equipos audiovisuales</t>
  </si>
  <si>
    <t>Barra de sonido</t>
  </si>
  <si>
    <t>Otros electrodomésticos</t>
  </si>
  <si>
    <t>Telón para video beam</t>
  </si>
  <si>
    <t>Electrodomésticos para cocina</t>
  </si>
  <si>
    <t>Nevera Gerencia</t>
  </si>
  <si>
    <t>compra de video beam</t>
  </si>
  <si>
    <t>Servicios de construcción y mantenimiento de HVAC calefacción y enfriamiento y aire acondicionado</t>
  </si>
  <si>
    <t>Mantenimiento A/A (5 EQUIPOS)</t>
  </si>
  <si>
    <t>Parqueadero para los vehiculo de 7 funcionarios</t>
  </si>
  <si>
    <t>adecuación sala multipropósito</t>
  </si>
  <si>
    <t>SUCURSAL POPAYAN</t>
  </si>
  <si>
    <t>Actividad de aniversario previsora sucursal Popayan</t>
  </si>
  <si>
    <t>GERMAN ELIAS PARRA GUACANEME</t>
  </si>
  <si>
    <t>Actividad de día de la familia de la sucursal Popayan</t>
  </si>
  <si>
    <t>Actividad de cierre de año 2026 dirigido a funcionarios de la sucursal Popayan</t>
  </si>
  <si>
    <t>Adecuación oficinas pintura de la oficina sucursal Popayan</t>
  </si>
  <si>
    <t>Realizar dos mantenimientos de Aire acondicionado Mini Split</t>
  </si>
  <si>
    <t>Servicio de mantenimiento o reparación de sistemas de iluminación</t>
  </si>
  <si>
    <t>Mantenimiento correctivo de luminarias led 60*60 ubicadas en toda la oficina donde funciona LA PREVISORA SEGUROS S.A.</t>
  </si>
  <si>
    <t>SUCURSAL QUIBDO</t>
  </si>
  <si>
    <t>REUNIONES Y EVENTOS</t>
  </si>
  <si>
    <t>dia de la familia de los funcionarios de la sucursal</t>
  </si>
  <si>
    <t>yohanna mosquera</t>
  </si>
  <si>
    <t>cierre de gestion de la sucursal</t>
  </si>
  <si>
    <t>Arrendamiento de instalaciones comerciales o industriales</t>
  </si>
  <si>
    <t xml:space="preserve">Arrendamiento oficina 204 donde queda el archivo de la oficina </t>
  </si>
  <si>
    <t>mantenimiento preventivo aires acondicionados de la sucursal</t>
  </si>
  <si>
    <t>Yohanna Emerita Mosquera</t>
  </si>
  <si>
    <t>SUCURSAL RIOHACHA</t>
  </si>
  <si>
    <t>Mantenimiento preventivo y correctivo de los aires acondicionados de la sucursal riohacha</t>
  </si>
  <si>
    <t>ETHEL CERCHIARO</t>
  </si>
  <si>
    <t xml:space="preserve">contratar servicio de mantenimientos preventivos para la planta electrica </t>
  </si>
  <si>
    <t>Televisor Gerencia Sucursal</t>
  </si>
  <si>
    <t>SUCURSAL SINCELEJO</t>
  </si>
  <si>
    <t xml:space="preserve">Mantenimiento preventivo y correctivo de los aires acondicionados de la sucursal </t>
  </si>
  <si>
    <t>EDERSON ROMERO CASTRO</t>
  </si>
  <si>
    <t>Celebracion dia de la familia</t>
  </si>
  <si>
    <t>Adecuacion de oficinas pintura de las oficinas de la sucursal sincelejo</t>
  </si>
  <si>
    <t>servicio de parqueadero de vehiculos</t>
  </si>
  <si>
    <t>Ederson Rafael Romero</t>
  </si>
  <si>
    <t>SUCURSAL TUNJA</t>
  </si>
  <si>
    <t>contratar el mantenimiento del aire acondicionado de la sucursal</t>
  </si>
  <si>
    <t>SANDRA MILENA PATIÑO ORJUELA</t>
  </si>
  <si>
    <t>Reparaciones locativas para las oficinas de la sucursal Tunja  o traslado</t>
  </si>
  <si>
    <t>Contratación parqueaderos funcionarios</t>
  </si>
  <si>
    <t>Integración fin de año funcionarios sucursal diciembre de 2025</t>
  </si>
  <si>
    <t>Adquisición activos fijos nueva oficina</t>
  </si>
  <si>
    <t>Servicios de correo</t>
  </si>
  <si>
    <t>Servicio de correo</t>
  </si>
  <si>
    <t>Arriendo local para traslado oficina</t>
  </si>
  <si>
    <t>SUCURSAL VILLAVICENCIO</t>
  </si>
  <si>
    <t>Dispensadores de agua embotellada o accesorios</t>
  </si>
  <si>
    <t>MARIA IVED VERGARA GARZON</t>
  </si>
  <si>
    <t>Gabinetes de almacenamiento</t>
  </si>
  <si>
    <t>Gabinete de almacenamiento cocina</t>
  </si>
  <si>
    <t>Mantenimiento de aires acondiciones</t>
  </si>
  <si>
    <t>Arriendo oficina sucursal Villavicencio</t>
  </si>
  <si>
    <t>Generadores de potencia</t>
  </si>
  <si>
    <t>Planta electrica</t>
  </si>
  <si>
    <t>Servicio de instalación y mantenimiento de avisos</t>
  </si>
  <si>
    <t>Mantenimiento redes y avisos</t>
  </si>
  <si>
    <t>ANIVERSARIO PREVISORA</t>
  </si>
  <si>
    <t xml:space="preserve">DIA DE LA FAMILIA </t>
  </si>
  <si>
    <t>Adecuación oficinas Villavicencio</t>
  </si>
  <si>
    <t>María Ived Vergara Garzón</t>
  </si>
  <si>
    <t>SUCURSAL YOPAL</t>
  </si>
  <si>
    <t>Realizar mantenimiento preventivo o correctivo con suministro de repuestos  de los aires acondicionados de la sucursal Yopal, con una periodicidad trimestral.</t>
  </si>
  <si>
    <t>Miguel Angel Becerra</t>
  </si>
  <si>
    <t>Servicio de instalación de cortinas o persianas</t>
  </si>
  <si>
    <t>Contratar la adquisición e instalación de una persiana tipo panel japones para la oficina de gerencia de la sucursal Yopal</t>
  </si>
  <si>
    <t>Contratar la adquisición, instalación y puesta en marcha de 1 aire acondicionado tipo mini split para la oficina de gerencia de la sucursal Yopal</t>
  </si>
  <si>
    <t>Actividad de día de la familia dirigido a funcionarios de la sucursal Yopal</t>
  </si>
  <si>
    <t>Actividad de cierre de año 2026 dirigido a funcionarios de la sucursal Yopal</t>
  </si>
  <si>
    <t>Ana Belén Gutiérrez Romero</t>
  </si>
  <si>
    <t>Total</t>
  </si>
  <si>
    <t>PLAN INTEGRADO DE ACCIÓN ANUAL 2026 - PLAN ESTRATÉGICO DE TALENTO HUMANO</t>
  </si>
  <si>
    <t>TOTAL CUMPLIMIENTO I SEMESTRE</t>
  </si>
  <si>
    <t>TOTAL CUMPLIMIENTO II SEMESTRE</t>
  </si>
  <si>
    <t>"Cumplimiento del Plan Anual de Seguridad y Salud en el Trabajo. 
Nota: Estas actividades las debe definir la Gerencia de Talento Humano en el despliegue de este plan e informar a Ger. Innovación y Procesos
(Ir Hoja 08. PSST)"</t>
  </si>
  <si>
    <t>Cumplimiento del plan definido para alcanzar el 100% del alcance.</t>
  </si>
  <si>
    <t>RECURSOS HUMANOS
RECURSOS FINANCIEROS
RECURSOS TECNOLÓGICOS</t>
  </si>
  <si>
    <t>Se realizo el analisis de las Necesidades de formación asi como la programación de las mesas de trabajo con proveedores especializados para definir y lanzar los programas</t>
  </si>
  <si>
    <t>Se gestionaron todas las actividades planeadas en el Plan de Formación para el II trimestre</t>
  </si>
  <si>
    <t>Se gestionaron todas las actividades planeadas en el Plan de Formación para el III trimestre</t>
  </si>
  <si>
    <t>Se gestionaron todas las actividades planeadas en el Plan de Formación para el IV trimestre, se generan informes y cierre del Plan de Formación</t>
  </si>
  <si>
    <t>Cumplimiento del Plan de incentivos institucionales</t>
  </si>
  <si>
    <t>Conjunto de actividades definidas en el Plan de incentivos 2024</t>
  </si>
  <si>
    <t>Presupuesto definido para el rubro de Premios Concursos Internos</t>
  </si>
  <si>
    <t>Se gestionaron todas las actividades planeadas en el Plan Institucional de Incentivos para el primer Semestre</t>
  </si>
  <si>
    <t>Se gestionaron todas las actividades planeadas en el Plan Institucional de Incentivos para el segundo Semestre</t>
  </si>
  <si>
    <t>Gestión del Alto Desempeño</t>
  </si>
  <si>
    <t>Cumplimiento de las etapas del proceso de evaluación del desempeño 2024</t>
  </si>
  <si>
    <t>Presupuesto definido para el Rubro de Selección de Personal</t>
  </si>
  <si>
    <t>Se gestionaron todas las actividades planeadas en el Plan Anual del SG-SST Para el primer semestre</t>
  </si>
  <si>
    <t xml:space="preserve">Se gestionan todas las actividades planeadas en el Plan Anual de Trabajo de SST </t>
  </si>
  <si>
    <t>Cumplimiento del Plan Institucional de Capacitación</t>
  </si>
  <si>
    <t>Actividades ejecutadas del Plan de Capacitación/Actividades planeadas en el Plan de Capacitación)x100</t>
  </si>
  <si>
    <t>Presupuesto  definido para el rubro de Capacitación de personal y Congresos, foros, seminarios</t>
  </si>
  <si>
    <t>Se realizó el cierre de la evaluación de desempeño 2022</t>
  </si>
  <si>
    <t>Se realizó la concertación de objetivos 2023</t>
  </si>
  <si>
    <t>Se realizó el seguimiento a la gestión de indicadores</t>
  </si>
  <si>
    <t xml:space="preserve">Actualmente se está gestionando el cierre de la evaluación 2023 los resultados se calculan en Febrero 2024 según los plazos establecidos </t>
  </si>
  <si>
    <t>EJECUTADO</t>
  </si>
  <si>
    <t>PLAN INTEGRADO DE ACCIÓN ANUAL 2026 - PLAN INSTITUCIONAL DE CAPACITACIÓN</t>
  </si>
  <si>
    <t>FACULTAD</t>
  </si>
  <si>
    <t>PROGRAMA</t>
  </si>
  <si>
    <t>OBJETIVO PIC</t>
  </si>
  <si>
    <t>FORMADOR</t>
  </si>
  <si>
    <t>MODALIDAD</t>
  </si>
  <si>
    <t>TIPO</t>
  </si>
  <si>
    <t>POBLACIÓN A IMPACTAR</t>
  </si>
  <si>
    <t>DURACIÓN (HRS)</t>
  </si>
  <si>
    <t># FUNCIONARIOS</t>
  </si>
  <si>
    <t>(PREPARACIÓN ACADEMICA)</t>
  </si>
  <si>
    <t>(EJECUCIÓN ACADEMICA)</t>
  </si>
  <si>
    <t xml:space="preserve">PLAN SECTORIAL </t>
  </si>
  <si>
    <t>FACULTAD MEDULAR</t>
  </si>
  <si>
    <t>SISTEMA DE ATENCION AL CONSUMIDOR FINANCIERO - SAC -</t>
  </si>
  <si>
    <t xml:space="preserve">Fortalecer los conocimientos de la organización a través de los Cursos Normativos </t>
  </si>
  <si>
    <t>MIXTO</t>
  </si>
  <si>
    <t>OBLIGATORIO</t>
  </si>
  <si>
    <t>Funcionarios de Planta</t>
  </si>
  <si>
    <t xml:space="preserve">De acuerdo con la cantidad de contenidos que se definan </t>
  </si>
  <si>
    <t>Presupuesto definido para el rubro de Capacitación y de acuerdo al programa final</t>
  </si>
  <si>
    <t>Presupuesto  autorizado para el rubro de Capacitación de personal y congresos, foros, seminarios y similares</t>
  </si>
  <si>
    <t>Trimestral</t>
  </si>
  <si>
    <t>Enero</t>
  </si>
  <si>
    <t>Diciembre</t>
  </si>
  <si>
    <t xml:space="preserve">Se gestionó formación para:
-Semana de la Innovación
-Vicepresidencia de Desarrollo Corporativo en Emprendimiento, Gestión del Conocimiento e Innovación.
-Escuela de Liderazgo con el componente de Creatividad e Innovación </t>
  </si>
  <si>
    <t xml:space="preserve">Se gestionó formación para:
- Taller de innovación y diseño de productos
- Finaliza programa para la VP. Desarrollo Corporativo. 
- Finaliza escuela de liderazgo. </t>
  </si>
  <si>
    <t>GESTION DEL RIESGO: SARO- SARLAFT- SEGURIDAD DE LA INFORMACION - PLAN DE CONTINUIDAD DEL NEGOCIO</t>
  </si>
  <si>
    <t>Se realizo formación en:
-Mapas de Experiencia
-Taller Arquetipo
-Proyecto Exploración Experiencia al Cliente Previsora.
-Seminario el Poder de las Ventas - Sucursales</t>
  </si>
  <si>
    <t xml:space="preserve">Se realizó formación en:
- Mapas de experiencia del cliente
- Webinar proyecto de experiencia del cliente
- Finaliza programa del poder de las ventas dirigido a Sucursales. </t>
  </si>
  <si>
    <t>SISTEMA DE GESTION DE SEGURIDAD Y SALUD EN EL TRABAJO</t>
  </si>
  <si>
    <t>Se realizó formación en:
-Habilidades Ofimáticas
-Uso y apropiación de Office 365
-Vicepresidencia de Desarrollo Corporativo en Emprendimiento, Gestión del Conocimiento e Innovación.</t>
  </si>
  <si>
    <t>Se realizó formación en:
- Finaliza escuela de habilidades ofimaticas
- Finaliza programa de uso y apropiación de Office 365</t>
  </si>
  <si>
    <t>OTROS CURSOS EXIGIDOS POR LA NORMA</t>
  </si>
  <si>
    <t>Para el 2023 los cursos normativos se trabajarán bajo las siguientes Actividades:
-Los ingresos realizarán la formación Normativa correspondiente en la Plataforma de la Universidad de la Sabana
- Se realizó capacitación de SAC 
- Se realizó evento de Comunicacione de SARO
- Se publico el curso virtual de Seguridad de la Información.</t>
  </si>
  <si>
    <t>Se realizó:
- Olimpiadas del conocimiento normativo que reune los cursos de SAC, SARO, SARLAFT, PCN, RSE, PIGA, BUEN GOBIERNO, CODIGO DE ETICA, SGI, CONTROL INTERNO, CIBERSEGURIDAD, SGSST</t>
  </si>
  <si>
    <t>FACULTAD PARA EL DESEMPEÑO</t>
  </si>
  <si>
    <t>FORMACIÓN EN HABILIDADES OFIMÁTICAS</t>
  </si>
  <si>
    <t>Fortalecer conocimientos en habilidades informáticas y herramientas tecnológicas de la Compañía incluyendo la AI como herrmienta de gestión.</t>
  </si>
  <si>
    <t>PROVEEDOR</t>
  </si>
  <si>
    <t>VOLUNTARIO</t>
  </si>
  <si>
    <t>Funcionarios de Planta de acuerdo con las necesidades de las áreas</t>
  </si>
  <si>
    <t>Presupuesto definido para el rubro de Capacitación Congresos Foros y Seminarios y de acuerdo al programa y población final</t>
  </si>
  <si>
    <t>Marzo</t>
  </si>
  <si>
    <t>Se inicio: 
-Escuela de Liderazgo con el componente de TOGAF y Arquitectura Empresarial
-Se encuentra en planeación de las actividades: Ciencia de Datos y Programa de Power BI</t>
  </si>
  <si>
    <t xml:space="preserve">Se realizó formación en:
- Programa en ciencia de datos 
- Programa de Power BI
- Finaliza escuela de liderazgo (componente TOGAF y Arquitectura Empresarial). </t>
  </si>
  <si>
    <t>FORMACIONES INTERNAS PARA EL FORTALECIMIENTO DEL CONOCIMIENTO PARA EL DESEMPEÑO DE LAS FUNCIONES ASIGNADAS</t>
  </si>
  <si>
    <t>Fortalecer conocimientos y adquirir nuevas destrezas y habilidades que permitan una mejor adaptación al cambio y un desempeño eficiente para el cumplimiento de los objetivos estrtegicos.</t>
  </si>
  <si>
    <t>INTERNO</t>
  </si>
  <si>
    <t>Febrero</t>
  </si>
  <si>
    <t>Sesión de alineación estratégica con Gerencia de Talento Humano, con el fin de conocer los principales elementos claves de impacto para el desarrollo del proyecto de Cultura Resiliente. La sesión se llevó a cabo el 26 de enero de 2023. 
Se alinearon los temas de Comunicaciones con el fin de acompañar el plan de endomarketing para el desarrollo del proyecto de Cultura Resiliente.
Presentación del plan de gestión integral del modelo de liderazgo en cada una de sus dimensiones; el documento fue entregado el 10 de febrero.
Realización del taller con líderes “Cultura Resiliente”; con el fin de crear y movilzar la co-responsabilidad y la contribución como parte fundamental en la consolidación del ecosistema cultural: Sesión realizada el 15 de febrero.Reuniones virtuales con los equipos por vicepresidencias. Listas de asistencia.
Se envía campaña de expectativa dando apertura al proceso de fortalecimiento de cultura resiliente en el 2023.
Se entrega material trabajado en el taller de co-creación a todos los líderes que participaron de la actividad.
Se hace entrega del manifiesto de líder Previsora para socialización.  Se envió material para video (palabras doctor Vélez, líderes hablando del manifiesto).
Ejecución de los talleres culturales en las sucursales Estatal y Centro Empresarial
Se realiza alineación del open cultural con la Gerencia de Servicio y la Presidencia Corporativo
Se diseña pieza gráfica para el open cultural con los respectivos ajustes.
Ejecución de los talleres culturales en la sucursal Centro de Servicios Masivos
Se revisa propuesta del guion y se replantea la actividad del panel por actividad de participación por áreas
Se diseña pieza gráfica para el open cultural con los respectivos ajustes.Se envía link para prueba y revisión de la encuesta de gestión del cambio a una muestra representativa.
Se definen fechas de citación junto con la pieza gráfica programando las sesiones del programa HRBP dirigido al equipo de Talento Humano.
Pieza de expectativa para actividad Entornos Saludables “YO”.
Actividad que promueve las buenas prácticas al interior de las áreas
Realización del taller Resignificando el propósito con el equipo de Talento Humano. Sesión 1 y 2 Canva Cultural
Realización de las sesiones 1 y 2 del programa de formación HRBP dirigido al equipo de Talento Humano.
Realización del open cultural como estrategia de conexión del proyecto con las personas y con el enfoque de orientación a potenciar desde la cultura la experiencia del cliente.
Elaboración estrategias y piezas de comunicación transversales al proyecto.
Taller Resignificando mi contribución, dirigido al equipo de Secretaría General
Taller Cultrua Resiliente dirigido al equipo sindical ASDECOS</t>
  </si>
  <si>
    <t xml:space="preserve">Se realizaron actividades de:
-Feria de cultura resiliente. 
-Actividades de apropiación de valores corporativos. 
- Medición de cultura resiliente y presentación de los resultados. </t>
  </si>
  <si>
    <t>FORMACIONES EXTERNAS PARA ACTUALIZACIÓN DE CONOCIMIENTOS RELACIONADOS CON LOS PROCESOS DE LA COMPAÑÍA</t>
  </si>
  <si>
    <t>Actualizar conocimientos y adquirir nuevas destrezas y habilidades que permitan una mejor adaptación al cambio y un desempeño eficiente en el entorno laboral.</t>
  </si>
  <si>
    <t>Funcionarios de Planta de acuerdo con los requerimientoes presentados por  las áreas</t>
  </si>
  <si>
    <t xml:space="preserve">De acuerdo al contenido  definido </t>
  </si>
  <si>
    <t>Se realizar las capacitaciones internas solicitadas por las areas en el primer semestre de acuerdo al informe adjunto en soportes.</t>
  </si>
  <si>
    <t>Se realizarón las capacitaciones internas solicitadas por las areas en el primer semestre de acuerdo al informe adjunto en soportes.</t>
  </si>
  <si>
    <t>FACULTAD HUMANA</t>
  </si>
  <si>
    <t>CULTURA RESILIENTE</t>
  </si>
  <si>
    <t>Integrar y potenciar las capacidades de la organización, competencias y valores del equipo humano requeridas para ser una organización colaborativa y flexible que cumple su misión</t>
  </si>
  <si>
    <t>Presupuesto definido para el rubro de Capacitación y de acuerdo al programa y población final</t>
  </si>
  <si>
    <t>INTEGRIDAD</t>
  </si>
  <si>
    <t>COMPETENCIAS COMPORTAMENTALES</t>
  </si>
  <si>
    <t>PLAN INTEGRADO DE ACCIÓN ANUAL 2026 - PLAN DE INCENTIVOS INSTITUCIONALES</t>
  </si>
  <si>
    <t>CATEGORIA</t>
  </si>
  <si>
    <t>NOMBRE DE LA ACTIVIDAD</t>
  </si>
  <si>
    <t>DESCRIPCION DE LA ACTIVIDAD</t>
  </si>
  <si>
    <t>ÁREA LÍDER</t>
  </si>
  <si>
    <t>PREMIO</t>
  </si>
  <si>
    <t>INDIVIDUAL</t>
  </si>
  <si>
    <t>COLECTIVO</t>
  </si>
  <si>
    <t>MES DE EJECUCIÓN</t>
  </si>
  <si>
    <t>MES DE PREMIACIÓN</t>
  </si>
  <si>
    <t>CRITERIOS DE EVALUACIÓN</t>
  </si>
  <si>
    <t>#CULTURA RESILIENTE</t>
  </si>
  <si>
    <t>Premio a la gestión</t>
  </si>
  <si>
    <t>Se reconocerá el desempeño eficiente y sobresaliente por la calificación de evaluación de desempeño recibida durante el año inmediatamente anterior a 40 colaboradores que en su evaluación obtengan un puntaje superior al 95% y que hayan cumplido al 100% con su oferta de formación.</t>
  </si>
  <si>
    <t>GERENCIA DE TALENTO HUMANO - SUBGERENCIA DE DESARROLLO DE TALENTO HUMANO</t>
  </si>
  <si>
    <t>BONOS</t>
  </si>
  <si>
    <t>X</t>
  </si>
  <si>
    <t>Mayo de 2026</t>
  </si>
  <si>
    <t>Junio de 2026</t>
  </si>
  <si>
    <t>40 funcionarios destacados en la evaluación de desempeño del año anterior y según la distribución de cupos de cada Vicepresidencia</t>
  </si>
  <si>
    <t>Concurso ejecutado</t>
  </si>
  <si>
    <t>Gestión Sucursales</t>
  </si>
  <si>
    <t>Premiar en los comités de gestión a las 5 Gerentes de Sucursales que mejores resultados obtengan en indicadores de presupuesto de ventas y el índice combinado de la sucursal.</t>
  </si>
  <si>
    <t>Marzo y septiembre de 2026</t>
  </si>
  <si>
    <t>Se premiará a los 5 Gerentes de Sucursales con mejores indicadores de presupuesto de ventas y el índice combinado de la sucursal</t>
  </si>
  <si>
    <t>Se inició con el desarrollo de concursos planteados dentro de esta categoría</t>
  </si>
  <si>
    <t>Se realizaron todas las actividades programadas para esta categoría</t>
  </si>
  <si>
    <t>Apropiación de la Cultura Resiliente</t>
  </si>
  <si>
    <t>Consta de una serie de actividades que buscan fortalecer la apropiación del programa de cultura resiliente</t>
  </si>
  <si>
    <t>BONOS Y PUNTOS</t>
  </si>
  <si>
    <t>De marzo a noviembre de 2026</t>
  </si>
  <si>
    <t>De marzo a diciembre de 2026</t>
  </si>
  <si>
    <t>Participación y cumplimiento en las actividades de cultura planteadas</t>
  </si>
  <si>
    <t>Modelo de liderazgo</t>
  </si>
  <si>
    <t>Consta de una serie de actividades  que se realicen para incentivar el modelo de liderazgo</t>
  </si>
  <si>
    <t>Participación y cumplimiento en las actividades del modelo de liderazgo</t>
  </si>
  <si>
    <t>Retos saludablemente</t>
  </si>
  <si>
    <t>Consiste en una serie de retos que promuevan un estilo de vida saludable tanto en el entorno laboral como en el personal, integrando a toda la compañía en una serie de retos que permitan vivenciar practicas seguras y saludables</t>
  </si>
  <si>
    <t>GERENCIA DE TALENTO HUMANO - SUBGERENCIA DE ADMINISTRACIÓN DE PERSONAL</t>
  </si>
  <si>
    <t>Agosto de 2026</t>
  </si>
  <si>
    <t>Septiembre de 2026</t>
  </si>
  <si>
    <t>Se premiarán a 10 personas de Casa Matriz y 10 personas de Sucursales con el mayor nivel de participación en las activdades a desarrollarse en el mes de la salud.</t>
  </si>
  <si>
    <t>#AGILIDAD EMPRESARIAL</t>
  </si>
  <si>
    <t>Sello a la Gestión Integral SGI</t>
  </si>
  <si>
    <t>Es el concurso que busca incentivar la participación y cumplimiento de los objetivos en los sistemas de gestión de la entidad mediante la evaluación de criterios establecidos para evaluar la gestión de las áreas frente a cada sistema de gestión y con eso se da un valor global para cada área, se premian las 3 primeras areas de casa matriz y las 3 primeras sucursales</t>
  </si>
  <si>
    <t>Enero a Diciembre de 2026</t>
  </si>
  <si>
    <t>Febrero de 2027</t>
  </si>
  <si>
    <t>#CLIENTE CÉNTRICO</t>
  </si>
  <si>
    <t>Satisfacción cliente</t>
  </si>
  <si>
    <t>Premiación áreas con resultados destacados en la encuesta cliente interno y final.</t>
  </si>
  <si>
    <t>"Se premiarán a las 4 áreas de casa matriz que obtengan los mejores puntajes en la encuesta de cliente interno.
Se premiarán a las 4 sucursales que obtengan los mejores puntajes en la encuesta de cliente final."</t>
  </si>
  <si>
    <t>#INNOVACIÓN APLICADA</t>
  </si>
  <si>
    <t xml:space="preserve"> Creatividad e Innovación</t>
  </si>
  <si>
    <t>Realizar 2 eventos (uno cada semestre) asociado a la celebración del día de la innovación y la creatividad</t>
  </si>
  <si>
    <t>GERENCIA DE INNOVACIÓN</t>
  </si>
  <si>
    <t>Mayo y Octubre de 2026</t>
  </si>
  <si>
    <t>Junio y Noviembre de 2026</t>
  </si>
  <si>
    <t>Se premiará a las áreas y personas que participen en las actividades desarrolladas durante los eventos de creatividad e Innovación.</t>
  </si>
  <si>
    <t>Apropiación de la transformación digital</t>
  </si>
  <si>
    <t xml:space="preserve">Iniciativas y proyectos de transformación digital, que permitan fomentar la gestión de cambio en las áreas respecto a la mejora de las capacidades, y fortalecer el conocimiento sobre las tendencias digitales del mercado y su impacto en la industria. </t>
  </si>
  <si>
    <t>Abril a Noviembre de 2026</t>
  </si>
  <si>
    <t xml:space="preserve"> Noviembre de 2026</t>
  </si>
  <si>
    <t>Se premiará a las áreas y personas que participen en las actividades de gestión de la Innovación.</t>
  </si>
  <si>
    <t>#LoHacemosjuntos</t>
  </si>
  <si>
    <t>Reforzamiento de la estrategia corporativa y desdoblamiento de los objetivos corporativos al dia a dia de los funcionarios</t>
  </si>
  <si>
    <t xml:space="preserve">GERENCIA DE PLANEACIÓN - </t>
  </si>
  <si>
    <t>De abril a noviembre de 2026</t>
  </si>
  <si>
    <t>Noviembre de 2026</t>
  </si>
  <si>
    <t>Se premiará a las áreas y personas que presenten propuestas innovadoras frente a uno o varios retos.</t>
  </si>
  <si>
    <t>Concurso de fotografía corporativa</t>
  </si>
  <si>
    <t>Se realizará un concurso de fotografía con todos los funcionarios con el fin de empezar a alimentar nuestro banco de imágenes propio</t>
  </si>
  <si>
    <t>Febrero y Marzo de 2026</t>
  </si>
  <si>
    <t>Abril de 2026</t>
  </si>
  <si>
    <t xml:space="preserve">Se premiará a las áreas y personas que participen en las Iniciativas y proyectos de transformación digital, </t>
  </si>
  <si>
    <t>Participación en eventos deportivos</t>
  </si>
  <si>
    <t>Realizar una actividad  de cierre en el mes de noviembre para todos los deportistas que participen en las diferentes disciplinas de entidades externas en nombre de la Compañía.</t>
  </si>
  <si>
    <t>SUBGERENCIA DE ADMINISTRACIÓN DE PERSONAL</t>
  </si>
  <si>
    <t>De febrero a diciembre de 2026</t>
  </si>
  <si>
    <t>Diciembre de 2026</t>
  </si>
  <si>
    <t>Se premiará a las  personas que participen en los retos interactivos</t>
  </si>
  <si>
    <t>PLAN INTEGRADO DE ACCIÓN ANUAL 2026 - PLAN ANUAL DE SEGURIDAD Y SALUD EN EL TRABAJO</t>
  </si>
  <si>
    <t>OBJETIVO DEL SG-SST</t>
  </si>
  <si>
    <t>ESTANDAR</t>
  </si>
  <si>
    <t>PROGRAMA O TEMA RELACIONADO</t>
  </si>
  <si>
    <t>ACTIVIDAD</t>
  </si>
  <si>
    <t>RESPONABLE</t>
  </si>
  <si>
    <t>FRECUENCIA</t>
  </si>
  <si>
    <t>Cumplir la normatividad nacional vigente aplicable en materia de riesgos laborales.</t>
  </si>
  <si>
    <t>Cumplir el plan de trabajo de SST
Ver despliegue estratégico y matriz de indicadores SST</t>
  </si>
  <si>
    <t xml:space="preserve">E1 RECURSOS </t>
  </si>
  <si>
    <t>RESPONSABILIDADES</t>
  </si>
  <si>
    <t>Divulgar las responsabilidades en SST a todos los niveles</t>
  </si>
  <si>
    <t>RECURSOS HUMANOS
RECURSOS TECNOLOGICOS
RECURSOS FINANCIEROS</t>
  </si>
  <si>
    <t>Se realiza deisgnación del responsable en SST</t>
  </si>
  <si>
    <t>PRESUPUESTO</t>
  </si>
  <si>
    <t>Realizar seguimiento al presupuesto</t>
  </si>
  <si>
    <t>Se realiza actualización de Instructivo criterios de SST para seleccion y evaluación de contratistas y proveedores</t>
  </si>
  <si>
    <t>SEGURIDAD SOCIAL</t>
  </si>
  <si>
    <t>Solicitar a revisoría fiscal certificación de pago de aportes de SS</t>
  </si>
  <si>
    <t>Se realiza actualización de matriz de peligros y se remite en Normograma al area de cumplimiento para respectiva publicación</t>
  </si>
  <si>
    <t>COPASST</t>
  </si>
  <si>
    <t>Acompañamiento a reuniones mensuales</t>
  </si>
  <si>
    <t>Inspecciones de seguridad que involucren a los integrantes del COPASST</t>
  </si>
  <si>
    <t>Se realiza actualización del PVE Osteomuscular</t>
  </si>
  <si>
    <t>Investigaciones accidentes de trabajo</t>
  </si>
  <si>
    <t>A NECESIDAD</t>
  </si>
  <si>
    <t>Se realiza actualización del PVE Psicosocial</t>
  </si>
  <si>
    <t>Eleccion integrantes COPASST vigencia 2026-2028</t>
  </si>
  <si>
    <t>Se diseña politica de prevención de consumo de sustancias psicoactivas</t>
  </si>
  <si>
    <t>Capacitaciones a integrantes del comité</t>
  </si>
  <si>
    <t>VER CRONOGRAMA DE CHARLAS Y CAPACITACIONES</t>
  </si>
  <si>
    <t>Se realiza encuesta para la actualización de perfil sociodemografico</t>
  </si>
  <si>
    <t xml:space="preserve">COMITÉ DE CONVIVENCIA LABORAL </t>
  </si>
  <si>
    <t>Solicitar actas de reunión e informes de gestión</t>
  </si>
  <si>
    <t>De manera mensual se realizan mediciones y se reporta el resultado al SGI, arrojando cumplimiento de las metas establecidas</t>
  </si>
  <si>
    <t>CAPACITACION, INDUCCIÓN Y COMUNICACIONES</t>
  </si>
  <si>
    <t>Ver plan de capacitación y comunicaciones, evidencias de inducciones</t>
  </si>
  <si>
    <t>Se realiza actualización de matriz de peligros basados en los encuentros realizados con sucursales y visitas a pisos</t>
  </si>
  <si>
    <t>Alcanzar los resultados de AT y EL propuestos
 Ver despliegue estratégico y matriz de indicadores de SST</t>
  </si>
  <si>
    <t xml:space="preserve">E2 GESTION INTEGRAL DEL SG-SST </t>
  </si>
  <si>
    <t xml:space="preserve">POLITICA Y OBJETIVOS DEL SG SST </t>
  </si>
  <si>
    <t>Actualizar y/o socializar política y objetivos del SG-SST</t>
  </si>
  <si>
    <t xml:space="preserve">Se realiza divulgación de planes de emergencias y PONS </t>
  </si>
  <si>
    <t>EVALUACION DEL SG</t>
  </si>
  <si>
    <t>Reportar evaluación de estándares mínimos del SG SST ante el Ministerio de Trabajo y la ARL</t>
  </si>
  <si>
    <t>31/04/2026</t>
  </si>
  <si>
    <t>Se realiza acompañamiento mensual a las reuniones de COPASST, tratando diferentes temas (Reporte condiciones, Inspecciones, mediciones ocupacionales)</t>
  </si>
  <si>
    <t>Se realiza acompañamiento mensual a las reuniones de COPASST, tratando diferentes temas (Reporte condiciones, Inspecciones, mediciones ocupacionales, avances plan de trabajo, mes de la salud)</t>
  </si>
  <si>
    <t>Se realiza acompañamiento mensual a las reuniones de COPASST, tratando diferentes temas (Repaso conceptos de SST, revisión campaña conoce al COPASST)</t>
  </si>
  <si>
    <t>Se realiza acompañamiento mensual a las reuniones de COPASST, tratando diferentes temas (Socialización hallazgos inspecciones, hallazgos auditoria, resultados de la revisión por la alta dirección, campaña conoce al COPASST)</t>
  </si>
  <si>
    <t>DOCUMENTACION</t>
  </si>
  <si>
    <t>Realizar actualización de los documentos y registros del SG</t>
  </si>
  <si>
    <t>Se realiza capacitación al COPASST en practicas para el desarrollo de inspecciones de seguridad.</t>
  </si>
  <si>
    <t>Se realiza capacitación al COPASST en Identificación de péligros, evaluación, valoracion de riesgos y determinación de controles</t>
  </si>
  <si>
    <t>Se realiza capacitación al COPASST en Investigación de accidentes y enfermedades laborales</t>
  </si>
  <si>
    <t>Se culmino el cronograma de capacitaciones</t>
  </si>
  <si>
    <t>RENDICION DE CUENTAS</t>
  </si>
  <si>
    <t xml:space="preserve">Realizar rendición de cuentas sobre el desempeño de los trabajadores en SST </t>
  </si>
  <si>
    <t>Se realiza divulgación a traves de mejoramiento de procesos en pagina WEB e email</t>
  </si>
  <si>
    <t xml:space="preserve">NORMATIVIDAD VIGENTE EN SST </t>
  </si>
  <si>
    <t>Actualización de la Matriz Legal en SST</t>
  </si>
  <si>
    <t>Se realiza autoevaluación al SGGST correspondiente al año 2022.</t>
  </si>
  <si>
    <t>Evaluación de cumplimiento legal</t>
  </si>
  <si>
    <t>Se realiza evaluación a cumplimiento legal</t>
  </si>
  <si>
    <t>CONRATISTAS</t>
  </si>
  <si>
    <t>Reuniones de seguimiento al  cumplimiento de SST por parte de los Proveedores  clase de riesgo IV y V</t>
  </si>
  <si>
    <t>Se realizo a traves de Email socializando instructivo aprobado.</t>
  </si>
  <si>
    <t>Inducción a proveedores nuevos</t>
  </si>
  <si>
    <t>Se programa según requerimiento</t>
  </si>
  <si>
    <t>Se realiza Reinducción a los contratistas UT Casa Matriz y Americana.</t>
  </si>
  <si>
    <t>Se realiza inducción a contratistas Datafile, Stefanini, 472.</t>
  </si>
  <si>
    <t>GESTION DE CAMBIO</t>
  </si>
  <si>
    <t>Realizar seguimiento al reporte de los cambios presentados</t>
  </si>
  <si>
    <t>Se aplico encuesta de morbilidad sentida.</t>
  </si>
  <si>
    <t>Prevenir la ocurrencia de accidentes y enfermedades laborales</t>
  </si>
  <si>
    <t xml:space="preserve">E3 GESTIÓN DE LA SALUD </t>
  </si>
  <si>
    <t xml:space="preserve">ACTUALIZACION DEL PROGRAMA DE VIGILANCIA EPIDEMIOLOGICA </t>
  </si>
  <si>
    <t>Actualización del Programa de Vigilancia Epidemiológica Osteomuscular</t>
  </si>
  <si>
    <t>Se consolida en base de encuestas y diagnostico de condiciones de salud</t>
  </si>
  <si>
    <t xml:space="preserve">PROGRAMA DE VIGILANCIA EPIDEMIOLOGICA OSTEOMUSCULAR </t>
  </si>
  <si>
    <t>•	PYP. Programa Estilos de Vida Saludable
•	PYP. Programa Estilos de Vida Saludable y Autocuidado
•	Pausas activas
•	Cuerpo sano
•	Prevención AT
•	Entrega de los elementos de confort)</t>
  </si>
  <si>
    <t>Se realiza inspección de puestos de trabajo a 14 funcionarios que manifestaron sintomatologia Osteomuscular en mayor grado</t>
  </si>
  <si>
    <t>Se realizan escuelas de manejo del dolor por segmentos.</t>
  </si>
  <si>
    <t xml:space="preserve">GESTION Y CONTROL DEL PVE OSTEOMUSCULAR </t>
  </si>
  <si>
    <t xml:space="preserve">•	Reporte e investigación AT/EL
•	Inspecciones de puesto de trabajo
•	Inspecciones de puesto de teletrabajo
•	Acciones preventivas, correctivas y de mejora
</t>
  </si>
  <si>
    <t>Se realiza entrega de elementos de confort (elevadores de pantalla y descansapies)</t>
  </si>
  <si>
    <t xml:space="preserve"> VIGILANCIA, IDENTIFICACION Y SEGUIMIENTO DE CONDICIONES OSTEOMUSCULARES </t>
  </si>
  <si>
    <t>•	Encuesta de sintomatología
•	Identificar nuevos casos asociados a patologías osteomusculares
•	Mecanismos de vigilancia de condiciones de salud
•	Seguimiento a casos existentes o a casos nuevos
•	Autorreporte</t>
  </si>
  <si>
    <t xml:space="preserve">TRIMESTRAL </t>
  </si>
  <si>
    <t>Se realizan 3 campañas para la realización de las pausas activas,, cognitivas y fisicas</t>
  </si>
  <si>
    <t>Se realizan 3 campañas para la realización de las pausas activas,cognitivas y fisicas.</t>
  </si>
  <si>
    <t>Se realiza acompañamiento de las practicantes de Fisioterapia en las pausas activas</t>
  </si>
  <si>
    <t xml:space="preserve">PROGRAMA DE VIGILANCIA EPIDEMIOLOGICA PSICOSOCIAL </t>
  </si>
  <si>
    <t xml:space="preserve">Socializacion documental: 
- Protocolo ingreso mascotas apoyo emocional 
- Pólitica de prevención de consumo de sustancias Psicoactivas
- Protocolo espacio cuerpo sano, mente sana.
- Protocolo de primeros auxilios Psicologicos </t>
  </si>
  <si>
    <t>Derivado de la Bateria de R. Psicosocial se plantea y ejecuta una charla de manejo del duelo, asi como la intervención para el siguiente trimestre de entrevistas de profundización y escuelas de manejo saludable del estres.</t>
  </si>
  <si>
    <t>Derivado de la Bateria de R. Psicosocial se plantea y ejecuta una charla de reacción aguda al estres e higien del sueño.
Se ejecuto la ESCUELA VIVE + de manejo saludable del estres, ansiedad y depresion. Se comparten claves de salud mental a los asistentes.</t>
  </si>
  <si>
    <t>Derivado de la Bateria de R. Psicosocial se plantea y ejecuta una charla de asertividad y control emocional, felicidad y pertenencia y primeros auxilios psicologicos.
Se ejecuto la ESCUELA VIVE + de manejo saludable del estres, ansiedad y depresion. Se comparten claves de salud mental a los asistentes.</t>
  </si>
  <si>
    <t>Se realizan capacitaciones para la intervención del riesgo (manejo del duelo)</t>
  </si>
  <si>
    <t xml:space="preserve">Actualización del Programa de Gestión Psicosocial </t>
  </si>
  <si>
    <t>Se realizan 3 actividades: Prevencion enfermedades Cardiovaculares, Alimentación saludable, enfermedades mas comunes en verano</t>
  </si>
  <si>
    <t>Se realiza: Jornada salud visual, Charla de riesgos asociados a cancer por consumo de alcohol</t>
  </si>
  <si>
    <t>Se realizan charlas: Diabetes Mellitus, infecciones gastrointestinales y respiratorias.
Se desarrolla el festival de la salud y bienestar enfocado en la promoción de habitos de vida saludable</t>
  </si>
  <si>
    <t>Se culmina programación de capacitaciones</t>
  </si>
  <si>
    <t>Ejecución según cronograma</t>
  </si>
  <si>
    <t>Se realiza el mes de la salud y bienestar ejecutando actividades de promoción y prevención</t>
  </si>
  <si>
    <t xml:space="preserve">PYP. PROGRAMA ESTILOS DE VIDA SALUDABLE </t>
  </si>
  <si>
    <t>Desarrollo de actividades de intervención (Alcoholismo, Fármaco dependencia, Tabaquismo, hábitos alimenticios, de sueño, actividad física)l</t>
  </si>
  <si>
    <t>Se realizan examenes medicos ocupacionales periodicos para un total de 86 funcionarios.
Se extendio un segundo plazo para un grupo de 16 personas de casa matriz en el mes de julio, dado que algunos funcionarios se encontraban en vacaciones, y 24 de las sucursales que iniciaron entre el mes de junio y julio se espera obtener el informe en el segundo semestre.</t>
  </si>
  <si>
    <t>Se culmino programación de examenes medicos ocupacionales</t>
  </si>
  <si>
    <t>Desarrollo Mes vida saludable a nivel nacional</t>
  </si>
  <si>
    <t>Teniendo en cuenta que la información que se maneja de los casos de salud a los cuales se realiza seguimiento, son de manejo confidencial; Se informa que a cada caso se le realiza seguimiento de acuerdo con la necesidad, citas, controles médicos con especialistas, terapias, pausas activas, examen post incapacidad, reintegro, seguimiento a recomendaciones. Etc.
Se lleva un registro y carpeta por cada uno de los funcionarios, la cual se va actualizando a medida que el funcionario remite información o se recibe alguna notificación por parte de EPS, ARL o JR-JNCI</t>
  </si>
  <si>
    <t xml:space="preserve">PERFIL SOCIODEMOGRAFICO </t>
  </si>
  <si>
    <t xml:space="preserve">Actualización de los datos para el Perfil Sociodemográfico </t>
  </si>
  <si>
    <t>Cada mes se prepara la carcterización del ausentismo para preentar estadisticas al COPASST</t>
  </si>
  <si>
    <t>Cada mes se prepara la caracterización del ausentismo para presentar estadisticas al COPASST</t>
  </si>
  <si>
    <t xml:space="preserve">EVALUACIONES MEDICAS OCUPACIONALES </t>
  </si>
  <si>
    <t>Programación de exámenes ocupacionales periódicos y notificación de resultados, diagnostico de condiciones de salud</t>
  </si>
  <si>
    <t>Se lleva a cabo la prmera mesa laboral del año, junto con la ARL para revisar los procesos respectivos de los casos de salud.</t>
  </si>
  <si>
    <t>Se lleva a cabo la segunda mesa laboral del año, junto con la ARL para revisar los procesos respectivos de los casos de salud.</t>
  </si>
  <si>
    <t>Se lleva a cabo la tercera mesa laboral del año, junto con la ARL para revisar los procesos respectivos de los casos de salud.</t>
  </si>
  <si>
    <t>Culmina programación de mesas</t>
  </si>
  <si>
    <t>Gestionar casos de presunta enfermedad laboral o común que requiera manejo y seguimiento específico.</t>
  </si>
  <si>
    <t>Se acompañaron 2 investigaciones de AT, ocurridos en el mes de marzo</t>
  </si>
  <si>
    <t>No se presentan accidentes en el II trimestre del año</t>
  </si>
  <si>
    <t>Se presento  un accidente de trabajo deportivo</t>
  </si>
  <si>
    <t>No se presentan accidentes en el IV trimestre del año</t>
  </si>
  <si>
    <t>Revisión de la realización de exámenes Post Incapacidad y Periodicos</t>
  </si>
  <si>
    <t>Culminación de programación de actividades</t>
  </si>
  <si>
    <t xml:space="preserve">MECANISMOS DE VIGILANCIA DE CONDICIONES DE SALUD </t>
  </si>
  <si>
    <t>Actualizar estadística, caracterización de ausentismo y seguimiento de EL y AT</t>
  </si>
  <si>
    <t>Se presentan informes de simulacros ejecutados a nivel nacional</t>
  </si>
  <si>
    <t>REPORTE E INVESTIGACION AT/EL</t>
  </si>
  <si>
    <t>Mesas Laborales ARL POSITIVA</t>
  </si>
  <si>
    <t>Mensualmente se calculan los indicadores y se pasa reporte al BCS, hasta el momento se cumplen las metas</t>
  </si>
  <si>
    <t>Acompañar las investigaciones junto con el equipo investigador cada vez que  se presente un evento AT/EL (hacer seguimiento)</t>
  </si>
  <si>
    <t>Permanente</t>
  </si>
  <si>
    <t>Se atiende auditoria y se cuenta con el informe</t>
  </si>
  <si>
    <t>Realizar seguimiento a la ejecución de  los planes de acción de las no conformidades derivadas por AT/EL</t>
  </si>
  <si>
    <t>Socialización de campañas salud mental, primeros auxilios y alimentación saludable</t>
  </si>
  <si>
    <t>MECANISMOS DE VIGILANCIA DE CONDICIONES DE SALUD</t>
  </si>
  <si>
    <t>Seguimiento a madres gestantes,  Implementación salas amigas en sucursales</t>
  </si>
  <si>
    <t>Asegurar la identificación, evaluación e intervención de los diferentes factores de riesgos y peligros significativos para la salud de los trabajadores.</t>
  </si>
  <si>
    <t>Medir y controlar los riesgos y realizar las inspecciones planeadas
Ver despliegue estratégico</t>
  </si>
  <si>
    <t xml:space="preserve">E4 GESTION DE LOS PELIGROS Y RIESGOS </t>
  </si>
  <si>
    <t xml:space="preserve">IPEVR - MATRICES DE PELIGROS </t>
  </si>
  <si>
    <t>Socializar las matrices de peligro, valoración y evaluación del riesgo</t>
  </si>
  <si>
    <t xml:space="preserve">INSPECCIONES DE SEGURIDAD </t>
  </si>
  <si>
    <t>Realizar seguimiento según Cronograma de inspecciones de Seguridad derivadas de la actualización de las matrices de peligro, asegurando la ejecución de los hallazgos</t>
  </si>
  <si>
    <t>MEDICIONES HIGIENICAS</t>
  </si>
  <si>
    <t>Verificar la implementación de mediciones higienicas derivadas de la identificacion de peligros y valoración de riegos</t>
  </si>
  <si>
    <t>PREVENCION DE AT</t>
  </si>
  <si>
    <t>Ejecutar las actividades de prevención de lesiones deportivas y caídas a nivel</t>
  </si>
  <si>
    <t>AUTOREPORTE</t>
  </si>
  <si>
    <t>Implementación buzón de reportes de riesgo, digital y físico para la participación de los funcionarios</t>
  </si>
  <si>
    <t xml:space="preserve">Seguimiento de las situaciones reportadas a través del correo de seguridad y salud en el trabajo  Auto reporte de Actos y Condiciones Inseguras </t>
  </si>
  <si>
    <t>Formular los planes de emergencia y probarlos
Ver matriz de indicadores de SST</t>
  </si>
  <si>
    <t>E5 GESTION DE AMENAZAS</t>
  </si>
  <si>
    <t>PLAN DE EMERGENCIAS</t>
  </si>
  <si>
    <t>Socialización planes de emergencia por sucursal y planos de evacuación</t>
  </si>
  <si>
    <t>Reforzar el esquema de los brigadistas de emergencia,  involucrar a los brigadistas en las capacitaciones a los funcionarios, kit de emergencia y  conocimiento de los roles de los brigadistas a los funcionarios</t>
  </si>
  <si>
    <t>Desarrollo de simulacros de emergencia interno y nacional</t>
  </si>
  <si>
    <t>Implementar acciones de mejora eficaces en los procesos que minimicen la recurrencia de errores.</t>
  </si>
  <si>
    <t>Realizar seguimiento y verificación del SST 
Ver matriz de indicadores de SST</t>
  </si>
  <si>
    <t>E6 VERIFICACION DEL SG SST</t>
  </si>
  <si>
    <t>INDICADORES</t>
  </si>
  <si>
    <t>Calcular indicadores de SST y reportar al BSC</t>
  </si>
  <si>
    <t>Realizar seguimiento del plan SST/indicadores por parte de la Subgerencia - Gerencia</t>
  </si>
  <si>
    <t>REVISION POR LA DIRECCION</t>
  </si>
  <si>
    <t>Realizar Revisión por la dirección del SG SST</t>
  </si>
  <si>
    <t>AUDITORIA</t>
  </si>
  <si>
    <t xml:space="preserve">Revisar y socializar al COPASST el plan de auditoria definitivo </t>
  </si>
  <si>
    <t>Atender auditoria del SGSST</t>
  </si>
  <si>
    <t>ACCIONES PREVENTIVAS, CORRECTIVAS Y DE MEJORA</t>
  </si>
  <si>
    <t>Definición y seguimiento las acciones preventivas y correctivas y de mejora derivadas de la gestión del SG SST</t>
  </si>
  <si>
    <t>PLAN INTEGRADO DE ACCIÓN ANUAL 2026 - PROGRAMA DE TRANSPARENCIA Y ÉTICA PÚBLICA</t>
  </si>
  <si>
    <t>I CUATRIMESTRE</t>
  </si>
  <si>
    <t>II CUATRIMESTRE</t>
  </si>
  <si>
    <t>III CUATRIMESTRE</t>
  </si>
  <si>
    <t>Actividad del Plan No.</t>
  </si>
  <si>
    <t>COMPONENTE</t>
  </si>
  <si>
    <t>ACCIÓN ESTRATÉGICA</t>
  </si>
  <si>
    <t>ENTREGABLE</t>
  </si>
  <si>
    <t>PLANEACIÓN</t>
  </si>
  <si>
    <t>Peso</t>
  </si>
  <si>
    <t>% Avance Cuatrimestre I</t>
  </si>
  <si>
    <t>% Avance Cuatrimestre II</t>
  </si>
  <si>
    <t>% Avance Cuatrimestre III</t>
  </si>
  <si>
    <t>% Programado I C</t>
  </si>
  <si>
    <t>% Avance I C</t>
  </si>
  <si>
    <t>Seguimiento I Cuatrimestre</t>
  </si>
  <si>
    <t>% Programado II C</t>
  </si>
  <si>
    <t>% Avance II C</t>
  </si>
  <si>
    <t>Seguimiento II Cuatrimestre</t>
  </si>
  <si>
    <t>% Programado III C</t>
  </si>
  <si>
    <t>% Avance III C</t>
  </si>
  <si>
    <t>Seguimiento III Cuatrimestre</t>
  </si>
  <si>
    <t>P</t>
  </si>
  <si>
    <t>E</t>
  </si>
  <si>
    <t>TRANSVERSAL</t>
  </si>
  <si>
    <t xml:space="preserve">Actualizar la documentación relacionada con el Programa de Transparencia y ética Pública (Antes PAAC) </t>
  </si>
  <si>
    <t xml:space="preserve">1. Actualización Gobierno de la política (CIR - 469)
2. Alineación de disposiciones normativas con el antiguo Código de ética y conducta (DI-GGC-007)
3. Actualización MN 210 MANUAL DEL PLAN ANTICORRUPCIÓN Y ATENCIÓN AL CIUDADANO
4. Alcance a las actividades y componentes del PTEP Previsora 2025. </t>
  </si>
  <si>
    <t>HUMANOS, TECNOLÓGICOS, FÍSICOS Y FINANCIEROS</t>
  </si>
  <si>
    <t>Se definieron los cinco procesos objeto de revisión: Contratar bienes y servicios, gestionar siniestros automóviles, gestionar siniestos soat y ap, gestionar siniestros ramos generales, patrimoniales y vida, suscribir pólizas de negocios.</t>
  </si>
  <si>
    <t>Se realizó la revisión de los risegos de fraude para los procesos contratar bienes y servicios y gestionar siniestros de los ramos generales y patrimoniales. 
Se programaron para la primera semana de agosto las sesiones para revisar los riegsos y controles de los procesos gestionar siniestros automóviles, gestionar siniestros Soat y suscribir pólizas de negocios. Se adjunta la evidencia de las revisiones realizadas a la fecha.</t>
  </si>
  <si>
    <t xml:space="preserve">Se hicieron las reuniones para revisar los riesgos de fraude para los procesos contratar bienes y servicios, gstionar siniestros de automóviles, gestionar recobros, gestionar salvamentos, gestionar siniestros de los ramos generales y patrimoniales, gestionar siniestros Soat y suscribir pólizas de negocios. Se adjunta la evidencia de las revisiones realizadas a la fecha.
Se solicitó la publicación en la página wweb, del documento que contiene los riesgos de todos los procesos, de acuerdo con las actualizaciones realizadas.
</t>
  </si>
  <si>
    <t>ADMINISTRACIÓN DE RIESGOS</t>
  </si>
  <si>
    <t>GESTIÓN DE RIESGOS PARA LA INTEGRIDAD</t>
  </si>
  <si>
    <t>Realizar la revisión de 5 procesos misionales donde se tengan identificados riesgos de corrupción, con el fin de realizar la actualización de los mismos.</t>
  </si>
  <si>
    <t>Mapa Actualizado y publicado en página Web, según el número de procesos definidos.</t>
  </si>
  <si>
    <t>Se prograrmó reunión con la Oficina de Mercadeo y Publicidad para el 20 de Abril, con el fin de definir la estrategia de comunicación a ejecutar respecto a prevención de fraude y corrupción. Se entregó el documento con la información que se debe incluir en la campaña de sensibilización.</t>
  </si>
  <si>
    <t>Se entregaron los contenidos a la Oficina de Mercadeo para la realización de la campaña de sensibilización, la información fue divulgada en diferentes canales de comunicación.</t>
  </si>
  <si>
    <t>Fortalecer la cultura de gestión de riesgos de corrupción en la Compañía a traves del envió de manera cuatrimestral  de comunicados alusivos al tema.</t>
  </si>
  <si>
    <t>Correo de comunicado publicado.</t>
  </si>
  <si>
    <t>No aplica seguimiento para este cuatrimestre. Se iniciará en mayo la revisión del Manual PAAC.</t>
  </si>
  <si>
    <t>El 26 de julio, posterior revisión de insumo generado por la Secretaría General respecto a la unificación del Manual MN-178 IMPLEMENTACIÓN LEY DE TRANSPARENCIA Y ACCESO A LA INFORMACIÓN en el Manual del Plan Anticorrupción, DI-DES-002 PLAN ANTICORRUPCION Y DE ATENCION AL CIUDADANO, se remite el documento revisado a las áreas líderes para iniciar con sesiones de trabajo de actualización documental. Durante el segundo cuatrimestre se inició el trabajo con la Oficina de Mercadeo, la Secretaría General y la Gerencia de Riesgos, para el último cuatrimestre se gestionará el componente de Mecanismos para mejorar la atención al ciudadano, el cual tienen un impacto mucho menor en esta actualización. De dicho avance y las sesiones de trabajo con las áreas, se adjunta el cronograma unificado de avance con el porcentaje de avance promedio.
Componente 1. Gerencia de Riesgos - Avance: 20%
Componente 2. No aplica
Componente 3. Oficina de Mercadeo - Avance: 25%
Componente 4. Gerencia de Servicio - N/A
Componente 5. Secretaría General - Avance: 25%</t>
  </si>
  <si>
    <t>Fue presentado y aprobado en Comité de Presidencia el Plan Anticorrupción y de Atención al ciudadano (PAAC). Se adjunta la presentación realizada en el Comité así como el documento del Manual PAAC que se envió al Comité de Presidencia para comentarios hasta el 5 de enero.</t>
  </si>
  <si>
    <t>GESTIÓN DE RIESGOS DE LA/FT/FP</t>
  </si>
  <si>
    <t>Capacitación anual SARLAFT</t>
  </si>
  <si>
    <t>Excel donde se evidencie número de empleados de la compañía vs el número de empleados capacitados en temas relacionados con LAFT.</t>
  </si>
  <si>
    <t>Uso de herramienta digital SARLAFT DIGITAL</t>
  </si>
  <si>
    <t>Excel comparativo entre meses donde se evidencia el número de formularios de conocimiento del cliente diligenciados por medio de SARLAFT DIGITAL</t>
  </si>
  <si>
    <t>CANALES DE DENUNCIA</t>
  </si>
  <si>
    <t>Gestionar los casos reportados mediante los canales de denuncia</t>
  </si>
  <si>
    <t>Relación de casos gestionados</t>
  </si>
  <si>
    <t>Se realizó la publicación correspondiente del informe de gestión en la página web
https://www.previsora.gov.co/previsora/sites/default/files/INFORME-DE-GESTION-2022-FINAL-1v3.pdf</t>
  </si>
  <si>
    <t>No aplica seguimiento para este cuatrimestre.</t>
  </si>
  <si>
    <t>Realizar seguimiento permanente al comportamiento de las PQR</t>
  </si>
  <si>
    <t>Presentación del comportamiento de PQRs en los comités de SAC</t>
  </si>
  <si>
    <t>MODELO DE ESTADO ABIERTO</t>
  </si>
  <si>
    <t xml:space="preserve">ACCESO A LA INFORMACIÓN PÚBLICA Y TRANSPARENCIA </t>
  </si>
  <si>
    <t>Reportar el cumplimiento por parte de La Previsora  para la vigencia 2023 de los lineamientos del MINTIC Y DEL DAFP a la Procuraduría en el Reporte del índice de transparencia y acceso a la información  según lo estipulado por el Anexo 2 sobre Estándares de publicación y divulgación de información de la Resolución 1519 de 2020 del Ministerio de Tecnologías de la Información y las Comunicaciones. y/o la que la modique o sustituya.</t>
  </si>
  <si>
    <t>Resultado de auditoría efectuada por la Procuaduría del cumplimiento del índice de transpatencia y acceso a la información para la vigencia 2023.</t>
  </si>
  <si>
    <t>HUMANOS, OPERATIVO, TECNOLÓGICOS, FÍSICOS Y FINANCIEROS</t>
  </si>
  <si>
    <t>Encuestas de satisfacción Clientes y usuarios finales</t>
  </si>
  <si>
    <t>Encuestas de servicio aplicadas y nivel de satisfacción de usuarios medido (cliente final)</t>
  </si>
  <si>
    <t>Encuestas de satisfacción intermediarios (Agentes y Agencias)</t>
  </si>
  <si>
    <t>Encuestas de servicio aplicadas y nivel de satisfacción de intermediarios</t>
  </si>
  <si>
    <t>Capacitación sobre temas relacionados con atención al cliente dirigida a los funcionarios de la compañía, acorde a los lineamientos del SAC y la Universidad Previsora. Meta: 2</t>
  </si>
  <si>
    <t>Listados de asistencia</t>
  </si>
  <si>
    <t>Implementar incentivos para motivar la excelencia en la atención al cliente</t>
  </si>
  <si>
    <t>Informe de Incentivos (Comité SAC) aplicados relacionados con motivación a la excelencia en la atención al cliente
Primer semestre agosto 2025
Segundo semenstre febrero 2026</t>
  </si>
  <si>
    <t>INTEGRIDAD PÚBLICA Y CULTURA DE LA LEGALIDAD</t>
  </si>
  <si>
    <t xml:space="preserve">GERENCIA DE TALENTO HUMANO
</t>
  </si>
  <si>
    <t>Continuar de forma periódica por parte de la entidad con la aplicación de al Decreto 1800 de 2019 modificado por el Decreto 1499 de 2022.(Entidades Publicas de la Rama Ejecutiva del Orden Nacional)</t>
  </si>
  <si>
    <t>Informe del avance del proyecto de rediseño//Cargas laborales</t>
  </si>
  <si>
    <t>Presupuesto definido para el proyecto</t>
  </si>
  <si>
    <t>Diciembre de 2025</t>
  </si>
  <si>
    <t>presentación de informe al comité de presidencia</t>
  </si>
  <si>
    <t>RECURSOS HUMANOS
RECURSOS TECNOLÓGICOS</t>
  </si>
  <si>
    <t>Desarrollar acciones de promoción del Código de Integridad y Cultura de Servicio como parte de  las acciones de fortalecimiento del talento humano para el relacionamiento con las ciudadanías.</t>
  </si>
  <si>
    <t>Ejecución de las activades planeadad de la socialización de valores</t>
  </si>
  <si>
    <t>Hacer seguimiento y control al cumplimiento de la Ley 2013 de 2019 en el Aplicativo por la Integridad Pública.</t>
  </si>
  <si>
    <t>Cumplimiento de actividades relacionada con la Ley 2013</t>
  </si>
  <si>
    <t xml:space="preserve">Sensibilizaciones al personal de planta en temas de derecho disciplinario a través de publicación cuatrimestral en los diferentes canales de comunicación dispuestos en la compañía. </t>
  </si>
  <si>
    <t>Sensibilizaciones realizadas
Indicador: Número de  sensibilizaciones realizadas / 4</t>
  </si>
  <si>
    <t>HUMANOS, TECNOLÓGICOS</t>
  </si>
  <si>
    <t>DIALOGO Y CORRESPONSABILIDAD</t>
  </si>
  <si>
    <t>Publicar el primer informe periódico de rendición de cuentas corte a diciembre 2025 en la página web.</t>
  </si>
  <si>
    <t xml:space="preserve">La Oficina de Mercadeo realiza la consolidación, el diseño y la publicación del Informe de Gestión </t>
  </si>
  <si>
    <t xml:space="preserve">Evento virtual o presencial a nivel interno de los resultados más importantes de de la compañía </t>
  </si>
  <si>
    <t>La Oficina de Mercadeo realiza la consolidación, preparación, construcción y línea gráfica y la actividad</t>
  </si>
  <si>
    <t>Evento virtual o presencial a nivel interno de los resultados más importantes de de la compañía en el primer semestre</t>
  </si>
  <si>
    <t>Carta del Presidente</t>
  </si>
  <si>
    <t>Se elaborará una carta gráfica del Presidente con los resultados más importantes y será enviada a todos los funcionarios, para realizarse su seguimiento en el próximo cuatrimestre</t>
  </si>
  <si>
    <t>Diseñar cronograma que identifica y define los espacios de diálogo presenciales (mesas de trabajo, foros, reuniones, etc.), y  virtuales complementarios (chat, videoconferencias, webinars, etc.), que se emplearán para rendir cuentas: 1) Sobre los temas de interés priorizados, y 2) Sobre la gestión general de la entidad.</t>
  </si>
  <si>
    <t xml:space="preserve">Diseñar y publicar cronograma que defina los espacios de diálogo presenciales y virtuales de rendición de cuentas </t>
  </si>
  <si>
    <t>Diseñar una encuesta de satisfacción sobre la comunicación de resultados al interior de la compañía</t>
  </si>
  <si>
    <t>A través de forms, mercadeo solicitará el diligenciamiento de la encuesta de efectividad de la comunicación y satisfacción de canales de comunicación</t>
  </si>
  <si>
    <t>Diseñar formato interno de reporte de las actividades de rendición de cuentas que se realizarán en toda la entidad que como mínimo contenga:</t>
  </si>
  <si>
    <t>Este informe será publicado en la página web</t>
  </si>
  <si>
    <t>Gestión de Innovación con partes interesadas</t>
  </si>
  <si>
    <t xml:space="preserve">Actividades de Innovación realizadas con partes interesadas </t>
  </si>
  <si>
    <t>PRODUCTOS Y SERVICIOS ABIERTOS</t>
  </si>
  <si>
    <t>Evolutivos portal de intermediarios fase II: Desarrollar sobre el Portal de Intermediarios, las funcionalidades documentadas y prototipadas en la Fase I del Proyecto.</t>
  </si>
  <si>
    <t>Solicitud de certificados​
Solicitud de cotizadores (herramientas)
Actualización documental​
Vinculación de intermediarios</t>
  </si>
  <si>
    <t>Recursos Tecnologicos
Recursos Humanos</t>
  </si>
  <si>
    <t>Recursos propios</t>
  </si>
  <si>
    <t>Evolutivos sucursal virtual fase II</t>
  </si>
  <si>
    <t xml:space="preserve">Desarrollo del front de multicotizador de autos para el proceso de cotización en línea
Pago digital
Emisión póliza
</t>
  </si>
  <si>
    <t>Desacargas de las Apps corporativas (iOS y android)</t>
  </si>
  <si>
    <t>Aplicaciones móviles disponibles en las tiendas con servicios de autogestión para cliente final</t>
  </si>
  <si>
    <t>DATOS ABIERTOS</t>
  </si>
  <si>
    <t>POR DEFINIR</t>
  </si>
  <si>
    <t>Publicación de activos de información actualizado en la pagina de Datos abiertos (Datos.gov.co)</t>
  </si>
  <si>
    <t>Soporte de la publicación del listado de activos de información en la pagina Datos.gov.co</t>
  </si>
  <si>
    <t>Recurso Humano</t>
  </si>
  <si>
    <t xml:space="preserve">Recursos Propios </t>
  </si>
  <si>
    <t>Publicación de la planeación y ejecución del presupuesto acumulado de La Previsora en la pagina de Datos Abiertos (Datos.gov.co)</t>
  </si>
  <si>
    <t>Soporte de la publicación del presupuesto acumulado de La Previsora</t>
  </si>
  <si>
    <t>5. PARTICIPACIÓN CIUDADANA Y RENDICIÓN DE CUENTAS</t>
  </si>
  <si>
    <t>GESTIÓN ÉTICA DE PROVEEDORES</t>
  </si>
  <si>
    <t>GERENCIA DE CONTRATACIÓN</t>
  </si>
  <si>
    <t>Evaluación de riesgos éticos en la cadena de suministro</t>
  </si>
  <si>
    <t xml:space="preserve">Matriz de Riesgos de los procesos
Criterios éticos en los procesos de selección y evaluación de proveedores
</t>
  </si>
  <si>
    <t>Establecimiento y cumplimiento de cláusulas de integridad</t>
  </si>
  <si>
    <t>cláusulas contractuales que promuevan la transparencia, el cumplimiento normativo y la ética empresarial
Lineamientos para que los supervisores verifiquen que los proveedores cumplan con estas cláusulas durante la ejecución contractual y apliquen medidas correctivas en caso de incumplimiento</t>
  </si>
  <si>
    <t>Índice de publicación de procesos en SECOP</t>
  </si>
  <si>
    <t xml:space="preserve"> publicación de los procesos contractuales en el Sistema Electrónico para la Contratación Pública (SECOP), Garantizando la trazabilidad y transparencia de los procesos de contratación.</t>
  </si>
  <si>
    <t>GESTIÓN ÉTICA DE INTERMEDIARIOS</t>
  </si>
  <si>
    <t>Promoción del código de ética para intermediarios</t>
  </si>
  <si>
    <t>Seguimiento a casos de linea ética que involucren intermediarios</t>
  </si>
  <si>
    <t xml:space="preserve">Se adjuntan resultados de medición de indicadores asociados a satisfacción
</t>
  </si>
  <si>
    <t>Sanciones a Intermediarios</t>
  </si>
  <si>
    <t>GESTIÓN ÉTICA DE AUDITORES</t>
  </si>
  <si>
    <t xml:space="preserve">OFICINA DE CONTROL INTERNO   </t>
  </si>
  <si>
    <t xml:space="preserve">Evaluación integral al componente de ética e integridad contemplado en el plan anual de auditoría. </t>
  </si>
  <si>
    <t>Evaluación al programa de Transparencia y ética pública</t>
  </si>
  <si>
    <t>Evaluación ética a auditores</t>
  </si>
  <si>
    <t>Cada 
Cuatrimestre</t>
  </si>
  <si>
    <t>Acumulado</t>
  </si>
  <si>
    <t>PLAN INTEGRADO DE ACCIÓN ANUAL 2026 - PLAN ESTRATÉGICO DE TECNOLOGÍAS DE LA INFORMACIÓN</t>
  </si>
  <si>
    <t>GERENCIA DE T.I</t>
  </si>
  <si>
    <t>HOJA DE RUTA</t>
  </si>
  <si>
    <t>PROYECTO, INICIATIVA O ACTIVIDAD</t>
  </si>
  <si>
    <t>NOMBRE</t>
  </si>
  <si>
    <t>ALCANCE</t>
  </si>
  <si>
    <t>EVIDENCIA</t>
  </si>
  <si>
    <t>ESTRATEGIA DE T.I.</t>
  </si>
  <si>
    <t>Desarrollo de la Hoja de Ruta de Estrategia de T.I. para el año 2026</t>
  </si>
  <si>
    <t>1) Definición preliminar nuevo PETI 2027-2030</t>
  </si>
  <si>
    <t>1) Documento preliminar Propuesta Nuevo PETI 2027-2030</t>
  </si>
  <si>
    <t>Recursos Propios</t>
  </si>
  <si>
    <t>2) Socialización del PETI actualizado para el 2026</t>
  </si>
  <si>
    <t>2) Presentaciones y/o piezas de comunicación relacionadas a la socialización del PETI</t>
  </si>
  <si>
    <t>GOBIERNO DE T.I.</t>
  </si>
  <si>
    <t>Desarrollo de la Hoja de Ruta de Gobierno de T.I. para el año 2026</t>
  </si>
  <si>
    <t>1) Seguimiento operacionalización normativa cumplimiento T.I.</t>
  </si>
  <si>
    <t>1) Normograma actualizado</t>
  </si>
  <si>
    <t>2) Actualización Procesos de T.I. 2026</t>
  </si>
  <si>
    <t>2) Artefactos de procesos actualizados en la herramienta de gestión.</t>
  </si>
  <si>
    <t>USO Y APROPIACION DE T.I.</t>
  </si>
  <si>
    <t>Desarrollo de la Hoja de Ruta de Uso y Apropiación de T.I. para el año 2026</t>
  </si>
  <si>
    <t>1) Potenciar el conocimiento de uso en SISE</t>
  </si>
  <si>
    <t>1) Registro de reentrenamientos o capacitaciones asociadas a SISE</t>
  </si>
  <si>
    <t>2) Potenciar el conocimiento en herramienta de T.I.</t>
  </si>
  <si>
    <t>3) Registro de reentrenamientos o capacitaciones asociadas al uso de herramientas de T.I.</t>
  </si>
  <si>
    <t>#A UN CLIC</t>
  </si>
  <si>
    <t>SISTEMAS DE INFORMACION</t>
  </si>
  <si>
    <t>Desarrollo de la Hoja de Ruta de Sistemas de Información de T.I. para el año 2026</t>
  </si>
  <si>
    <t>1)  Implementación Herramienta DEVOPS</t>
  </si>
  <si>
    <t>1) Artefactos relacionados con la implementación de las herramientas DEVOPS</t>
  </si>
  <si>
    <t>2) Implementación componente tecnológico de autogestión (módulo de novedades por ramo)</t>
  </si>
  <si>
    <t>2) Artefactos relacionados con el módulo de novedades por ramo</t>
  </si>
  <si>
    <t>SERVICIOS TECNOLOGICOS</t>
  </si>
  <si>
    <t>Desarrollo de la Hoja de Ruta de Servicios Tecnológicos para el año 2026</t>
  </si>
  <si>
    <t>1) Fortalecimiento DRP</t>
  </si>
  <si>
    <t>1) Artefactos relacionados al fortalecimiento del DRP.</t>
  </si>
  <si>
    <t>2) Análisis nuevas capacidades de almacenamiento</t>
  </si>
  <si>
    <t>2) Resultados del análisis para las nuevas capacidades de almacenamiento.</t>
  </si>
  <si>
    <t>Desarrollo de la Hoja de Ruta de Arquitectura Empresarial para el año 2026</t>
  </si>
  <si>
    <t>1) Fortalecimiento Gobierno de Arquitectura Empresarial</t>
  </si>
  <si>
    <t>1) Artefactos relacionados al fortalecimiento del Gobierno de Arquitectura Empresarial.</t>
  </si>
  <si>
    <t>2) Implementación plan de mantenimiento AE 2026</t>
  </si>
  <si>
    <t>2) Artefactos relacionados a la implementación del plan de mantenimiento AE</t>
  </si>
  <si>
    <t>GR2. Fortalecer la Gestión TIC y de la Información en las Entidades del Sector Hacienda</t>
  </si>
  <si>
    <t>Optimizar el modelo operativo con procesos transversales para ser más ágiles, flexibles y eficaces</t>
  </si>
  <si>
    <t>#DECISIONES CON DATOS</t>
  </si>
  <si>
    <t>#ALIANZAS ESTRATÉGICAS</t>
  </si>
  <si>
    <t>#RENTABILIDAD</t>
  </si>
  <si>
    <t xml:space="preserve">PLAN INTEGRADO DE ACCIÓN ANUAL 2026 - PLAN DE TRATAMIENTO DE RIESGOS DE SEGURIDAD Y PRIVACIDAD DE LA INFORMACIÓN </t>
  </si>
  <si>
    <t>TOTAL CUMPLIMIENTO AÑO</t>
  </si>
  <si>
    <t>Gerencia de Riesgos</t>
  </si>
  <si>
    <t>Solicitar a los  líderes de proceso la actualización anual de la matriz de inventario de activos de información a cargo de cada uno y realizar la consolidación de la misma.</t>
  </si>
  <si>
    <t>Matrices de activos de información por proceso actualizadas</t>
  </si>
  <si>
    <t xml:space="preserve"> A marzo de 2023 se efectuó con los líderes de proceso,la actualización de las matrices de activos de información. Documento consolidado de activos de información.</t>
  </si>
  <si>
    <t>La actualización anual fue efectuada en el primer trimestre del año, Se han actualizado algunos activos de acuerdo con los cambios o nuevas revisiones de los procesos.</t>
  </si>
  <si>
    <t>Todos los procesos actualizaron las matrices de activos de información</t>
  </si>
  <si>
    <t>Revisar los riesgos y/o controles cuando se materialicen eventos de seguridad y/o se implementen o mejoren los controles con el fin de actualizar la matriz de riesgos en caso de requerirse.</t>
  </si>
  <si>
    <t>Matriz de riesgos de seguridad de la información</t>
  </si>
  <si>
    <t>Se realizó la actualización de la matriz de riesgos de acuerdo con actualización de activo de información, página web.</t>
  </si>
  <si>
    <t>La actualización es de periodicidad semestral o cuando haya cambios en los activos. Para este trimestre no se generaron cambios</t>
  </si>
  <si>
    <t>Se efectuó en conjunto con los líderes de proceso la actualización de los riesgos sonbre los activos de información críticos, teniendo en cuenta los eventos de riesgo materializado</t>
  </si>
  <si>
    <t>Gerencia de Riesgos / Líderes de proceso</t>
  </si>
  <si>
    <t>Actualizar riesgos y controles de seguridad de la información sobre los activos de información críticos.</t>
  </si>
  <si>
    <t>fuente de financiacion</t>
  </si>
  <si>
    <t>inversión</t>
  </si>
  <si>
    <t>Meta 2: Realizar 4 mediciones del nivel de desarrollo del servicio civil.</t>
  </si>
  <si>
    <t>1. CONTAR CON TALENTO HUMANO COMPROMETIDO, COMPETENTE Y MOTIVADO</t>
  </si>
  <si>
    <t>funcionamiento</t>
  </si>
  <si>
    <t>Meta 1: Desarrollar el 100% de las actividades previstas en el plan de acción de la política pública para la gestión integral del talento humano en el periodo 2016 - 2019</t>
  </si>
  <si>
    <t>2. DESARROLLAR UNA GESTIÓN POR PROCESOS FUNCIONAL Y EFICIENTE</t>
  </si>
  <si>
    <t>inversión y funcionamiento</t>
  </si>
  <si>
    <t>Meta 4: Alcanzar 57.000 beneficiarios con programas, estrategias y/o actividades específicas de bienestar y/o estímulos.</t>
  </si>
  <si>
    <t>3. POTENCIALIZAR EL USO TIC´S PARA EL PROCESAMIENTO DE INFORMACIÓN DE LOS SERVIDORES PÚBLICOS</t>
  </si>
  <si>
    <t>Meta 5 Beneficiar 20.000 funcionarios con programas de capacitación y formación de acuerdo con la competencia del DASCD</t>
  </si>
  <si>
    <t>4. DISEÑAR E IMPLEMENTAR UNA POLÍTICA PÚBLICA INTEGRAL DEL TALENTO HUMANO EN EL DISTRITO</t>
  </si>
  <si>
    <t>Meta 3: Proponer cinco modelos, metodologías o instrumentos que orienten a las entidades en la gestión estratégica del talento humano</t>
  </si>
  <si>
    <t>5. DISEÑAR E IMPLEMENTAR MECANISMOS DE EVALUACIÓN Y FORMACIÓN INTEGRAL</t>
  </si>
  <si>
    <t>Meta-1 Beneficiar al 100 % de los Funcionarios de la Entidad con acciones que propicien el Mejoramiento del Ambiente de Trabajo y favorezcan el Clima Laboral.</t>
  </si>
  <si>
    <t>6. GENERAR ENTIDADES MODERNAS A TRAVÉS DE MECANISMOS DE ORGANIZACIÓN DEL TRABAJO</t>
  </si>
  <si>
    <t>Meta-2 Modernizar 100 % de los Procesos de la Entidad a través del Mejoramiento Continuo de los Productos y Servicios, la Actualización Documental, la Gestión del Riesgo y el Desarrollo de Estrategias de Transparencia, Anticorrupción y Rendición de Cuentas.</t>
  </si>
  <si>
    <t>7. PROMOVER BIENESTAR INTEGRAL EN LOS SERVIDORES PÚBLICOS DEL DISTRITO ORIENTADO A LA FELICIDAD LABORAL</t>
  </si>
  <si>
    <t>Meta-3 Mejorar 100 % de los Sistemas de Información, los recursos Tecnológicos y los Desarrollos que modernicen la Gestión de la Entidad.</t>
  </si>
  <si>
    <t>8. PROMOVER LA MERITOCRACIA COMO BASE DE SELECCIÓN PARA LAS DIFERENTES FORMAS DE VINCULACIÓN</t>
  </si>
  <si>
    <t xml:space="preserve">9. LOGRAR UN ALTO RECONOCIMIENTO DEL SERVIDOR PÚBLICO DISTRITAL Y DEL DASCD EN BOGOTÁ Y EL PAÍS </t>
  </si>
  <si>
    <t>10: FORTALECER EL DESARROLLO DEL SERVICIO CIVIL EN EL DISTRITO CAPITAL</t>
  </si>
  <si>
    <t>PLAN INTEGRADO DE ACCIÓN ANUAL 2026 - PLAN DE SEGURIDAD Y PRIVACIDAD DE LA INFORMACIÓN</t>
  </si>
  <si>
    <t>GERENCIA DE RIESGOS
GERENCIA DE T.I</t>
  </si>
  <si>
    <t>Responsable</t>
  </si>
  <si>
    <t>Desarrollo de la Hoja de Ruta de Aseguramiento Informativo y Ciberseguridad para el año 2026 correspondiente a los temas tecnológicos</t>
  </si>
  <si>
    <t>1) Medición y definición del MSPI
2) Implementación herramienta Gestión de vulnerabilidades con hardening
3) Implementación DLP
4) Analisis de herramientas gestión de identidades</t>
  </si>
  <si>
    <t>Durante el primer trimestre se reportan los usuarios que ingresaron a la compañía y que debieron hacer el curso de SI/CS. El curso de reinducción para toda la compañía no se ha desplegado. Se deja como evidencia el reporte entregado por la Subgerencia de Capacitación.
Así mismo se deja evidencia de algunos de los "Tips de Seguridad" enviados como parte de la campaña de sensibilización a través de comunicaciones corporativas.</t>
  </si>
  <si>
    <t>Durante el segundo  trimestre se reportan los usuarios que ingresaron a la compañía y que debieron hacer el curso de SI/CS ylos que hicieron el curso de  reinducción  desplegado. Se deja como evidencia el reporte entregado por la Subgerencia de Capacitación.
Así mismo se deja evidencia de algunos de los "Tips de Seguridad" enviados como parte de la campaña de sensibilización a través de comunicaciones corporativas.</t>
  </si>
  <si>
    <t>Durante el tercer  trimestre se reportan los usuarios que ingresaron a la compañía y que debieron hacer el curso de SI/CS y los que hicieron el curso de  reinducción  desplegado. Se deja como evidencia el reporte entregado por la Subgerencia de Capacitación.
Así mismo se deja evidencia de algunos de los "Tips de Seguridad" enviados como parte de la campaña de sensibilización a través de comunicaciones corporativas.</t>
  </si>
  <si>
    <t>Durante el CUARTO  trimestre se reportan los usuarios que ingresaron a la compañía y que debieron hacer el curso de SI/CS y los que hicieron el curso de  reinducción  desplegado. Se deja como evidencia el reporte entregado por la Subgerencia de Capacitación.
Así mismo se deja evidencia de algunos de los "Tips de Seguridad" enviados como parte de la campaña de sensibilización a través de comunicaciones corporativas.</t>
  </si>
  <si>
    <t>Desarrollar actividades de sensibilización y capacitación en el SGSI y Ciberseguridad.</t>
  </si>
  <si>
    <t>Funcionarios y contratistas</t>
  </si>
  <si>
    <t>Reporte de funcionarios que han efectuado el curso generado por la Gerencia de TH.
Evidencias de mensajes y campañas de sensibilización  efectuadas</t>
  </si>
  <si>
    <t>CAPACITACION</t>
  </si>
  <si>
    <t>Diseñar y desarrollar una prueba de Ingenieria social , documentando la respuesta, recuperación, reanudación de la operación en contingencia y restauración.</t>
  </si>
  <si>
    <t>Se define al momento de hacer la planeación de la prueba</t>
  </si>
  <si>
    <t>Informe de resultados de la prueba  (información sensible que en caso de requerirse se podrá consultar en la gerencia de riesgos)</t>
  </si>
  <si>
    <t>GRUPO: 'GASTOS TECNOLOGICOS                      RUBRO:  SEGURIDAD INFORMATICA Y ADMINISTRACION DE INFRAESTRUCTURA TECNOLOGICA SEGURIDAD INFORMATICA CONCEPTO: SEGURIDAD DE LA INFORMACION - G. RIESGO</t>
  </si>
  <si>
    <t>Durante el primer trimestre del año se revisaron dos controles de seguridad. El informe de resultados es de carácter ocnfidencial por lo cual no es deja en las evidencias, pero puede ser consultado por personal interno en la gerencia de riesgos</t>
  </si>
  <si>
    <t>Durante elsegundo trimestre del año se revisaron seis controles de seguridad. El informe de resultados es de carácter ocnfidencial por lo cual no es deja en las evidencias, pero puede ser consultado por personal interno en la gerencia de riesgos</t>
  </si>
  <si>
    <t>Durante el tercer trimestre del año se revisaron cuatro controles de seguridad. El informe de resultados es de carácter ocnfidencial por lo cual no es deja en las evidencias, pero puede ser consultado por personal interno en la gerencia de riesgos</t>
  </si>
  <si>
    <t>Durante el CUARTO trimestre del año se revisaron 13 SEPTIEMBRE, NOVIEMBRE DICIEMBRE. controles de seguridad. El informe de resultados es de carácter ocnfidencial por lo cual no se deja en las evidencias, pero puede ser consultado por personal interno en la gerencia de riesgos</t>
  </si>
  <si>
    <r>
      <t>Ejecutar un programa de evaluación de al men</t>
    </r>
    <r>
      <rPr>
        <sz val="11"/>
        <rFont val="Calibri"/>
        <family val="2"/>
      </rPr>
      <t>os 20</t>
    </r>
    <r>
      <rPr>
        <sz val="11"/>
        <color rgb="FF000000"/>
        <rFont val="Calibri"/>
        <family val="2"/>
      </rPr>
      <t xml:space="preserve"> controles de los establecidos en el estándar ISO 27001 asociados a los procesos de la compañía y hacer seguimiento a la implementación de acciones de mejoramiento sobre los mismos si a ello hay lugar</t>
    </r>
  </si>
  <si>
    <t>La evaluación se hace de forma aleatoria sobre controles técnicos</t>
  </si>
  <si>
    <t>Informe de resultados de la evaluaciones efectuadas (información sensible que en caso de requerirse se podrá consultar en la gerencia de riesgos)</t>
  </si>
  <si>
    <t xml:space="preserve">Se efectuaron mesas de trabajo entre la gerencia de riesgos y la gerencia de servicio, para hacer un diagnóstico y establecer las acciones a seguir, y se reciben recomendaciones de ajuste sobre algunoss documentos </t>
  </si>
  <si>
    <t>En proceso de formalización la actualización de los documentos, conforme con la revisión efectuada en las diferentes mesas de trabajo realizadas</t>
  </si>
  <si>
    <t xml:space="preserve">Se actualizó y formalizó documento MSPI integrando lineamientos de seguridad de datos personales
Se actualizó y formalizó la Matriz de requisitos de seguridad y continuidad, incluyendo lineamientos de seguridad de datos personales
</t>
  </si>
  <si>
    <t>Presentar a la Alta Dirección de la compañia un informe de las estadísticas de las quejas laborales y el seguimiento de los casos de acoso laboral.</t>
  </si>
  <si>
    <r>
      <t xml:space="preserve">GERENCIA DE TALENTO HUMANO
</t>
    </r>
    <r>
      <rPr>
        <sz val="14"/>
        <color theme="1"/>
        <rFont val="Calibri"/>
        <family val="2"/>
        <scheme val="minor"/>
      </rPr>
      <t>COMITÉ DE CONVIVENCIA LABORAL</t>
    </r>
  </si>
  <si>
    <t>Informe de Incentivos (Comité SAC) aplicados relacionados con motivación a la excelencia en la atención al cliente
Primer semestre agosto 2026
Segundo semestre febrero 2027</t>
  </si>
  <si>
    <t>Mayo de 2027</t>
  </si>
  <si>
    <t>CONSOLIDACIÓN DOCUMENTAL Y COMENTARIOS DE LA CIUDADANÍA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</si>
</sst>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 #,##0_-;\-&quot;$&quot;\ * #,##0_-;_-&quot;$&quot;\ * &quot;-&quot;_-;_-@_-"/>
    <numFmt numFmtId="41" formatCode="_-* #,##0_-;\-* #,##0_-;_-* &quot;-&quot;_-;_-@_-"/>
    <numFmt numFmtId="164" formatCode="0.0%"/>
    <numFmt numFmtId="165" formatCode="#,###\ &quot;COP&quot;"/>
    <numFmt numFmtId="166" formatCode="_-[$$-409]* #,##0_ ;_-[$$-409]* \-#,##0\ ;_-[$$-409]* &quot;-&quot;??_ ;_-@_ "/>
  </numFmts>
  <fonts count="103" x14ac:knownFonts="1">
    <font>
      <sz val="11"/>
      <color rgb="FF000000"/>
      <name val="Calibri"/>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rgb="FF000000"/>
      <name val="Calibri"/>
      <family val="2"/>
    </font>
    <font>
      <sz val="10"/>
      <color rgb="FF000000"/>
      <name val="Calibri"/>
      <family val="2"/>
    </font>
    <font>
      <sz val="10"/>
      <name val="Calibri"/>
      <family val="2"/>
    </font>
    <font>
      <b/>
      <sz val="12"/>
      <color rgb="FF000000"/>
      <name val="Calibri"/>
      <family val="2"/>
    </font>
    <font>
      <b/>
      <sz val="12"/>
      <name val="Calibri"/>
      <family val="2"/>
    </font>
    <font>
      <b/>
      <sz val="16"/>
      <color rgb="FF7F7F7F"/>
      <name val="Calibri"/>
      <family val="2"/>
    </font>
    <font>
      <b/>
      <sz val="14"/>
      <color rgb="FF7F7F7F"/>
      <name val="Calibri"/>
      <family val="2"/>
    </font>
    <font>
      <sz val="8"/>
      <name val="Calibri"/>
      <family val="2"/>
    </font>
    <font>
      <sz val="18"/>
      <color rgb="FF000000"/>
      <name val="Calibri"/>
      <family val="2"/>
    </font>
    <font>
      <sz val="12"/>
      <color rgb="FF000000"/>
      <name val="Calibri"/>
      <family val="2"/>
    </font>
    <font>
      <sz val="11"/>
      <color rgb="FF000000"/>
      <name val="Calibri"/>
      <family val="2"/>
    </font>
    <font>
      <sz val="11"/>
      <color rgb="FF000000"/>
      <name val="Calibri"/>
      <family val="2"/>
    </font>
    <font>
      <b/>
      <sz val="11"/>
      <color rgb="FF000000"/>
      <name val="Calibri"/>
      <family val="2"/>
    </font>
    <font>
      <b/>
      <sz val="10"/>
      <color theme="1" tint="0.34998626667073579"/>
      <name val="Calibri"/>
      <family val="2"/>
    </font>
    <font>
      <b/>
      <sz val="14"/>
      <color rgb="FF000000"/>
      <name val="Calibri"/>
      <family val="2"/>
    </font>
    <font>
      <sz val="11"/>
      <color theme="1" tint="0.34998626667073579"/>
      <name val="Calibri"/>
      <family val="2"/>
      <scheme val="minor"/>
    </font>
    <font>
      <sz val="20"/>
      <color theme="1"/>
      <name val="Calibri"/>
      <family val="2"/>
      <scheme val="minor"/>
    </font>
    <font>
      <sz val="11"/>
      <color theme="1" tint="0.34998626667073579"/>
      <name val="Calibri"/>
      <family val="2"/>
    </font>
    <font>
      <sz val="14"/>
      <name val="Calibri"/>
      <family val="2"/>
    </font>
    <font>
      <sz val="12"/>
      <color theme="1" tint="0.34998626667073579"/>
      <name val="Calibri"/>
      <family val="2"/>
    </font>
    <font>
      <sz val="14"/>
      <color theme="1"/>
      <name val="Calibri"/>
      <family val="2"/>
    </font>
    <font>
      <sz val="14"/>
      <color theme="1"/>
      <name val="Calibri"/>
      <family val="2"/>
      <scheme val="minor"/>
    </font>
    <font>
      <sz val="16"/>
      <color theme="1"/>
      <name val="Calibri"/>
      <family val="2"/>
    </font>
    <font>
      <b/>
      <sz val="16"/>
      <color theme="1" tint="0.34998626667073579"/>
      <name val="Calibri"/>
      <family val="2"/>
    </font>
    <font>
      <b/>
      <sz val="16"/>
      <color indexed="81"/>
      <name val="Calibri"/>
      <family val="2"/>
      <scheme val="minor"/>
    </font>
    <font>
      <sz val="16"/>
      <color indexed="81"/>
      <name val="Calibri"/>
      <family val="2"/>
      <scheme val="minor"/>
    </font>
    <font>
      <b/>
      <sz val="18"/>
      <color rgb="FFFFFFFF"/>
      <name val="Century Gothic"/>
      <family val="2"/>
    </font>
    <font>
      <b/>
      <sz val="11"/>
      <color rgb="FFFFFFFF"/>
      <name val="Century Gothic"/>
      <family val="2"/>
    </font>
    <font>
      <sz val="11"/>
      <color rgb="FF000000"/>
      <name val="Calibri"/>
      <family val="2"/>
      <scheme val="minor"/>
    </font>
    <font>
      <b/>
      <sz val="11"/>
      <color rgb="FFFFFFFF"/>
      <name val="Calibri"/>
      <family val="2"/>
      <scheme val="minor"/>
    </font>
    <font>
      <sz val="11"/>
      <name val="Calibri"/>
      <family val="2"/>
      <scheme val="minor"/>
    </font>
    <font>
      <b/>
      <sz val="36"/>
      <color rgb="FFFFFFFF"/>
      <name val="Calibri"/>
      <family val="2"/>
      <scheme val="minor"/>
    </font>
    <font>
      <b/>
      <sz val="16"/>
      <color theme="0"/>
      <name val="Calibri"/>
      <family val="2"/>
    </font>
    <font>
      <b/>
      <sz val="18"/>
      <color rgb="FF7F7F7F"/>
      <name val="Calibri"/>
      <family val="2"/>
    </font>
    <font>
      <b/>
      <sz val="14"/>
      <color rgb="FFFFFFFF"/>
      <name val="Century Gothic"/>
      <family val="2"/>
    </font>
    <font>
      <b/>
      <sz val="26"/>
      <color theme="0"/>
      <name val="Calibri"/>
      <family val="2"/>
      <scheme val="minor"/>
    </font>
    <font>
      <sz val="16"/>
      <name val="Calibri"/>
      <family val="2"/>
    </font>
    <font>
      <b/>
      <sz val="11"/>
      <color rgb="FF000000"/>
      <name val="Century Gothic"/>
      <family val="2"/>
    </font>
    <font>
      <sz val="10"/>
      <color rgb="FF000000"/>
      <name val="Arial"/>
      <family val="2"/>
    </font>
    <font>
      <b/>
      <sz val="11"/>
      <color rgb="FF000000"/>
      <name val="Calibri"/>
      <family val="2"/>
      <scheme val="minor"/>
    </font>
    <font>
      <sz val="18"/>
      <name val="Calibri"/>
      <family val="2"/>
      <scheme val="minor"/>
    </font>
    <font>
      <b/>
      <sz val="18"/>
      <color rgb="FF000000"/>
      <name val="Calibri"/>
      <family val="2"/>
      <scheme val="minor"/>
    </font>
    <font>
      <b/>
      <sz val="10"/>
      <color theme="1"/>
      <name val="Verdana"/>
      <family val="2"/>
    </font>
    <font>
      <sz val="10"/>
      <color theme="1"/>
      <name val="Verdana"/>
      <family val="2"/>
    </font>
    <font>
      <sz val="10"/>
      <color theme="1"/>
      <name val="Arial"/>
      <family val="2"/>
    </font>
    <font>
      <b/>
      <sz val="16"/>
      <color theme="1"/>
      <name val="Calibri"/>
      <family val="2"/>
      <scheme val="minor"/>
    </font>
    <font>
      <sz val="11"/>
      <color theme="1"/>
      <name val="Arial"/>
      <family val="2"/>
    </font>
    <font>
      <sz val="20"/>
      <color theme="1"/>
      <name val="Calibri Light"/>
      <family val="2"/>
      <scheme val="major"/>
    </font>
    <font>
      <b/>
      <sz val="16"/>
      <color rgb="FFFFFFFF"/>
      <name val="Calibri Light"/>
      <family val="2"/>
    </font>
    <font>
      <sz val="16"/>
      <name val="Calibri Light"/>
      <family val="2"/>
    </font>
    <font>
      <sz val="12"/>
      <color rgb="FF000000"/>
      <name val="Calibri"/>
      <family val="2"/>
      <scheme val="minor"/>
    </font>
    <font>
      <sz val="18"/>
      <color rgb="FF000000"/>
      <name val="Calibri"/>
      <family val="2"/>
      <scheme val="minor"/>
    </font>
    <font>
      <sz val="18"/>
      <color theme="1"/>
      <name val="Calibri"/>
      <family val="2"/>
      <scheme val="minor"/>
    </font>
    <font>
      <sz val="20"/>
      <color rgb="FF000000"/>
      <name val="Calibri"/>
      <family val="2"/>
      <scheme val="minor"/>
    </font>
    <font>
      <sz val="24"/>
      <color rgb="FF000000"/>
      <name val="Calibri"/>
      <family val="2"/>
      <scheme val="minor"/>
    </font>
    <font>
      <sz val="28"/>
      <color rgb="FF000000"/>
      <name val="Calibri"/>
      <family val="2"/>
      <scheme val="minor"/>
    </font>
    <font>
      <b/>
      <sz val="12"/>
      <color rgb="FFFFFFFF"/>
      <name val="Calibri"/>
      <family val="2"/>
      <scheme val="minor"/>
    </font>
    <font>
      <b/>
      <sz val="24"/>
      <color rgb="FF000000"/>
      <name val="Calibri"/>
      <family val="2"/>
      <scheme val="minor"/>
    </font>
    <font>
      <b/>
      <sz val="20"/>
      <color rgb="FF000000"/>
      <name val="Calibri"/>
      <family val="2"/>
      <scheme val="minor"/>
    </font>
    <font>
      <b/>
      <sz val="36"/>
      <color rgb="FF000000"/>
      <name val="Calibri"/>
      <family val="2"/>
      <scheme val="minor"/>
    </font>
    <font>
      <b/>
      <sz val="28"/>
      <color rgb="FFFFFFFF"/>
      <name val="Calibri"/>
      <family val="2"/>
      <scheme val="minor"/>
    </font>
    <font>
      <b/>
      <sz val="10"/>
      <color rgb="FFFFFFFF"/>
      <name val="Arial"/>
      <family val="2"/>
    </font>
    <font>
      <sz val="12"/>
      <name val="Calibri"/>
      <family val="2"/>
    </font>
    <font>
      <sz val="8"/>
      <color theme="1" tint="0.34998626667073579"/>
      <name val="Calibri"/>
      <family val="2"/>
    </font>
    <font>
      <sz val="11"/>
      <name val="Calibri"/>
      <family val="2"/>
    </font>
    <font>
      <sz val="11"/>
      <color theme="1"/>
      <name val="Calibri"/>
      <family val="2"/>
    </font>
    <font>
      <sz val="11"/>
      <color theme="0"/>
      <name val="Calibri"/>
      <family val="2"/>
    </font>
    <font>
      <sz val="12"/>
      <color theme="1" tint="4.9989318521683403E-2"/>
      <name val="Calibri"/>
      <family val="2"/>
    </font>
    <font>
      <sz val="11"/>
      <color theme="1" tint="4.9989318521683403E-2"/>
      <name val="Calibri"/>
      <family val="2"/>
    </font>
    <font>
      <b/>
      <sz val="14"/>
      <color theme="0"/>
      <name val="Century Gothic"/>
      <family val="2"/>
    </font>
    <font>
      <b/>
      <sz val="11"/>
      <color theme="0"/>
      <name val="Century Gothic"/>
      <family val="2"/>
    </font>
    <font>
      <b/>
      <sz val="10"/>
      <color theme="0"/>
      <name val="Calibri"/>
      <family val="2"/>
    </font>
    <font>
      <b/>
      <sz val="11"/>
      <color theme="0"/>
      <name val="Calibri"/>
      <family val="2"/>
    </font>
    <font>
      <b/>
      <sz val="12"/>
      <color theme="0"/>
      <name val="Calibri"/>
      <family val="2"/>
    </font>
    <font>
      <sz val="10.8"/>
      <name val="Calibri"/>
      <family val="2"/>
    </font>
    <font>
      <sz val="14"/>
      <color rgb="FF000000"/>
      <name val="Calibri"/>
      <family val="2"/>
      <scheme val="minor"/>
    </font>
    <font>
      <b/>
      <sz val="14"/>
      <color rgb="FF000000"/>
      <name val="Calibri"/>
      <family val="2"/>
      <scheme val="minor"/>
    </font>
    <font>
      <b/>
      <sz val="14"/>
      <color rgb="FFFFFFFF"/>
      <name val="Calibri"/>
      <family val="2"/>
      <scheme val="minor"/>
    </font>
    <font>
      <sz val="14"/>
      <name val="Calibri"/>
      <family val="2"/>
      <scheme val="minor"/>
    </font>
    <font>
      <sz val="11"/>
      <color rgb="FF000000"/>
      <name val="Calibri"/>
      <family val="2"/>
    </font>
    <font>
      <sz val="9"/>
      <color indexed="81"/>
      <name val="Tahoma"/>
      <family val="2"/>
    </font>
    <font>
      <sz val="11"/>
      <color theme="0"/>
      <name val="Calibri"/>
      <family val="2"/>
      <scheme val="minor"/>
    </font>
    <font>
      <b/>
      <sz val="9"/>
      <color rgb="FF000000"/>
      <name val="Tahoma"/>
      <family val="2"/>
    </font>
    <font>
      <sz val="9"/>
      <color rgb="FF000000"/>
      <name val="Tahoma"/>
      <family val="2"/>
    </font>
    <font>
      <b/>
      <sz val="14"/>
      <name val="Calibri"/>
      <family val="2"/>
      <scheme val="minor"/>
    </font>
    <font>
      <sz val="11"/>
      <color theme="4" tint="-0.249977111117893"/>
      <name val="Calibri"/>
      <family val="2"/>
    </font>
    <font>
      <sz val="10"/>
      <color rgb="FF000000"/>
      <name val="Aptos"/>
      <family val="2"/>
    </font>
    <font>
      <sz val="10"/>
      <color theme="1"/>
      <name val="Aptos"/>
      <family val="2"/>
    </font>
    <font>
      <sz val="10"/>
      <name val="Aptos"/>
      <family val="2"/>
    </font>
    <font>
      <sz val="10"/>
      <color rgb="FFFF0000"/>
      <name val="Aptos"/>
      <family val="2"/>
    </font>
    <font>
      <b/>
      <sz val="10"/>
      <color rgb="FF000000"/>
      <name val="Aptos"/>
      <family val="2"/>
    </font>
    <font>
      <b/>
      <sz val="10"/>
      <name val="Aptos"/>
      <family val="2"/>
    </font>
    <font>
      <sz val="10"/>
      <name val="Calibri"/>
      <family val="2"/>
      <scheme val="minor"/>
    </font>
    <font>
      <b/>
      <sz val="14"/>
      <color theme="1"/>
      <name val="Calibri"/>
      <family val="2"/>
      <scheme val="minor"/>
    </font>
    <font>
      <b/>
      <sz val="14"/>
      <color theme="0"/>
      <name val="Calibri"/>
      <family val="2"/>
      <scheme val="minor"/>
    </font>
  </fonts>
  <fills count="69">
    <fill>
      <patternFill patternType="none"/>
    </fill>
    <fill>
      <patternFill patternType="gray125"/>
    </fill>
    <fill>
      <patternFill patternType="solid">
        <fgColor rgb="FFF2F2F2"/>
        <bgColor rgb="FFF2F2F2"/>
      </patternFill>
    </fill>
    <fill>
      <patternFill patternType="solid">
        <fgColor rgb="FFEAEFF7"/>
        <bgColor rgb="FFEAEFF7"/>
      </patternFill>
    </fill>
    <fill>
      <patternFill patternType="solid">
        <fgColor rgb="FFDEEAF6"/>
        <bgColor rgb="FFDEEAF6"/>
      </patternFill>
    </fill>
    <fill>
      <patternFill patternType="solid">
        <fgColor rgb="FFFFFF00"/>
        <bgColor rgb="FFBFBFBF"/>
      </patternFill>
    </fill>
    <fill>
      <patternFill patternType="solid">
        <fgColor theme="0" tint="-0.249977111117893"/>
        <bgColor rgb="FFBFBFBF"/>
      </patternFill>
    </fill>
    <fill>
      <patternFill patternType="solid">
        <fgColor theme="0" tint="-4.9989318521683403E-2"/>
        <bgColor indexed="64"/>
      </patternFill>
    </fill>
    <fill>
      <patternFill patternType="solid">
        <fgColor rgb="FFFF0000"/>
        <bgColor indexed="64"/>
      </patternFill>
    </fill>
    <fill>
      <patternFill patternType="solid">
        <fgColor rgb="FF00B050"/>
        <bgColor indexed="64"/>
      </patternFill>
    </fill>
    <fill>
      <patternFill patternType="solid">
        <fgColor theme="9" tint="0.79998168889431442"/>
        <bgColor rgb="FFFFFF99"/>
      </patternFill>
    </fill>
    <fill>
      <patternFill patternType="solid">
        <fgColor theme="0" tint="-4.9989318521683403E-2"/>
        <bgColor rgb="FF7F7F7F"/>
      </patternFill>
    </fill>
    <fill>
      <patternFill patternType="solid">
        <fgColor theme="0" tint="-0.34998626667073579"/>
        <bgColor indexed="64"/>
      </patternFill>
    </fill>
    <fill>
      <patternFill patternType="solid">
        <fgColor theme="6"/>
        <bgColor indexed="64"/>
      </patternFill>
    </fill>
    <fill>
      <patternFill patternType="solid">
        <fgColor rgb="FF70AD47"/>
        <bgColor rgb="FF000000"/>
      </patternFill>
    </fill>
    <fill>
      <patternFill patternType="solid">
        <fgColor rgb="FFFFFFFF"/>
        <bgColor rgb="FF000000"/>
      </patternFill>
    </fill>
    <fill>
      <patternFill patternType="solid">
        <fgColor rgb="FFFFC000"/>
        <bgColor rgb="FF000000"/>
      </patternFill>
    </fill>
    <fill>
      <patternFill patternType="solid">
        <fgColor theme="9" tint="-0.499984740745262"/>
        <bgColor indexed="64"/>
      </patternFill>
    </fill>
    <fill>
      <patternFill patternType="solid">
        <fgColor theme="9" tint="0.59999389629810485"/>
        <bgColor rgb="FFFFFF99"/>
      </patternFill>
    </fill>
    <fill>
      <patternFill patternType="solid">
        <fgColor theme="9" tint="0.39997558519241921"/>
        <bgColor rgb="FFFFFF99"/>
      </patternFill>
    </fill>
    <fill>
      <patternFill patternType="solid">
        <fgColor theme="9" tint="-0.249977111117893"/>
        <bgColor rgb="FFFFFF99"/>
      </patternFill>
    </fill>
    <fill>
      <patternFill patternType="solid">
        <fgColor theme="9" tint="-0.499984740745262"/>
        <bgColor rgb="FFFFFF99"/>
      </patternFill>
    </fill>
    <fill>
      <patternFill patternType="solid">
        <fgColor theme="9"/>
        <bgColor rgb="FF000000"/>
      </patternFill>
    </fill>
    <fill>
      <patternFill patternType="solid">
        <fgColor theme="0"/>
        <bgColor rgb="FF000000"/>
      </patternFill>
    </fill>
    <fill>
      <gradientFill degree="270">
        <stop position="0">
          <color theme="9"/>
        </stop>
        <stop position="1">
          <color theme="9" tint="-0.49803155613879818"/>
        </stop>
      </gradientFill>
    </fill>
    <fill>
      <patternFill patternType="solid">
        <fgColor theme="0"/>
        <bgColor indexed="64"/>
      </patternFill>
    </fill>
    <fill>
      <patternFill patternType="solid">
        <fgColor theme="9" tint="0.59999389629810485"/>
        <bgColor rgb="FF000000"/>
      </patternFill>
    </fill>
    <fill>
      <patternFill patternType="solid">
        <fgColor rgb="FF757171"/>
        <bgColor rgb="FF000000"/>
      </patternFill>
    </fill>
    <fill>
      <patternFill patternType="solid">
        <fgColor theme="0"/>
        <bgColor rgb="FFBFBFBF"/>
      </patternFill>
    </fill>
    <fill>
      <patternFill patternType="solid">
        <fgColor rgb="FFD9D9D9"/>
        <bgColor rgb="FF000000"/>
      </patternFill>
    </fill>
    <fill>
      <patternFill patternType="solid">
        <fgColor rgb="FFD0CECE"/>
        <bgColor rgb="FF000000"/>
      </patternFill>
    </fill>
    <fill>
      <patternFill patternType="solid">
        <fgColor rgb="FFFFF2CC"/>
        <bgColor rgb="FF000000"/>
      </patternFill>
    </fill>
    <fill>
      <patternFill patternType="solid">
        <fgColor rgb="FFDBE5F1"/>
        <bgColor indexed="64"/>
      </patternFill>
    </fill>
    <fill>
      <patternFill patternType="solid">
        <fgColor theme="0"/>
        <bgColor auto="1"/>
      </patternFill>
    </fill>
    <fill>
      <patternFill patternType="solid">
        <fgColor theme="3" tint="0.59999389629810485"/>
        <bgColor rgb="FF000000"/>
      </patternFill>
    </fill>
    <fill>
      <patternFill patternType="solid">
        <fgColor theme="3" tint="0.59999389629810485"/>
        <bgColor indexed="64"/>
      </patternFill>
    </fill>
    <fill>
      <patternFill patternType="solid">
        <fgColor rgb="FF92D050"/>
        <bgColor indexed="64"/>
      </patternFill>
    </fill>
    <fill>
      <patternFill patternType="solid">
        <fgColor rgb="FFFFFF00"/>
        <bgColor indexed="64"/>
      </patternFill>
    </fill>
    <fill>
      <gradientFill degree="90">
        <stop position="0">
          <color rgb="FF532963"/>
        </stop>
        <stop position="1">
          <color rgb="FF9B4CBA"/>
        </stop>
      </gradientFill>
    </fill>
    <fill>
      <patternFill patternType="solid">
        <fgColor rgb="FFE63992"/>
        <bgColor indexed="64"/>
      </patternFill>
    </fill>
    <fill>
      <patternFill patternType="solid">
        <fgColor rgb="FF95E069"/>
        <bgColor rgb="FFBFBFBF"/>
      </patternFill>
    </fill>
    <fill>
      <patternFill patternType="solid">
        <fgColor rgb="FF9B4CBA"/>
        <bgColor indexed="64"/>
      </patternFill>
    </fill>
    <fill>
      <patternFill patternType="solid">
        <fgColor rgb="FFE63992"/>
        <bgColor rgb="FF000000"/>
      </patternFill>
    </fill>
    <fill>
      <patternFill patternType="solid">
        <fgColor rgb="FF95E069"/>
        <bgColor rgb="FFFFFF99"/>
      </patternFill>
    </fill>
    <fill>
      <gradientFill degree="270">
        <stop position="0">
          <color rgb="FF9B4CBA"/>
        </stop>
        <stop position="1">
          <color rgb="FF532963"/>
        </stop>
      </gradientFill>
    </fill>
    <fill>
      <patternFill patternType="solid">
        <fgColor theme="4"/>
      </patternFill>
    </fill>
    <fill>
      <patternFill patternType="solid">
        <fgColor rgb="FF9B4CBA"/>
        <bgColor rgb="FFBFBFBF"/>
      </patternFill>
    </fill>
    <fill>
      <patternFill patternType="solid">
        <fgColor rgb="FF9B4CBA"/>
        <bgColor rgb="FF000000"/>
      </patternFill>
    </fill>
    <fill>
      <patternFill patternType="solid">
        <fgColor theme="7" tint="0.39997558519241921"/>
        <bgColor rgb="FF000000"/>
      </patternFill>
    </fill>
    <fill>
      <patternFill patternType="solid">
        <fgColor rgb="FFCF95F3"/>
        <bgColor rgb="FF000000"/>
      </patternFill>
    </fill>
    <fill>
      <patternFill patternType="solid">
        <fgColor theme="3" tint="0.89999084444715716"/>
        <bgColor indexed="64"/>
      </patternFill>
    </fill>
    <fill>
      <patternFill patternType="solid">
        <fgColor theme="8" tint="0.79998168889431442"/>
        <bgColor indexed="64"/>
      </patternFill>
    </fill>
    <fill>
      <patternFill patternType="solid">
        <fgColor theme="3" tint="0.89999084444715716"/>
        <bgColor rgb="FF000000"/>
      </patternFill>
    </fill>
    <fill>
      <patternFill patternType="solid">
        <fgColor rgb="FFDAE9F8"/>
        <bgColor rgb="FF000000"/>
      </patternFill>
    </fill>
    <fill>
      <patternFill patternType="solid">
        <fgColor theme="5" tint="0.59999389629810485"/>
        <bgColor rgb="FF000000"/>
      </patternFill>
    </fill>
    <fill>
      <patternFill patternType="solid">
        <fgColor theme="5" tint="0.59999389629810485"/>
        <bgColor indexed="64"/>
      </patternFill>
    </fill>
    <fill>
      <patternFill patternType="solid">
        <fgColor theme="7"/>
        <bgColor rgb="FF000000"/>
      </patternFill>
    </fill>
    <fill>
      <patternFill patternType="solid">
        <fgColor theme="7" tint="-0.249977111117893"/>
        <bgColor rgb="FF000000"/>
      </patternFill>
    </fill>
    <fill>
      <patternFill patternType="solid">
        <fgColor theme="7" tint="0.59999389629810485"/>
        <bgColor rgb="FF000000"/>
      </patternFill>
    </fill>
    <fill>
      <patternFill patternType="solid">
        <fgColor theme="4" tint="-0.249977111117893"/>
        <bgColor rgb="FF000000"/>
      </patternFill>
    </fill>
    <fill>
      <patternFill patternType="solid">
        <fgColor theme="4" tint="0.39997558519241921"/>
        <bgColor rgb="FF000000"/>
      </patternFill>
    </fill>
    <fill>
      <patternFill patternType="solid">
        <fgColor theme="4" tint="0.79998168889431442"/>
        <bgColor rgb="FF000000"/>
      </patternFill>
    </fill>
    <fill>
      <patternFill patternType="solid">
        <fgColor theme="4" tint="0.59999389629810485"/>
        <bgColor rgb="FF000000"/>
      </patternFill>
    </fill>
    <fill>
      <patternFill patternType="solid">
        <fgColor theme="4"/>
        <bgColor rgb="FF000000"/>
      </patternFill>
    </fill>
    <fill>
      <patternFill patternType="solid">
        <fgColor theme="4" tint="-0.499984740745262"/>
        <bgColor rgb="FF000000"/>
      </patternFill>
    </fill>
    <fill>
      <patternFill patternType="solid">
        <fgColor theme="5"/>
        <bgColor rgb="FF000000"/>
      </patternFill>
    </fill>
    <fill>
      <patternFill patternType="solid">
        <fgColor theme="5" tint="-0.249977111117893"/>
        <bgColor rgb="FF000000"/>
      </patternFill>
    </fill>
    <fill>
      <patternFill patternType="solid">
        <fgColor theme="5" tint="-0.499984740745262"/>
        <bgColor rgb="FF000000"/>
      </patternFill>
    </fill>
    <fill>
      <patternFill patternType="solid">
        <fgColor theme="5" tint="0.39997558519241921"/>
        <bgColor rgb="FF000000"/>
      </patternFill>
    </fill>
  </fills>
  <borders count="81">
    <border>
      <left/>
      <right/>
      <top/>
      <bottom/>
      <diagonal/>
    </border>
    <border>
      <left style="medium">
        <color rgb="FF5B9BD5"/>
      </left>
      <right style="medium">
        <color rgb="FF5B9BD5"/>
      </right>
      <top style="medium">
        <color rgb="FF5B9BD5"/>
      </top>
      <bottom style="medium">
        <color rgb="FF5B9BD5"/>
      </bottom>
      <diagonal/>
    </border>
    <border>
      <left/>
      <right/>
      <top style="thin">
        <color rgb="FF5B9BD5"/>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bottom style="medium">
        <color indexed="64"/>
      </bottom>
      <diagonal/>
    </border>
    <border>
      <left/>
      <right/>
      <top style="thin">
        <color indexed="64"/>
      </top>
      <bottom style="medium">
        <color indexed="64"/>
      </bottom>
      <diagonal/>
    </border>
    <border>
      <left/>
      <right/>
      <top style="medium">
        <color indexed="64"/>
      </top>
      <bottom/>
      <diagonal/>
    </border>
    <border>
      <left/>
      <right/>
      <top style="medium">
        <color indexed="64"/>
      </top>
      <bottom style="thin">
        <color indexed="64"/>
      </bottom>
      <diagonal/>
    </border>
    <border>
      <left/>
      <right style="thin">
        <color indexed="64"/>
      </right>
      <top style="medium">
        <color indexed="64"/>
      </top>
      <bottom/>
      <diagonal/>
    </border>
    <border>
      <left style="thin">
        <color indexed="64"/>
      </left>
      <right/>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diagonal/>
    </border>
    <border>
      <left/>
      <right style="thin">
        <color indexed="64"/>
      </right>
      <top/>
      <bottom/>
      <diagonal/>
    </border>
    <border>
      <left/>
      <right style="medium">
        <color indexed="64"/>
      </right>
      <top style="medium">
        <color indexed="64"/>
      </top>
      <bottom/>
      <diagonal/>
    </border>
    <border>
      <left/>
      <right style="medium">
        <color indexed="64"/>
      </right>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indexed="64"/>
      </left>
      <right style="thin">
        <color indexed="64"/>
      </right>
      <top/>
      <bottom/>
      <diagonal/>
    </border>
    <border>
      <left style="medium">
        <color indexed="64"/>
      </left>
      <right style="medium">
        <color indexed="64"/>
      </right>
      <top/>
      <bottom/>
      <diagonal/>
    </border>
    <border>
      <left style="thin">
        <color rgb="FF000000"/>
      </left>
      <right style="medium">
        <color indexed="64"/>
      </right>
      <top style="thin">
        <color indexed="64"/>
      </top>
      <bottom/>
      <diagonal/>
    </border>
    <border>
      <left style="medium">
        <color indexed="64"/>
      </left>
      <right style="thin">
        <color indexed="64"/>
      </right>
      <top/>
      <bottom style="medium">
        <color indexed="64"/>
      </bottom>
      <diagonal/>
    </border>
    <border>
      <left style="thin">
        <color rgb="FF000000"/>
      </left>
      <right style="medium">
        <color indexed="64"/>
      </right>
      <top/>
      <bottom/>
      <diagonal/>
    </border>
    <border>
      <left style="medium">
        <color indexed="64"/>
      </left>
      <right/>
      <top style="medium">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indexed="64"/>
      </left>
      <right style="thin">
        <color indexed="64"/>
      </right>
      <top style="thin">
        <color theme="1"/>
      </top>
      <bottom style="thin">
        <color indexed="64"/>
      </bottom>
      <diagonal/>
    </border>
    <border>
      <left/>
      <right/>
      <top style="thin">
        <color theme="1"/>
      </top>
      <bottom/>
      <diagonal/>
    </border>
    <border>
      <left/>
      <right style="thin">
        <color indexed="64"/>
      </right>
      <top style="thin">
        <color theme="1"/>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rgb="FF000000"/>
      </right>
      <top style="thin">
        <color rgb="FF000000"/>
      </top>
      <bottom/>
      <diagonal/>
    </border>
    <border>
      <left style="thin">
        <color rgb="FF000000"/>
      </left>
      <right style="thin">
        <color indexed="64"/>
      </right>
      <top style="thin">
        <color rgb="FF000000"/>
      </top>
      <bottom/>
      <diagonal/>
    </border>
    <border>
      <left style="thin">
        <color indexed="64"/>
      </left>
      <right style="thin">
        <color rgb="FF000000"/>
      </right>
      <top/>
      <bottom style="thin">
        <color rgb="FF000000"/>
      </bottom>
      <diagonal/>
    </border>
    <border>
      <left style="thin">
        <color rgb="FF000000"/>
      </left>
      <right style="thin">
        <color indexed="64"/>
      </right>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bottom style="thin">
        <color rgb="FF000000"/>
      </bottom>
      <diagonal/>
    </border>
  </borders>
  <cellStyleXfs count="19">
    <xf numFmtId="0" fontId="0" fillId="0" borderId="0"/>
    <xf numFmtId="9" fontId="19" fillId="0" borderId="0" applyFont="0" applyFill="0" applyBorder="0" applyAlignment="0" applyProtection="0"/>
    <xf numFmtId="0" fontId="18" fillId="0" borderId="0"/>
    <xf numFmtId="0" fontId="18" fillId="0" borderId="0"/>
    <xf numFmtId="0" fontId="7" fillId="0" borderId="0"/>
    <xf numFmtId="0" fontId="50" fillId="32" borderId="0" applyNumberFormat="0" applyBorder="0" applyProtection="0">
      <alignment horizontal="center" vertical="center"/>
    </xf>
    <xf numFmtId="49" fontId="51" fillId="0" borderId="0" applyFill="0" applyBorder="0" applyProtection="0">
      <alignment horizontal="left" vertical="center"/>
    </xf>
    <xf numFmtId="165" fontId="52" fillId="0" borderId="0" applyFont="0" applyFill="0" applyBorder="0" applyAlignment="0" applyProtection="0"/>
    <xf numFmtId="0" fontId="6" fillId="0" borderId="0"/>
    <xf numFmtId="9" fontId="18" fillId="0" borderId="0" applyFont="0" applyFill="0" applyBorder="0" applyAlignment="0" applyProtection="0"/>
    <xf numFmtId="0" fontId="5" fillId="0" borderId="0"/>
    <xf numFmtId="0" fontId="18" fillId="0" borderId="0"/>
    <xf numFmtId="42" fontId="87" fillId="0" borderId="0" applyFont="0" applyFill="0" applyBorder="0" applyAlignment="0" applyProtection="0"/>
    <xf numFmtId="42" fontId="4" fillId="0" borderId="0" applyFont="0" applyFill="0" applyBorder="0" applyAlignment="0" applyProtection="0"/>
    <xf numFmtId="0" fontId="89" fillId="45" borderId="0" applyNumberFormat="0" applyBorder="0" applyAlignment="0" applyProtection="0"/>
    <xf numFmtId="41" fontId="3" fillId="0" borderId="0" applyFont="0" applyFill="0" applyBorder="0" applyAlignment="0" applyProtection="0"/>
    <xf numFmtId="0" fontId="2" fillId="0" borderId="0"/>
    <xf numFmtId="0" fontId="1" fillId="0" borderId="0"/>
    <xf numFmtId="0" fontId="1" fillId="0" borderId="0"/>
  </cellStyleXfs>
  <cellXfs count="1048">
    <xf numFmtId="0" fontId="0" fillId="0" borderId="0" xfId="0"/>
    <xf numFmtId="0" fontId="0" fillId="0" borderId="0" xfId="0" applyAlignment="1">
      <alignment vertical="center"/>
    </xf>
    <xf numFmtId="0" fontId="9" fillId="3" borderId="1" xfId="0" applyFont="1" applyFill="1" applyBorder="1" applyAlignment="1">
      <alignment horizontal="left" vertical="center" wrapText="1" readingOrder="1"/>
    </xf>
    <xf numFmtId="0" fontId="10" fillId="4" borderId="2" xfId="0" applyFont="1" applyFill="1" applyBorder="1" applyAlignment="1">
      <alignment vertical="center" wrapText="1"/>
    </xf>
    <xf numFmtId="0" fontId="10" fillId="0" borderId="0" xfId="0" applyFont="1" applyAlignment="1">
      <alignment vertical="center" wrapText="1"/>
    </xf>
    <xf numFmtId="0" fontId="10" fillId="4" borderId="0" xfId="0" applyFont="1" applyFill="1" applyAlignment="1">
      <alignment vertical="center" wrapText="1"/>
    </xf>
    <xf numFmtId="0" fontId="10" fillId="4" borderId="0" xfId="0" applyFont="1" applyFill="1" applyAlignment="1">
      <alignment horizontal="left" vertical="center" wrapText="1"/>
    </xf>
    <xf numFmtId="0" fontId="10" fillId="0" borderId="0" xfId="0" applyFont="1" applyAlignment="1">
      <alignment horizontal="left" vertical="center" wrapText="1"/>
    </xf>
    <xf numFmtId="0" fontId="13" fillId="0" borderId="0" xfId="0" applyFont="1" applyAlignment="1">
      <alignment horizontal="center" vertical="center" wrapText="1"/>
    </xf>
    <xf numFmtId="0" fontId="14" fillId="0" borderId="0" xfId="0" applyFont="1" applyAlignment="1">
      <alignment horizontal="center" vertical="center" wrapText="1"/>
    </xf>
    <xf numFmtId="9" fontId="14" fillId="8" borderId="0" xfId="0" applyNumberFormat="1" applyFont="1" applyFill="1" applyAlignment="1">
      <alignment horizontal="center" vertical="center" wrapText="1"/>
    </xf>
    <xf numFmtId="9" fontId="14" fillId="9" borderId="0" xfId="0" applyNumberFormat="1" applyFont="1" applyFill="1" applyAlignment="1">
      <alignment horizontal="center" vertical="center" wrapText="1"/>
    </xf>
    <xf numFmtId="0" fontId="16" fillId="0" borderId="0" xfId="0" applyFont="1" applyAlignment="1">
      <alignment vertical="center"/>
    </xf>
    <xf numFmtId="0" fontId="18" fillId="0" borderId="0" xfId="0" applyFont="1" applyAlignment="1">
      <alignment vertical="center"/>
    </xf>
    <xf numFmtId="0" fontId="18" fillId="0" borderId="35" xfId="0" applyFont="1" applyBorder="1" applyAlignment="1">
      <alignment vertical="center"/>
    </xf>
    <xf numFmtId="0" fontId="18" fillId="0" borderId="35" xfId="0" applyFont="1" applyBorder="1" applyAlignment="1">
      <alignment horizontal="justify" vertical="center"/>
    </xf>
    <xf numFmtId="9" fontId="18" fillId="0" borderId="35" xfId="0" applyNumberFormat="1" applyFont="1" applyBorder="1" applyAlignment="1">
      <alignment vertical="center"/>
    </xf>
    <xf numFmtId="9" fontId="18" fillId="0" borderId="35" xfId="0" applyNumberFormat="1" applyFont="1" applyBorder="1" applyAlignment="1">
      <alignment horizontal="center" vertical="center"/>
    </xf>
    <xf numFmtId="0" fontId="18" fillId="0" borderId="39" xfId="0" applyFont="1" applyBorder="1" applyAlignment="1">
      <alignment horizontal="justify" vertical="center"/>
    </xf>
    <xf numFmtId="0" fontId="18" fillId="0" borderId="38" xfId="0" applyFont="1" applyBorder="1" applyAlignment="1">
      <alignment vertical="center"/>
    </xf>
    <xf numFmtId="0" fontId="18" fillId="0" borderId="38" xfId="0" applyFont="1" applyBorder="1" applyAlignment="1">
      <alignment horizontal="justify" vertical="center"/>
    </xf>
    <xf numFmtId="9" fontId="22" fillId="0" borderId="0" xfId="0" applyNumberFormat="1" applyFont="1" applyAlignment="1">
      <alignment horizontal="center" vertical="center"/>
    </xf>
    <xf numFmtId="0" fontId="18" fillId="0" borderId="37" xfId="0" applyFont="1" applyBorder="1" applyAlignment="1">
      <alignment horizontal="justify" vertical="center"/>
    </xf>
    <xf numFmtId="9" fontId="18" fillId="0" borderId="41" xfId="0" applyNumberFormat="1" applyFont="1" applyBorder="1" applyAlignment="1">
      <alignment horizontal="center" vertical="center"/>
    </xf>
    <xf numFmtId="0" fontId="20" fillId="0" borderId="0" xfId="2" applyFont="1" applyAlignment="1">
      <alignment vertical="center"/>
    </xf>
    <xf numFmtId="164" fontId="17" fillId="0" borderId="0" xfId="1" applyNumberFormat="1" applyFont="1" applyBorder="1" applyAlignment="1">
      <alignment horizontal="center" vertical="center"/>
    </xf>
    <xf numFmtId="164" fontId="23" fillId="0" borderId="35" xfId="0" applyNumberFormat="1" applyFont="1" applyBorder="1" applyAlignment="1">
      <alignment horizontal="center" vertical="center" wrapText="1"/>
    </xf>
    <xf numFmtId="164" fontId="18" fillId="0" borderId="35" xfId="1" applyNumberFormat="1" applyFont="1" applyFill="1" applyBorder="1" applyAlignment="1">
      <alignment horizontal="center" vertical="center"/>
    </xf>
    <xf numFmtId="164" fontId="23" fillId="0" borderId="38" xfId="0" applyNumberFormat="1" applyFont="1" applyBorder="1" applyAlignment="1">
      <alignment horizontal="center" vertical="center" wrapText="1"/>
    </xf>
    <xf numFmtId="164" fontId="18" fillId="0" borderId="38" xfId="1" applyNumberFormat="1" applyFont="1" applyFill="1" applyBorder="1" applyAlignment="1">
      <alignment horizontal="center" vertical="center"/>
    </xf>
    <xf numFmtId="164" fontId="17" fillId="0" borderId="35" xfId="1" applyNumberFormat="1" applyFont="1" applyBorder="1" applyAlignment="1">
      <alignment horizontal="center" vertical="center"/>
    </xf>
    <xf numFmtId="164" fontId="24" fillId="5" borderId="22" xfId="0" applyNumberFormat="1" applyFont="1" applyFill="1" applyBorder="1" applyAlignment="1">
      <alignment horizontal="center" vertical="center" wrapText="1"/>
    </xf>
    <xf numFmtId="9" fontId="0" fillId="0" borderId="0" xfId="0" applyNumberFormat="1" applyAlignment="1">
      <alignment vertical="center"/>
    </xf>
    <xf numFmtId="164" fontId="18" fillId="0" borderId="37" xfId="1" applyNumberFormat="1" applyFont="1" applyBorder="1" applyAlignment="1">
      <alignment horizontal="center" vertical="center"/>
    </xf>
    <xf numFmtId="164" fontId="18" fillId="0" borderId="35" xfId="1" applyNumberFormat="1" applyFont="1" applyBorder="1" applyAlignment="1">
      <alignment horizontal="center" vertical="center"/>
    </xf>
    <xf numFmtId="164" fontId="18" fillId="0" borderId="38" xfId="1" applyNumberFormat="1" applyFont="1" applyBorder="1" applyAlignment="1">
      <alignment horizontal="center" vertical="center"/>
    </xf>
    <xf numFmtId="164" fontId="18" fillId="0" borderId="15" xfId="1" applyNumberFormat="1" applyFont="1" applyBorder="1" applyAlignment="1">
      <alignment horizontal="center" vertical="center"/>
    </xf>
    <xf numFmtId="164" fontId="18" fillId="0" borderId="29" xfId="1" applyNumberFormat="1" applyFont="1" applyBorder="1" applyAlignment="1">
      <alignment horizontal="center" vertical="center"/>
    </xf>
    <xf numFmtId="164" fontId="18" fillId="0" borderId="43" xfId="1" applyNumberFormat="1" applyFont="1" applyBorder="1" applyAlignment="1">
      <alignment horizontal="center" vertical="center"/>
    </xf>
    <xf numFmtId="164" fontId="18" fillId="0" borderId="29" xfId="1" applyNumberFormat="1" applyFont="1" applyFill="1" applyBorder="1" applyAlignment="1">
      <alignment horizontal="center" vertical="center"/>
    </xf>
    <xf numFmtId="164" fontId="18" fillId="0" borderId="43" xfId="1" applyNumberFormat="1" applyFont="1" applyFill="1" applyBorder="1" applyAlignment="1">
      <alignment horizontal="center" vertical="center"/>
    </xf>
    <xf numFmtId="164" fontId="18" fillId="0" borderId="39" xfId="1" applyNumberFormat="1" applyFont="1" applyFill="1" applyBorder="1" applyAlignment="1">
      <alignment horizontal="center" vertical="center"/>
    </xf>
    <xf numFmtId="9" fontId="12" fillId="7" borderId="3" xfId="0" applyNumberFormat="1" applyFont="1" applyFill="1" applyBorder="1" applyAlignment="1">
      <alignment horizontal="center" vertical="center" wrapText="1"/>
    </xf>
    <xf numFmtId="9" fontId="27" fillId="0" borderId="3" xfId="0" applyNumberFormat="1" applyFont="1" applyBorder="1" applyAlignment="1">
      <alignment horizontal="center" vertical="center"/>
    </xf>
    <xf numFmtId="9" fontId="27" fillId="0" borderId="3" xfId="0" applyNumberFormat="1" applyFont="1" applyBorder="1" applyAlignment="1">
      <alignment horizontal="center" vertical="center" wrapText="1"/>
    </xf>
    <xf numFmtId="9" fontId="12" fillId="0" borderId="3" xfId="0" applyNumberFormat="1" applyFont="1" applyBorder="1" applyAlignment="1">
      <alignment horizontal="center" vertical="center" wrapText="1"/>
    </xf>
    <xf numFmtId="164" fontId="28" fillId="0" borderId="35" xfId="1" applyNumberFormat="1" applyFont="1" applyBorder="1" applyAlignment="1">
      <alignment horizontal="center" vertical="center"/>
    </xf>
    <xf numFmtId="164" fontId="29" fillId="5" borderId="35" xfId="0" applyNumberFormat="1" applyFont="1" applyFill="1" applyBorder="1" applyAlignment="1">
      <alignment horizontal="center" vertical="center" wrapText="1"/>
    </xf>
    <xf numFmtId="164" fontId="28" fillId="0" borderId="29" xfId="1" applyNumberFormat="1" applyFont="1" applyBorder="1" applyAlignment="1">
      <alignment horizontal="center" vertical="center"/>
    </xf>
    <xf numFmtId="164" fontId="29" fillId="5" borderId="29" xfId="0" applyNumberFormat="1" applyFont="1" applyFill="1" applyBorder="1" applyAlignment="1">
      <alignment horizontal="center" vertical="center" wrapText="1"/>
    </xf>
    <xf numFmtId="0" fontId="28" fillId="0" borderId="35" xfId="0" applyFont="1" applyBorder="1" applyAlignment="1">
      <alignment horizontal="center" vertical="center"/>
    </xf>
    <xf numFmtId="0" fontId="28" fillId="0" borderId="29" xfId="0" applyFont="1" applyBorder="1" applyAlignment="1">
      <alignment horizontal="center" vertical="center"/>
    </xf>
    <xf numFmtId="164" fontId="31" fillId="11" borderId="3" xfId="0" applyNumberFormat="1" applyFont="1" applyFill="1" applyBorder="1" applyAlignment="1">
      <alignment horizontal="center" vertical="center" wrapText="1"/>
    </xf>
    <xf numFmtId="164" fontId="30" fillId="0" borderId="3" xfId="0" applyNumberFormat="1" applyFont="1" applyBorder="1" applyAlignment="1">
      <alignment horizontal="center" vertical="center" wrapText="1"/>
    </xf>
    <xf numFmtId="164" fontId="18" fillId="0" borderId="37" xfId="0" applyNumberFormat="1" applyFont="1" applyBorder="1" applyAlignment="1">
      <alignment horizontal="center" vertical="center"/>
    </xf>
    <xf numFmtId="0" fontId="14" fillId="0" borderId="0" xfId="0" applyFont="1" applyAlignment="1">
      <alignment vertical="center" wrapText="1"/>
    </xf>
    <xf numFmtId="0" fontId="39" fillId="14" borderId="35" xfId="0" applyFont="1" applyFill="1" applyBorder="1" applyAlignment="1">
      <alignment horizontal="left" vertical="center"/>
    </xf>
    <xf numFmtId="0" fontId="39" fillId="14" borderId="0" xfId="0" applyFont="1" applyFill="1" applyAlignment="1">
      <alignment horizontal="left" vertical="center"/>
    </xf>
    <xf numFmtId="0" fontId="0" fillId="0" borderId="3" xfId="0" applyBorder="1" applyAlignment="1">
      <alignment vertical="center"/>
    </xf>
    <xf numFmtId="0" fontId="27" fillId="2" borderId="3" xfId="0" applyFont="1" applyFill="1" applyBorder="1" applyAlignment="1">
      <alignment horizontal="center" vertical="center" wrapText="1"/>
    </xf>
    <xf numFmtId="164" fontId="18" fillId="0" borderId="0" xfId="1" applyNumberFormat="1" applyFont="1" applyBorder="1" applyAlignment="1">
      <alignment horizontal="center" vertical="center"/>
    </xf>
    <xf numFmtId="164" fontId="18" fillId="0" borderId="0" xfId="1" applyNumberFormat="1" applyFont="1" applyFill="1" applyBorder="1" applyAlignment="1">
      <alignment horizontal="center" vertical="center"/>
    </xf>
    <xf numFmtId="164" fontId="28" fillId="0" borderId="0" xfId="1" applyNumberFormat="1" applyFont="1" applyBorder="1" applyAlignment="1">
      <alignment horizontal="center" vertical="center"/>
    </xf>
    <xf numFmtId="164" fontId="29" fillId="5" borderId="0" xfId="0" applyNumberFormat="1" applyFont="1" applyFill="1" applyAlignment="1">
      <alignment horizontal="center" vertical="center" wrapText="1"/>
    </xf>
    <xf numFmtId="0" fontId="28" fillId="0" borderId="0" xfId="0" applyFont="1" applyAlignment="1">
      <alignment horizontal="center" vertical="center"/>
    </xf>
    <xf numFmtId="164" fontId="40" fillId="5" borderId="24" xfId="0" applyNumberFormat="1" applyFont="1" applyFill="1" applyBorder="1" applyAlignment="1">
      <alignment vertical="center" wrapText="1"/>
    </xf>
    <xf numFmtId="0" fontId="37" fillId="27" borderId="3" xfId="0" applyFont="1" applyFill="1" applyBorder="1" applyAlignment="1">
      <alignment horizontal="center" vertical="center" wrapText="1"/>
    </xf>
    <xf numFmtId="0" fontId="7" fillId="0" borderId="0" xfId="4"/>
    <xf numFmtId="0" fontId="21" fillId="0" borderId="38" xfId="0" applyFont="1" applyBorder="1" applyAlignment="1">
      <alignment vertical="center" wrapText="1"/>
    </xf>
    <xf numFmtId="0" fontId="36" fillId="0" borderId="27" xfId="4" applyFont="1" applyBorder="1"/>
    <xf numFmtId="0" fontId="36" fillId="0" borderId="36" xfId="4" applyFont="1" applyBorder="1"/>
    <xf numFmtId="0" fontId="36" fillId="0" borderId="47" xfId="4" applyFont="1" applyBorder="1"/>
    <xf numFmtId="0" fontId="36" fillId="0" borderId="0" xfId="4" applyFont="1"/>
    <xf numFmtId="0" fontId="47" fillId="0" borderId="0" xfId="4" applyFont="1" applyAlignment="1">
      <alignment vertical="center" wrapText="1"/>
    </xf>
    <xf numFmtId="0" fontId="36" fillId="0" borderId="29" xfId="4" applyFont="1" applyBorder="1"/>
    <xf numFmtId="0" fontId="36" fillId="0" borderId="35" xfId="4" applyFont="1" applyBorder="1"/>
    <xf numFmtId="0" fontId="36" fillId="0" borderId="0" xfId="4" applyFont="1" applyAlignment="1">
      <alignment vertical="center" wrapText="1"/>
    </xf>
    <xf numFmtId="0" fontId="48" fillId="15" borderId="36" xfId="4" applyFont="1" applyFill="1" applyBorder="1" applyAlignment="1">
      <alignment vertical="center" wrapText="1"/>
    </xf>
    <xf numFmtId="0" fontId="48" fillId="15" borderId="0" xfId="4" applyFont="1" applyFill="1" applyAlignment="1">
      <alignment vertical="center" wrapText="1"/>
    </xf>
    <xf numFmtId="0" fontId="36" fillId="15" borderId="0" xfId="4" applyFont="1" applyFill="1"/>
    <xf numFmtId="0" fontId="53" fillId="25" borderId="0" xfId="4" applyFont="1" applyFill="1" applyAlignment="1">
      <alignment horizontal="center"/>
    </xf>
    <xf numFmtId="0" fontId="54" fillId="0" borderId="0" xfId="4" applyFont="1"/>
    <xf numFmtId="0" fontId="56" fillId="12" borderId="3" xfId="4" applyFont="1" applyFill="1" applyBorder="1" applyAlignment="1">
      <alignment horizontal="center" vertical="center" wrapText="1"/>
    </xf>
    <xf numFmtId="0" fontId="57" fillId="0" borderId="3" xfId="4" applyFont="1" applyBorder="1" applyAlignment="1">
      <alignment horizontal="center" vertical="center" wrapText="1"/>
    </xf>
    <xf numFmtId="0" fontId="43" fillId="24" borderId="3" xfId="0" applyFont="1" applyFill="1" applyBorder="1" applyAlignment="1">
      <alignment vertical="center"/>
    </xf>
    <xf numFmtId="0" fontId="43" fillId="24" borderId="14" xfId="0" applyFont="1" applyFill="1" applyBorder="1" applyAlignment="1">
      <alignment vertical="center"/>
    </xf>
    <xf numFmtId="9" fontId="0" fillId="0" borderId="3" xfId="0" applyNumberFormat="1" applyBorder="1" applyAlignment="1">
      <alignment vertical="center"/>
    </xf>
    <xf numFmtId="0" fontId="36" fillId="0" borderId="44" xfId="4" applyFont="1" applyBorder="1"/>
    <xf numFmtId="9" fontId="27" fillId="25" borderId="3" xfId="0" applyNumberFormat="1" applyFont="1" applyFill="1" applyBorder="1" applyAlignment="1">
      <alignment horizontal="center" vertical="center"/>
    </xf>
    <xf numFmtId="9" fontId="0" fillId="0" borderId="3" xfId="0" applyNumberFormat="1" applyBorder="1" applyAlignment="1">
      <alignment horizontal="center" vertical="center"/>
    </xf>
    <xf numFmtId="9" fontId="7" fillId="0" borderId="0" xfId="4" applyNumberFormat="1"/>
    <xf numFmtId="9" fontId="7" fillId="0" borderId="0" xfId="4" applyNumberFormat="1" applyAlignment="1">
      <alignment horizontal="right"/>
    </xf>
    <xf numFmtId="9" fontId="59" fillId="30" borderId="3" xfId="4" applyNumberFormat="1" applyFont="1" applyFill="1" applyBorder="1" applyAlignment="1">
      <alignment horizontal="center" vertical="center"/>
    </xf>
    <xf numFmtId="9" fontId="59" fillId="30" borderId="15" xfId="4" applyNumberFormat="1" applyFont="1" applyFill="1" applyBorder="1" applyAlignment="1">
      <alignment horizontal="center" vertical="center"/>
    </xf>
    <xf numFmtId="0" fontId="59" fillId="30" borderId="3" xfId="4" applyFont="1" applyFill="1" applyBorder="1" applyAlignment="1">
      <alignment horizontal="center" vertical="center"/>
    </xf>
    <xf numFmtId="0" fontId="59" fillId="30" borderId="15" xfId="4" applyFont="1" applyFill="1" applyBorder="1" applyAlignment="1">
      <alignment horizontal="center" vertical="center"/>
    </xf>
    <xf numFmtId="9" fontId="59" fillId="29" borderId="6" xfId="4" applyNumberFormat="1" applyFont="1" applyFill="1" applyBorder="1" applyAlignment="1">
      <alignment horizontal="center" vertical="center"/>
    </xf>
    <xf numFmtId="9" fontId="59" fillId="29" borderId="16" xfId="4" applyNumberFormat="1" applyFont="1" applyFill="1" applyBorder="1" applyAlignment="1">
      <alignment horizontal="center" vertical="center"/>
    </xf>
    <xf numFmtId="9" fontId="59" fillId="0" borderId="65" xfId="4" applyNumberFormat="1" applyFont="1" applyBorder="1" applyAlignment="1">
      <alignment horizontal="center" vertical="center"/>
    </xf>
    <xf numFmtId="9" fontId="59" fillId="15" borderId="5" xfId="4" applyNumberFormat="1" applyFont="1" applyFill="1" applyBorder="1" applyAlignment="1">
      <alignment horizontal="center" vertical="center"/>
    </xf>
    <xf numFmtId="9" fontId="59" fillId="15" borderId="67" xfId="4" applyNumberFormat="1" applyFont="1" applyFill="1" applyBorder="1" applyAlignment="1">
      <alignment horizontal="center" vertical="center"/>
    </xf>
    <xf numFmtId="9" fontId="59" fillId="30" borderId="14" xfId="4" applyNumberFormat="1" applyFont="1" applyFill="1" applyBorder="1" applyAlignment="1">
      <alignment horizontal="center" vertical="center"/>
    </xf>
    <xf numFmtId="0" fontId="59" fillId="30" borderId="14" xfId="4" applyFont="1" applyFill="1" applyBorder="1" applyAlignment="1">
      <alignment horizontal="center" vertical="center"/>
    </xf>
    <xf numFmtId="9" fontId="59" fillId="15" borderId="3" xfId="4" applyNumberFormat="1" applyFont="1" applyFill="1" applyBorder="1" applyAlignment="1">
      <alignment horizontal="center" vertical="center"/>
    </xf>
    <xf numFmtId="9" fontId="59" fillId="0" borderId="15" xfId="4" applyNumberFormat="1" applyFont="1" applyBorder="1" applyAlignment="1">
      <alignment horizontal="center" vertical="center"/>
    </xf>
    <xf numFmtId="0" fontId="59" fillId="30" borderId="66" xfId="4" applyFont="1" applyFill="1" applyBorder="1" applyAlignment="1">
      <alignment horizontal="center" vertical="center"/>
    </xf>
    <xf numFmtId="0" fontId="59" fillId="30" borderId="6" xfId="4" applyFont="1" applyFill="1" applyBorder="1" applyAlignment="1">
      <alignment horizontal="center" vertical="center"/>
    </xf>
    <xf numFmtId="9" fontId="59" fillId="30" borderId="16" xfId="4" applyNumberFormat="1" applyFont="1" applyFill="1" applyBorder="1" applyAlignment="1">
      <alignment horizontal="center" vertical="center"/>
    </xf>
    <xf numFmtId="0" fontId="59" fillId="0" borderId="14" xfId="4" applyFont="1" applyBorder="1" applyAlignment="1">
      <alignment horizontal="center" vertical="center"/>
    </xf>
    <xf numFmtId="0" fontId="59" fillId="29" borderId="14" xfId="4" applyFont="1" applyFill="1" applyBorder="1" applyAlignment="1">
      <alignment horizontal="center" vertical="center"/>
    </xf>
    <xf numFmtId="9" fontId="60" fillId="15" borderId="30" xfId="4" applyNumberFormat="1" applyFont="1" applyFill="1" applyBorder="1" applyAlignment="1">
      <alignment horizontal="center" vertical="center"/>
    </xf>
    <xf numFmtId="9" fontId="60" fillId="30" borderId="9" xfId="4" applyNumberFormat="1" applyFont="1" applyFill="1" applyBorder="1" applyAlignment="1">
      <alignment horizontal="center" vertical="center"/>
    </xf>
    <xf numFmtId="9" fontId="60" fillId="15" borderId="9" xfId="4" applyNumberFormat="1" applyFont="1" applyFill="1" applyBorder="1" applyAlignment="1">
      <alignment horizontal="center" vertical="center"/>
    </xf>
    <xf numFmtId="9" fontId="60" fillId="29" borderId="11" xfId="4" applyNumberFormat="1" applyFont="1" applyFill="1" applyBorder="1" applyAlignment="1">
      <alignment horizontal="center" vertical="center"/>
    </xf>
    <xf numFmtId="0" fontId="61" fillId="0" borderId="0" xfId="4" applyFont="1"/>
    <xf numFmtId="0" fontId="61" fillId="0" borderId="0" xfId="4" applyFont="1" applyAlignment="1">
      <alignment horizontal="center" vertical="center"/>
    </xf>
    <xf numFmtId="0" fontId="61" fillId="0" borderId="0" xfId="4" applyFont="1" applyAlignment="1">
      <alignment wrapText="1"/>
    </xf>
    <xf numFmtId="0" fontId="66" fillId="0" borderId="0" xfId="4" applyFont="1" applyAlignment="1">
      <alignment horizontal="center" vertical="center"/>
    </xf>
    <xf numFmtId="0" fontId="24" fillId="0" borderId="0" xfId="4" applyFont="1"/>
    <xf numFmtId="164" fontId="62" fillId="0" borderId="33" xfId="4" applyNumberFormat="1" applyFont="1" applyBorder="1" applyAlignment="1">
      <alignment horizontal="center" vertical="center" wrapText="1"/>
    </xf>
    <xf numFmtId="164" fontId="67" fillId="36" borderId="22" xfId="4" applyNumberFormat="1" applyFont="1" applyFill="1" applyBorder="1" applyAlignment="1">
      <alignment horizontal="center" vertical="center" wrapText="1"/>
    </xf>
    <xf numFmtId="0" fontId="67" fillId="0" borderId="0" xfId="4" applyFont="1" applyAlignment="1">
      <alignment horizontal="center" vertical="center"/>
    </xf>
    <xf numFmtId="0" fontId="68" fillId="14" borderId="23" xfId="4" applyFont="1" applyFill="1" applyBorder="1" applyAlignment="1">
      <alignment horizontal="center" vertical="center" wrapText="1"/>
    </xf>
    <xf numFmtId="0" fontId="68" fillId="14" borderId="25" xfId="4" applyFont="1" applyFill="1" applyBorder="1" applyAlignment="1">
      <alignment horizontal="center" vertical="center" wrapText="1"/>
    </xf>
    <xf numFmtId="0" fontId="68" fillId="14" borderId="32" xfId="4" applyFont="1" applyFill="1" applyBorder="1" applyAlignment="1">
      <alignment horizontal="center" vertical="center" wrapText="1"/>
    </xf>
    <xf numFmtId="0" fontId="68" fillId="14" borderId="33" xfId="4" applyFont="1" applyFill="1" applyBorder="1" applyAlignment="1">
      <alignment horizontal="center" vertical="center" wrapText="1"/>
    </xf>
    <xf numFmtId="9" fontId="40" fillId="28" borderId="0" xfId="0" applyNumberFormat="1" applyFont="1" applyFill="1" applyAlignment="1">
      <alignment vertical="center" wrapText="1"/>
    </xf>
    <xf numFmtId="164" fontId="65" fillId="35" borderId="32" xfId="4" applyNumberFormat="1" applyFont="1" applyFill="1" applyBorder="1" applyAlignment="1">
      <alignment horizontal="center" vertical="center" wrapText="1"/>
    </xf>
    <xf numFmtId="164" fontId="65" fillId="35" borderId="64" xfId="4" applyNumberFormat="1" applyFont="1" applyFill="1" applyBorder="1" applyAlignment="1">
      <alignment horizontal="center" vertical="center" wrapText="1"/>
    </xf>
    <xf numFmtId="9" fontId="70" fillId="0" borderId="3" xfId="0" applyNumberFormat="1" applyFont="1" applyBorder="1" applyAlignment="1">
      <alignment horizontal="center" vertical="center" wrapText="1"/>
    </xf>
    <xf numFmtId="164" fontId="40" fillId="5" borderId="3" xfId="0" applyNumberFormat="1" applyFont="1" applyFill="1" applyBorder="1" applyAlignment="1">
      <alignment vertical="center" wrapText="1"/>
    </xf>
    <xf numFmtId="9" fontId="59" fillId="15" borderId="18" xfId="1" applyFont="1" applyFill="1" applyBorder="1" applyAlignment="1">
      <alignment horizontal="center" vertical="center"/>
    </xf>
    <xf numFmtId="9" fontId="59" fillId="25" borderId="3" xfId="4" applyNumberFormat="1" applyFont="1" applyFill="1" applyBorder="1" applyAlignment="1">
      <alignment horizontal="center" vertical="center"/>
    </xf>
    <xf numFmtId="9" fontId="59" fillId="15" borderId="18" xfId="4" applyNumberFormat="1" applyFont="1" applyFill="1" applyBorder="1" applyAlignment="1">
      <alignment horizontal="center" vertical="center"/>
    </xf>
    <xf numFmtId="0" fontId="61" fillId="0" borderId="0" xfId="4" applyFont="1" applyAlignment="1">
      <alignment horizontal="right" vertical="center" wrapText="1" indent="1"/>
    </xf>
    <xf numFmtId="0" fontId="61" fillId="0" borderId="0" xfId="4" applyFont="1" applyAlignment="1">
      <alignment horizontal="right" vertical="center" indent="1"/>
    </xf>
    <xf numFmtId="9" fontId="59" fillId="0" borderId="27" xfId="4" applyNumberFormat="1" applyFont="1" applyBorder="1" applyAlignment="1">
      <alignment horizontal="center" vertical="center"/>
    </xf>
    <xf numFmtId="9" fontId="27" fillId="0" borderId="15" xfId="0" applyNumberFormat="1" applyFont="1" applyBorder="1" applyAlignment="1">
      <alignment horizontal="center" vertical="center" wrapText="1"/>
    </xf>
    <xf numFmtId="9" fontId="12" fillId="7" borderId="15" xfId="0" applyNumberFormat="1" applyFont="1" applyFill="1" applyBorder="1" applyAlignment="1">
      <alignment horizontal="center" vertical="center" wrapText="1"/>
    </xf>
    <xf numFmtId="9" fontId="12" fillId="0" borderId="15" xfId="0" applyNumberFormat="1" applyFont="1" applyBorder="1" applyAlignment="1">
      <alignment horizontal="center" vertical="center" wrapText="1"/>
    </xf>
    <xf numFmtId="9" fontId="59" fillId="0" borderId="29" xfId="4" applyNumberFormat="1" applyFont="1" applyBorder="1" applyAlignment="1">
      <alignment horizontal="center" vertical="center"/>
    </xf>
    <xf numFmtId="9" fontId="27" fillId="25" borderId="3" xfId="0" applyNumberFormat="1" applyFont="1" applyFill="1" applyBorder="1" applyAlignment="1">
      <alignment horizontal="center" vertical="center" wrapText="1"/>
    </xf>
    <xf numFmtId="164" fontId="27" fillId="0" borderId="3" xfId="0" applyNumberFormat="1" applyFont="1" applyBorder="1" applyAlignment="1">
      <alignment horizontal="left" vertical="center" indent="1"/>
    </xf>
    <xf numFmtId="164" fontId="66" fillId="0" borderId="0" xfId="4" applyNumberFormat="1" applyFont="1" applyAlignment="1">
      <alignment horizontal="center" vertical="center"/>
    </xf>
    <xf numFmtId="0" fontId="74" fillId="0" borderId="0" xfId="0" applyFont="1"/>
    <xf numFmtId="0" fontId="0" fillId="0" borderId="0" xfId="0" applyAlignment="1">
      <alignment wrapText="1"/>
    </xf>
    <xf numFmtId="9" fontId="75" fillId="0" borderId="3" xfId="0" applyNumberFormat="1" applyFont="1" applyBorder="1" applyAlignment="1">
      <alignment horizontal="center" vertical="center" wrapText="1"/>
    </xf>
    <xf numFmtId="164" fontId="27" fillId="37" borderId="3" xfId="0" applyNumberFormat="1" applyFont="1" applyFill="1" applyBorder="1" applyAlignment="1">
      <alignment horizontal="left" vertical="center" indent="1"/>
    </xf>
    <xf numFmtId="0" fontId="74" fillId="0" borderId="0" xfId="0" applyFont="1" applyAlignment="1">
      <alignment horizontal="center"/>
    </xf>
    <xf numFmtId="9" fontId="74" fillId="0" borderId="0" xfId="0" applyNumberFormat="1" applyFont="1"/>
    <xf numFmtId="9" fontId="74" fillId="0" borderId="0" xfId="1" applyFont="1" applyBorder="1"/>
    <xf numFmtId="0" fontId="18" fillId="0" borderId="35" xfId="0" applyFont="1" applyBorder="1" applyAlignment="1">
      <alignment horizontal="right" vertical="center"/>
    </xf>
    <xf numFmtId="0" fontId="36" fillId="15" borderId="3" xfId="0" applyFont="1" applyFill="1" applyBorder="1" applyAlignment="1">
      <alignment horizontal="center" vertical="center" wrapText="1"/>
    </xf>
    <xf numFmtId="0" fontId="41" fillId="0" borderId="0" xfId="0" applyFont="1" applyAlignment="1">
      <alignment horizontal="center" vertical="center" textRotation="45" wrapText="1"/>
    </xf>
    <xf numFmtId="9" fontId="44" fillId="25" borderId="4" xfId="1" applyFont="1" applyFill="1" applyBorder="1" applyAlignment="1">
      <alignment horizontal="left" vertical="center"/>
    </xf>
    <xf numFmtId="9" fontId="44" fillId="25" borderId="19" xfId="1" applyFont="1" applyFill="1" applyBorder="1" applyAlignment="1">
      <alignment horizontal="left" vertical="center"/>
    </xf>
    <xf numFmtId="0" fontId="61" fillId="0" borderId="38" xfId="4" applyFont="1" applyBorder="1" applyAlignment="1">
      <alignment horizontal="center" vertical="center"/>
    </xf>
    <xf numFmtId="0" fontId="0" fillId="0" borderId="48" xfId="0" applyBorder="1" applyAlignment="1">
      <alignment horizontal="center" vertical="center" wrapText="1"/>
    </xf>
    <xf numFmtId="0" fontId="72" fillId="0" borderId="48" xfId="0" applyFont="1" applyBorder="1" applyAlignment="1">
      <alignment horizontal="center" vertical="center" wrapText="1"/>
    </xf>
    <xf numFmtId="164" fontId="63" fillId="34" borderId="58" xfId="4" applyNumberFormat="1" applyFont="1" applyFill="1" applyBorder="1" applyAlignment="1">
      <alignment horizontal="center" vertical="center"/>
    </xf>
    <xf numFmtId="0" fontId="36" fillId="15" borderId="37" xfId="4" applyFont="1" applyFill="1" applyBorder="1" applyAlignment="1">
      <alignment horizontal="left" vertical="center" wrapText="1"/>
    </xf>
    <xf numFmtId="164" fontId="59" fillId="0" borderId="10" xfId="4" applyNumberFormat="1" applyFont="1" applyBorder="1" applyAlignment="1">
      <alignment horizontal="center" vertical="center"/>
    </xf>
    <xf numFmtId="0" fontId="49" fillId="0" borderId="44" xfId="4" applyFont="1" applyBorder="1" applyAlignment="1">
      <alignment horizontal="center" vertical="center"/>
    </xf>
    <xf numFmtId="164" fontId="62" fillId="0" borderId="20" xfId="4" applyNumberFormat="1" applyFont="1" applyBorder="1" applyAlignment="1">
      <alignment horizontal="center" vertical="center" wrapText="1"/>
    </xf>
    <xf numFmtId="164" fontId="65" fillId="35" borderId="58" xfId="4" applyNumberFormat="1" applyFont="1" applyFill="1" applyBorder="1" applyAlignment="1">
      <alignment horizontal="center" vertical="center" wrapText="1"/>
    </xf>
    <xf numFmtId="0" fontId="36" fillId="15" borderId="50" xfId="4" applyFont="1" applyFill="1" applyBorder="1"/>
    <xf numFmtId="0" fontId="17" fillId="0" borderId="37" xfId="0" applyFont="1" applyBorder="1" applyAlignment="1">
      <alignment horizontal="left" vertical="center" wrapText="1"/>
    </xf>
    <xf numFmtId="0" fontId="37" fillId="47" borderId="4" xfId="14" applyFont="1" applyFill="1" applyBorder="1" applyAlignment="1">
      <alignment horizontal="center" vertical="center" wrapText="1"/>
    </xf>
    <xf numFmtId="0" fontId="37" fillId="47" borderId="4" xfId="14" applyNumberFormat="1" applyFont="1" applyFill="1" applyBorder="1" applyAlignment="1">
      <alignment horizontal="center" vertical="center" wrapText="1"/>
    </xf>
    <xf numFmtId="49" fontId="37" fillId="47" borderId="4" xfId="14" applyNumberFormat="1" applyFont="1" applyFill="1" applyBorder="1" applyAlignment="1">
      <alignment horizontal="center" vertical="center" wrapText="1"/>
    </xf>
    <xf numFmtId="1" fontId="37" fillId="47" borderId="4" xfId="14" applyNumberFormat="1" applyFont="1" applyFill="1" applyBorder="1" applyAlignment="1">
      <alignment horizontal="center" vertical="center" wrapText="1"/>
    </xf>
    <xf numFmtId="42" fontId="37" fillId="47" borderId="4" xfId="14" applyNumberFormat="1" applyFont="1" applyFill="1" applyBorder="1" applyAlignment="1">
      <alignment horizontal="center" vertical="center" wrapText="1"/>
    </xf>
    <xf numFmtId="164" fontId="37" fillId="47" borderId="4" xfId="14" applyNumberFormat="1" applyFont="1" applyFill="1" applyBorder="1" applyAlignment="1">
      <alignment horizontal="center" vertical="center" wrapText="1"/>
    </xf>
    <xf numFmtId="42" fontId="37" fillId="47" borderId="4" xfId="12" applyFont="1" applyFill="1" applyBorder="1" applyAlignment="1">
      <alignment horizontal="center" vertical="center" wrapText="1"/>
    </xf>
    <xf numFmtId="0" fontId="36" fillId="41" borderId="0" xfId="4" applyFont="1" applyFill="1"/>
    <xf numFmtId="0" fontId="48" fillId="47" borderId="0" xfId="4" applyFont="1" applyFill="1" applyAlignment="1">
      <alignment horizontal="center" vertical="center" wrapText="1"/>
    </xf>
    <xf numFmtId="0" fontId="37" fillId="47" borderId="63" xfId="4" applyFont="1" applyFill="1" applyBorder="1" applyAlignment="1">
      <alignment horizontal="center" vertical="center" wrapText="1"/>
    </xf>
    <xf numFmtId="164" fontId="63" fillId="15" borderId="20" xfId="4" applyNumberFormat="1" applyFont="1" applyFill="1" applyBorder="1" applyAlignment="1">
      <alignment horizontal="center" vertical="center"/>
    </xf>
    <xf numFmtId="0" fontId="14" fillId="0" borderId="0" xfId="2" applyFont="1" applyAlignment="1">
      <alignment vertical="center" wrapText="1"/>
    </xf>
    <xf numFmtId="0" fontId="14" fillId="0" borderId="0" xfId="2" applyFont="1" applyAlignment="1">
      <alignment horizontal="center" vertical="center" wrapText="1"/>
    </xf>
    <xf numFmtId="0" fontId="13" fillId="0" borderId="0" xfId="2" applyFont="1" applyAlignment="1">
      <alignment horizontal="center" vertical="center" wrapText="1"/>
    </xf>
    <xf numFmtId="9" fontId="14" fillId="8" borderId="0" xfId="2" applyNumberFormat="1" applyFont="1" applyFill="1" applyAlignment="1">
      <alignment horizontal="center" vertical="center" wrapText="1"/>
    </xf>
    <xf numFmtId="0" fontId="39" fillId="14" borderId="35" xfId="2" applyFont="1" applyFill="1" applyBorder="1" applyAlignment="1">
      <alignment horizontal="left" vertical="center"/>
    </xf>
    <xf numFmtId="0" fontId="39" fillId="14" borderId="0" xfId="2" applyFont="1" applyFill="1" applyAlignment="1">
      <alignment horizontal="left" vertical="center"/>
    </xf>
    <xf numFmtId="9" fontId="14" fillId="9" borderId="0" xfId="2" applyNumberFormat="1" applyFont="1" applyFill="1" applyAlignment="1">
      <alignment horizontal="center" vertical="center" wrapText="1"/>
    </xf>
    <xf numFmtId="0" fontId="18" fillId="0" borderId="0" xfId="2" applyAlignment="1">
      <alignment vertical="center"/>
    </xf>
    <xf numFmtId="0" fontId="16" fillId="0" borderId="0" xfId="2" applyFont="1" applyAlignment="1">
      <alignment vertical="center"/>
    </xf>
    <xf numFmtId="0" fontId="27" fillId="2" borderId="3" xfId="2" applyFont="1" applyFill="1" applyBorder="1" applyAlignment="1">
      <alignment horizontal="center" vertical="center" wrapText="1"/>
    </xf>
    <xf numFmtId="164" fontId="30" fillId="0" borderId="3" xfId="2" applyNumberFormat="1" applyFont="1" applyBorder="1" applyAlignment="1">
      <alignment horizontal="center" vertical="center" wrapText="1"/>
    </xf>
    <xf numFmtId="164" fontId="40" fillId="5" borderId="24" xfId="2" applyNumberFormat="1" applyFont="1" applyFill="1" applyBorder="1" applyAlignment="1">
      <alignment vertical="center" wrapText="1"/>
    </xf>
    <xf numFmtId="9" fontId="27" fillId="0" borderId="3" xfId="2" applyNumberFormat="1" applyFont="1" applyBorder="1" applyAlignment="1">
      <alignment horizontal="center" vertical="center"/>
    </xf>
    <xf numFmtId="9" fontId="27" fillId="0" borderId="3" xfId="2" applyNumberFormat="1" applyFont="1" applyBorder="1" applyAlignment="1">
      <alignment horizontal="center" vertical="center" wrapText="1"/>
    </xf>
    <xf numFmtId="164" fontId="31" fillId="11" borderId="3" xfId="2" applyNumberFormat="1" applyFont="1" applyFill="1" applyBorder="1" applyAlignment="1">
      <alignment horizontal="center" vertical="center" wrapText="1"/>
    </xf>
    <xf numFmtId="9" fontId="12" fillId="7" borderId="3" xfId="2" applyNumberFormat="1" applyFont="1" applyFill="1" applyBorder="1" applyAlignment="1">
      <alignment horizontal="center" vertical="center" wrapText="1"/>
    </xf>
    <xf numFmtId="0" fontId="18" fillId="0" borderId="3" xfId="2" applyBorder="1" applyAlignment="1">
      <alignment vertical="center"/>
    </xf>
    <xf numFmtId="9" fontId="12" fillId="0" borderId="3" xfId="2" applyNumberFormat="1" applyFont="1" applyBorder="1" applyAlignment="1">
      <alignment horizontal="center" vertical="center" wrapText="1"/>
    </xf>
    <xf numFmtId="9" fontId="70" fillId="0" borderId="3" xfId="2" applyNumberFormat="1" applyFont="1" applyBorder="1" applyAlignment="1">
      <alignment horizontal="center" vertical="center" wrapText="1"/>
    </xf>
    <xf numFmtId="0" fontId="21" fillId="0" borderId="38" xfId="2" applyFont="1" applyBorder="1" applyAlignment="1">
      <alignment vertical="center" wrapText="1"/>
    </xf>
    <xf numFmtId="0" fontId="18" fillId="0" borderId="38" xfId="2" applyBorder="1" applyAlignment="1">
      <alignment horizontal="justify" vertical="center"/>
    </xf>
    <xf numFmtId="0" fontId="18" fillId="0" borderId="38" xfId="2" applyBorder="1" applyAlignment="1">
      <alignment vertical="center"/>
    </xf>
    <xf numFmtId="164" fontId="18" fillId="0" borderId="38" xfId="9" applyNumberFormat="1" applyFont="1" applyBorder="1" applyAlignment="1">
      <alignment horizontal="center" vertical="center"/>
    </xf>
    <xf numFmtId="164" fontId="18" fillId="0" borderId="43" xfId="9" applyNumberFormat="1" applyFont="1" applyBorder="1" applyAlignment="1">
      <alignment horizontal="center" vertical="center"/>
    </xf>
    <xf numFmtId="164" fontId="23" fillId="0" borderId="38" xfId="2" applyNumberFormat="1" applyFont="1" applyBorder="1" applyAlignment="1">
      <alignment horizontal="center" vertical="center" wrapText="1"/>
    </xf>
    <xf numFmtId="164" fontId="18" fillId="0" borderId="38" xfId="9" applyNumberFormat="1" applyFont="1" applyFill="1" applyBorder="1" applyAlignment="1">
      <alignment horizontal="center" vertical="center"/>
    </xf>
    <xf numFmtId="164" fontId="18" fillId="0" borderId="43" xfId="9" applyNumberFormat="1" applyFont="1" applyFill="1" applyBorder="1" applyAlignment="1">
      <alignment horizontal="center" vertical="center"/>
    </xf>
    <xf numFmtId="164" fontId="18" fillId="0" borderId="39" xfId="9" applyNumberFormat="1" applyFont="1" applyFill="1" applyBorder="1" applyAlignment="1">
      <alignment horizontal="center" vertical="center"/>
    </xf>
    <xf numFmtId="164" fontId="18" fillId="0" borderId="0" xfId="9" applyNumberFormat="1" applyFont="1" applyFill="1" applyBorder="1" applyAlignment="1">
      <alignment horizontal="center" vertical="center"/>
    </xf>
    <xf numFmtId="164" fontId="28" fillId="0" borderId="35" xfId="9" applyNumberFormat="1" applyFont="1" applyBorder="1" applyAlignment="1">
      <alignment horizontal="center" vertical="center"/>
    </xf>
    <xf numFmtId="164" fontId="29" fillId="5" borderId="35" xfId="2" applyNumberFormat="1" applyFont="1" applyFill="1" applyBorder="1" applyAlignment="1">
      <alignment horizontal="center" vertical="center" wrapText="1"/>
    </xf>
    <xf numFmtId="164" fontId="28" fillId="0" borderId="29" xfId="9" applyNumberFormat="1" applyFont="1" applyBorder="1" applyAlignment="1">
      <alignment horizontal="center" vertical="center"/>
    </xf>
    <xf numFmtId="164" fontId="28" fillId="0" borderId="0" xfId="9" applyNumberFormat="1" applyFont="1" applyBorder="1" applyAlignment="1">
      <alignment horizontal="center" vertical="center"/>
    </xf>
    <xf numFmtId="164" fontId="29" fillId="5" borderId="29" xfId="2" applyNumberFormat="1" applyFont="1" applyFill="1" applyBorder="1" applyAlignment="1">
      <alignment horizontal="center" vertical="center" wrapText="1"/>
    </xf>
    <xf numFmtId="164" fontId="29" fillId="5" borderId="0" xfId="2" applyNumberFormat="1" applyFont="1" applyFill="1" applyAlignment="1">
      <alignment horizontal="center" vertical="center" wrapText="1"/>
    </xf>
    <xf numFmtId="0" fontId="28" fillId="0" borderId="35" xfId="2" applyFont="1" applyBorder="1" applyAlignment="1">
      <alignment horizontal="center" vertical="center"/>
    </xf>
    <xf numFmtId="0" fontId="28" fillId="0" borderId="29" xfId="2" applyFont="1" applyBorder="1" applyAlignment="1">
      <alignment horizontal="center" vertical="center"/>
    </xf>
    <xf numFmtId="0" fontId="28" fillId="0" borderId="0" xfId="2" applyFont="1" applyAlignment="1">
      <alignment horizontal="center" vertical="center"/>
    </xf>
    <xf numFmtId="164" fontId="17" fillId="0" borderId="35" xfId="9" applyNumberFormat="1" applyFont="1" applyBorder="1" applyAlignment="1">
      <alignment horizontal="center" vertical="center"/>
    </xf>
    <xf numFmtId="9" fontId="18" fillId="0" borderId="0" xfId="2" applyNumberFormat="1" applyAlignment="1">
      <alignment vertical="center"/>
    </xf>
    <xf numFmtId="164" fontId="17" fillId="0" borderId="0" xfId="9" applyNumberFormat="1" applyFont="1" applyBorder="1" applyAlignment="1">
      <alignment horizontal="center" vertical="center"/>
    </xf>
    <xf numFmtId="164" fontId="24" fillId="5" borderId="22" xfId="2" applyNumberFormat="1" applyFont="1" applyFill="1" applyBorder="1" applyAlignment="1">
      <alignment horizontal="center" vertical="center" wrapText="1"/>
    </xf>
    <xf numFmtId="0" fontId="35" fillId="26" borderId="0" xfId="2" applyFont="1" applyFill="1" applyAlignment="1">
      <alignment horizontal="center" vertical="center" wrapText="1"/>
    </xf>
    <xf numFmtId="9" fontId="44" fillId="25" borderId="27" xfId="1" applyFont="1" applyFill="1" applyBorder="1" applyAlignment="1">
      <alignment horizontal="left" vertical="center"/>
    </xf>
    <xf numFmtId="9" fontId="44" fillId="25" borderId="47" xfId="1" applyFont="1" applyFill="1" applyBorder="1" applyAlignment="1">
      <alignment horizontal="left" vertical="center"/>
    </xf>
    <xf numFmtId="0" fontId="72" fillId="0" borderId="4" xfId="0" applyFont="1" applyBorder="1" applyAlignment="1">
      <alignment horizontal="center" vertical="center" wrapText="1"/>
    </xf>
    <xf numFmtId="0" fontId="72" fillId="0" borderId="18" xfId="0" applyFont="1" applyBorder="1" applyAlignment="1">
      <alignment horizontal="center" vertical="center" wrapText="1"/>
    </xf>
    <xf numFmtId="0" fontId="36" fillId="15" borderId="19" xfId="0" applyFont="1" applyFill="1" applyBorder="1" applyAlignment="1">
      <alignment horizontal="center" vertical="center" wrapText="1"/>
    </xf>
    <xf numFmtId="0" fontId="35" fillId="26" borderId="18" xfId="0" applyFont="1" applyFill="1" applyBorder="1" applyAlignment="1">
      <alignment horizontal="center" vertical="center" wrapText="1"/>
    </xf>
    <xf numFmtId="0" fontId="35" fillId="26" borderId="19" xfId="0" applyFont="1" applyFill="1" applyBorder="1" applyAlignment="1">
      <alignment horizontal="center" vertical="center" wrapText="1"/>
    </xf>
    <xf numFmtId="0" fontId="38" fillId="25" borderId="47" xfId="2" applyFont="1" applyFill="1" applyBorder="1" applyAlignment="1">
      <alignment horizontal="center" vertical="center" wrapText="1"/>
    </xf>
    <xf numFmtId="0" fontId="36" fillId="0" borderId="50" xfId="4" applyFont="1" applyBorder="1"/>
    <xf numFmtId="0" fontId="48" fillId="15" borderId="36" xfId="4" applyFont="1" applyFill="1" applyBorder="1" applyAlignment="1">
      <alignment horizontal="center" vertical="center" wrapText="1"/>
    </xf>
    <xf numFmtId="0" fontId="38" fillId="15" borderId="3" xfId="0" applyFont="1" applyFill="1" applyBorder="1" applyAlignment="1">
      <alignment vertical="center" wrapText="1"/>
    </xf>
    <xf numFmtId="0" fontId="18" fillId="0" borderId="4"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18" xfId="0" applyFont="1" applyBorder="1" applyAlignment="1">
      <alignment horizontal="center" vertical="center" wrapText="1"/>
    </xf>
    <xf numFmtId="0" fontId="35" fillId="26" borderId="0" xfId="0" applyFont="1" applyFill="1" applyAlignment="1">
      <alignment horizontal="center" vertical="center" wrapText="1"/>
    </xf>
    <xf numFmtId="0" fontId="35" fillId="47" borderId="18" xfId="4" applyFont="1" applyFill="1" applyBorder="1" applyAlignment="1">
      <alignment horizontal="center" vertical="center" wrapText="1"/>
    </xf>
    <xf numFmtId="0" fontId="40" fillId="17" borderId="4" xfId="0" applyFont="1" applyFill="1" applyBorder="1" applyAlignment="1">
      <alignment horizontal="right" vertical="center"/>
    </xf>
    <xf numFmtId="0" fontId="48" fillId="15" borderId="0" xfId="4" applyFont="1" applyFill="1" applyAlignment="1">
      <alignment horizontal="center" vertical="center" wrapText="1"/>
    </xf>
    <xf numFmtId="0" fontId="18" fillId="0" borderId="3" xfId="0" applyFont="1" applyBorder="1" applyAlignment="1">
      <alignment horizontal="center" vertical="center" wrapText="1"/>
    </xf>
    <xf numFmtId="0" fontId="59" fillId="0" borderId="28" xfId="4" applyFont="1" applyBorder="1" applyAlignment="1">
      <alignment horizontal="center" vertical="center"/>
    </xf>
    <xf numFmtId="0" fontId="59" fillId="29" borderId="28" xfId="4" applyFont="1" applyFill="1" applyBorder="1" applyAlignment="1">
      <alignment horizontal="center" vertical="center"/>
    </xf>
    <xf numFmtId="0" fontId="59" fillId="0" borderId="69" xfId="4" applyFont="1" applyBorder="1" applyAlignment="1">
      <alignment horizontal="center" vertical="center"/>
    </xf>
    <xf numFmtId="0" fontId="59" fillId="29" borderId="70" xfId="4" applyFont="1" applyFill="1" applyBorder="1" applyAlignment="1">
      <alignment horizontal="center" vertical="center"/>
    </xf>
    <xf numFmtId="0" fontId="59" fillId="0" borderId="65" xfId="4" applyFont="1" applyBorder="1" applyAlignment="1">
      <alignment horizontal="center" vertical="center"/>
    </xf>
    <xf numFmtId="0" fontId="38" fillId="15" borderId="14" xfId="4" applyFont="1" applyFill="1" applyBorder="1" applyAlignment="1">
      <alignment horizontal="center" vertical="center" wrapText="1"/>
    </xf>
    <xf numFmtId="0" fontId="59" fillId="29" borderId="26" xfId="4" applyFont="1" applyFill="1" applyBorder="1" applyAlignment="1">
      <alignment horizontal="center" vertical="center"/>
    </xf>
    <xf numFmtId="0" fontId="94" fillId="0" borderId="3" xfId="0" applyFont="1" applyBorder="1" applyAlignment="1">
      <alignment horizontal="left" vertical="center"/>
    </xf>
    <xf numFmtId="49" fontId="95" fillId="0" borderId="3" xfId="6" applyFont="1" applyBorder="1" applyAlignment="1">
      <alignment horizontal="center" vertical="center"/>
    </xf>
    <xf numFmtId="0" fontId="94" fillId="50" borderId="3" xfId="0" applyFont="1" applyFill="1" applyBorder="1" applyAlignment="1">
      <alignment horizontal="left" vertical="center"/>
    </xf>
    <xf numFmtId="0" fontId="94" fillId="0" borderId="3" xfId="0" applyFont="1" applyBorder="1" applyAlignment="1">
      <alignment horizontal="center" vertical="center"/>
    </xf>
    <xf numFmtId="1" fontId="94" fillId="0" borderId="3" xfId="0" applyNumberFormat="1" applyFont="1" applyBorder="1" applyAlignment="1">
      <alignment horizontal="center" vertical="center"/>
    </xf>
    <xf numFmtId="0" fontId="95" fillId="0" borderId="3" xfId="0" applyFont="1" applyBorder="1" applyAlignment="1">
      <alignment horizontal="center" vertical="center"/>
    </xf>
    <xf numFmtId="42" fontId="95" fillId="0" borderId="3" xfId="0" applyNumberFormat="1" applyFont="1" applyBorder="1" applyAlignment="1">
      <alignment horizontal="right" vertical="center"/>
    </xf>
    <xf numFmtId="9" fontId="95" fillId="0" borderId="3" xfId="9" applyFont="1" applyBorder="1" applyAlignment="1">
      <alignment horizontal="center" vertical="center"/>
    </xf>
    <xf numFmtId="42" fontId="95" fillId="50" borderId="3" xfId="12" applyFont="1" applyFill="1" applyBorder="1" applyAlignment="1">
      <alignment horizontal="right" vertical="center"/>
    </xf>
    <xf numFmtId="42" fontId="94" fillId="50" borderId="3" xfId="13" applyFont="1" applyFill="1" applyBorder="1" applyAlignment="1">
      <alignment horizontal="right" vertical="center"/>
    </xf>
    <xf numFmtId="42" fontId="94" fillId="0" borderId="3" xfId="13" applyFont="1" applyBorder="1" applyAlignment="1">
      <alignment horizontal="center" vertical="center"/>
    </xf>
    <xf numFmtId="42" fontId="94" fillId="0" borderId="3" xfId="13" applyFont="1" applyBorder="1" applyAlignment="1">
      <alignment horizontal="left" vertical="center"/>
    </xf>
    <xf numFmtId="42" fontId="94" fillId="0" borderId="3" xfId="12" applyFont="1" applyBorder="1" applyAlignment="1">
      <alignment horizontal="right" vertical="center"/>
    </xf>
    <xf numFmtId="0" fontId="94" fillId="0" borderId="71" xfId="0" applyFont="1" applyBorder="1" applyAlignment="1">
      <alignment horizontal="left" vertical="center"/>
    </xf>
    <xf numFmtId="0" fontId="95" fillId="0" borderId="3" xfId="6" applyNumberFormat="1" applyFont="1" applyBorder="1" applyAlignment="1">
      <alignment horizontal="center" vertical="center"/>
    </xf>
    <xf numFmtId="0" fontId="96" fillId="0" borderId="3" xfId="0" applyFont="1" applyBorder="1" applyAlignment="1">
      <alignment horizontal="left" vertical="center"/>
    </xf>
    <xf numFmtId="0" fontId="96" fillId="0" borderId="3" xfId="0" applyFont="1" applyBorder="1" applyAlignment="1">
      <alignment horizontal="center" vertical="center"/>
    </xf>
    <xf numFmtId="0" fontId="97" fillId="51" borderId="3" xfId="0" applyFont="1" applyFill="1" applyBorder="1" applyAlignment="1">
      <alignment horizontal="center" vertical="center"/>
    </xf>
    <xf numFmtId="42" fontId="94" fillId="51" borderId="3" xfId="12" applyFont="1" applyFill="1" applyBorder="1" applyAlignment="1">
      <alignment horizontal="right" vertical="center"/>
    </xf>
    <xf numFmtId="0" fontId="94" fillId="51" borderId="3" xfId="0" applyFont="1" applyFill="1" applyBorder="1" applyAlignment="1">
      <alignment horizontal="left" vertical="center"/>
    </xf>
    <xf numFmtId="0" fontId="95" fillId="51" borderId="3" xfId="0" applyFont="1" applyFill="1" applyBorder="1" applyAlignment="1">
      <alignment horizontal="center" vertical="center"/>
    </xf>
    <xf numFmtId="0" fontId="96" fillId="0" borderId="3" xfId="0" applyFont="1" applyBorder="1" applyAlignment="1">
      <alignment horizontal="center" vertical="center" wrapText="1"/>
    </xf>
    <xf numFmtId="1" fontId="96" fillId="0" borderId="3" xfId="0" applyNumberFormat="1" applyFont="1" applyBorder="1" applyAlignment="1">
      <alignment horizontal="center" vertical="center" wrapText="1"/>
    </xf>
    <xf numFmtId="0" fontId="96" fillId="0" borderId="3" xfId="0" applyFont="1" applyBorder="1" applyAlignment="1">
      <alignment horizontal="left" vertical="center" wrapText="1"/>
    </xf>
    <xf numFmtId="0" fontId="96" fillId="51" borderId="3" xfId="0" applyFont="1" applyFill="1" applyBorder="1" applyAlignment="1">
      <alignment horizontal="center" vertical="center"/>
    </xf>
    <xf numFmtId="9" fontId="95" fillId="51" borderId="3" xfId="9" applyFont="1" applyFill="1" applyBorder="1" applyAlignment="1">
      <alignment horizontal="center" vertical="center"/>
    </xf>
    <xf numFmtId="42" fontId="94" fillId="51" borderId="3" xfId="13" applyFont="1" applyFill="1" applyBorder="1" applyAlignment="1">
      <alignment horizontal="center" vertical="center"/>
    </xf>
    <xf numFmtId="42" fontId="94" fillId="51" borderId="3" xfId="13" applyFont="1" applyFill="1" applyBorder="1" applyAlignment="1">
      <alignment horizontal="left" vertical="center"/>
    </xf>
    <xf numFmtId="42" fontId="96" fillId="0" borderId="3" xfId="12" applyFont="1" applyBorder="1" applyAlignment="1">
      <alignment horizontal="center" vertical="center" wrapText="1"/>
    </xf>
    <xf numFmtId="42" fontId="96" fillId="0" borderId="3" xfId="12" applyFont="1" applyBorder="1" applyAlignment="1">
      <alignment horizontal="right" vertical="center" wrapText="1"/>
    </xf>
    <xf numFmtId="0" fontId="94" fillId="51" borderId="3" xfId="0" applyFont="1" applyFill="1" applyBorder="1" applyAlignment="1">
      <alignment horizontal="center" vertical="center"/>
    </xf>
    <xf numFmtId="42" fontId="95" fillId="51" borderId="3" xfId="12" applyFont="1" applyFill="1" applyBorder="1" applyAlignment="1">
      <alignment horizontal="right" vertical="center"/>
    </xf>
    <xf numFmtId="0" fontId="94" fillId="0" borderId="72" xfId="0" applyFont="1" applyBorder="1" applyAlignment="1">
      <alignment horizontal="left" vertical="center" readingOrder="1"/>
    </xf>
    <xf numFmtId="0" fontId="95" fillId="0" borderId="3" xfId="0" applyFont="1" applyBorder="1" applyAlignment="1">
      <alignment horizontal="left" vertical="center"/>
    </xf>
    <xf numFmtId="0" fontId="95" fillId="50" borderId="3" xfId="0" applyFont="1" applyFill="1" applyBorder="1" applyAlignment="1">
      <alignment horizontal="left" vertical="center"/>
    </xf>
    <xf numFmtId="1" fontId="97" fillId="0" borderId="3" xfId="0" applyNumberFormat="1" applyFont="1" applyBorder="1" applyAlignment="1">
      <alignment horizontal="center" vertical="center"/>
    </xf>
    <xf numFmtId="1" fontId="95" fillId="0" borderId="3" xfId="0" applyNumberFormat="1" applyFont="1" applyBorder="1" applyAlignment="1">
      <alignment horizontal="center" vertical="center"/>
    </xf>
    <xf numFmtId="0" fontId="97" fillId="0" borderId="3" xfId="0" applyFont="1" applyBorder="1" applyAlignment="1">
      <alignment horizontal="left" vertical="center"/>
    </xf>
    <xf numFmtId="0" fontId="94" fillId="0" borderId="3" xfId="0" applyFont="1" applyBorder="1" applyAlignment="1">
      <alignment horizontal="center"/>
    </xf>
    <xf numFmtId="0" fontId="96" fillId="0" borderId="15" xfId="0" applyFont="1" applyBorder="1" applyAlignment="1">
      <alignment horizontal="center" vertical="center"/>
    </xf>
    <xf numFmtId="0" fontId="95" fillId="0" borderId="14" xfId="0" applyFont="1" applyBorder="1" applyAlignment="1">
      <alignment horizontal="center" vertical="center"/>
    </xf>
    <xf numFmtId="0" fontId="97" fillId="51" borderId="3" xfId="0" applyFont="1" applyFill="1" applyBorder="1" applyAlignment="1">
      <alignment horizontal="center"/>
    </xf>
    <xf numFmtId="0" fontId="96" fillId="0" borderId="3" xfId="0" applyFont="1" applyBorder="1" applyAlignment="1">
      <alignment horizontal="center"/>
    </xf>
    <xf numFmtId="42" fontId="95" fillId="0" borderId="3" xfId="0" applyNumberFormat="1" applyFont="1" applyBorder="1" applyAlignment="1">
      <alignment horizontal="center" vertical="center"/>
    </xf>
    <xf numFmtId="42" fontId="95" fillId="0" borderId="3" xfId="0" applyNumberFormat="1" applyFont="1" applyBorder="1" applyAlignment="1">
      <alignment horizontal="left" vertical="center"/>
    </xf>
    <xf numFmtId="0" fontId="94" fillId="0" borderId="3" xfId="0" applyFont="1" applyBorder="1" applyAlignment="1">
      <alignment horizontal="left"/>
    </xf>
    <xf numFmtId="42" fontId="94" fillId="0" borderId="3" xfId="0" applyNumberFormat="1" applyFont="1" applyBorder="1" applyAlignment="1">
      <alignment horizontal="right"/>
    </xf>
    <xf numFmtId="49" fontId="94" fillId="0" borderId="3" xfId="0" applyNumberFormat="1" applyFont="1" applyBorder="1" applyAlignment="1">
      <alignment horizontal="left" vertical="center"/>
    </xf>
    <xf numFmtId="49" fontId="95" fillId="0" borderId="3" xfId="0" applyNumberFormat="1" applyFont="1" applyBorder="1" applyAlignment="1">
      <alignment horizontal="left" vertical="center"/>
    </xf>
    <xf numFmtId="0" fontId="94" fillId="52" borderId="3" xfId="0" applyFont="1" applyFill="1" applyBorder="1" applyAlignment="1">
      <alignment horizontal="left"/>
    </xf>
    <xf numFmtId="166" fontId="94" fillId="0" borderId="3" xfId="0" applyNumberFormat="1" applyFont="1" applyBorder="1" applyAlignment="1">
      <alignment horizontal="right"/>
    </xf>
    <xf numFmtId="9" fontId="94" fillId="0" borderId="3" xfId="0" applyNumberFormat="1" applyFont="1" applyBorder="1" applyAlignment="1">
      <alignment horizontal="center"/>
    </xf>
    <xf numFmtId="42" fontId="94" fillId="53" borderId="3" xfId="12" applyFont="1" applyFill="1" applyBorder="1" applyAlignment="1">
      <alignment horizontal="right"/>
    </xf>
    <xf numFmtId="0" fontId="94" fillId="53" borderId="3" xfId="0" applyFont="1" applyFill="1" applyBorder="1" applyAlignment="1">
      <alignment horizontal="left"/>
    </xf>
    <xf numFmtId="0" fontId="97" fillId="0" borderId="3" xfId="0" applyFont="1" applyBorder="1" applyAlignment="1">
      <alignment horizontal="center"/>
    </xf>
    <xf numFmtId="166" fontId="94" fillId="0" borderId="3" xfId="0" applyNumberFormat="1" applyFont="1" applyBorder="1" applyAlignment="1">
      <alignment horizontal="right" vertical="center"/>
    </xf>
    <xf numFmtId="42" fontId="94" fillId="0" borderId="3" xfId="12" applyFont="1" applyBorder="1" applyAlignment="1">
      <alignment horizontal="right"/>
    </xf>
    <xf numFmtId="0" fontId="94" fillId="0" borderId="14" xfId="0" applyFont="1" applyBorder="1" applyAlignment="1">
      <alignment horizontal="center" vertical="center"/>
    </xf>
    <xf numFmtId="0" fontId="97" fillId="0" borderId="71" xfId="0" applyFont="1" applyBorder="1" applyAlignment="1">
      <alignment horizontal="left" vertical="center"/>
    </xf>
    <xf numFmtId="0" fontId="97" fillId="51" borderId="71" xfId="0" applyFont="1" applyFill="1" applyBorder="1" applyAlignment="1">
      <alignment horizontal="center" vertical="center"/>
    </xf>
    <xf numFmtId="0" fontId="94" fillId="0" borderId="73" xfId="0" applyFont="1" applyBorder="1" applyAlignment="1">
      <alignment horizontal="center" vertical="center"/>
    </xf>
    <xf numFmtId="1" fontId="94" fillId="0" borderId="71" xfId="0" applyNumberFormat="1" applyFont="1" applyBorder="1" applyAlignment="1">
      <alignment horizontal="center" vertical="center"/>
    </xf>
    <xf numFmtId="0" fontId="95" fillId="0" borderId="73" xfId="0" applyFont="1" applyBorder="1" applyAlignment="1">
      <alignment horizontal="center" vertical="center"/>
    </xf>
    <xf numFmtId="0" fontId="94" fillId="0" borderId="71" xfId="0" applyFont="1" applyBorder="1" applyAlignment="1">
      <alignment horizontal="center" vertical="center"/>
    </xf>
    <xf numFmtId="1" fontId="96" fillId="0" borderId="3" xfId="0" applyNumberFormat="1" applyFont="1" applyBorder="1" applyAlignment="1">
      <alignment horizontal="center" vertical="center"/>
    </xf>
    <xf numFmtId="42" fontId="96" fillId="50" borderId="3" xfId="13" applyFont="1" applyFill="1" applyBorder="1" applyAlignment="1">
      <alignment horizontal="right" vertical="center" wrapText="1"/>
    </xf>
    <xf numFmtId="42" fontId="96" fillId="0" borderId="3" xfId="13" applyFont="1" applyBorder="1" applyAlignment="1">
      <alignment horizontal="right" vertical="center" wrapText="1"/>
    </xf>
    <xf numFmtId="0" fontId="97" fillId="51" borderId="3" xfId="0" applyFont="1" applyFill="1" applyBorder="1" applyAlignment="1">
      <alignment horizontal="center" vertical="center" wrapText="1"/>
    </xf>
    <xf numFmtId="42" fontId="94" fillId="0" borderId="3" xfId="13" applyFont="1" applyBorder="1" applyAlignment="1">
      <alignment horizontal="right" vertical="center"/>
    </xf>
    <xf numFmtId="0" fontId="94" fillId="0" borderId="73" xfId="0" applyFont="1" applyBorder="1" applyAlignment="1">
      <alignment horizontal="left" vertical="center"/>
    </xf>
    <xf numFmtId="0" fontId="95" fillId="0" borderId="73" xfId="6" applyNumberFormat="1" applyFont="1" applyBorder="1" applyAlignment="1">
      <alignment horizontal="center" vertical="center"/>
    </xf>
    <xf numFmtId="0" fontId="95" fillId="0" borderId="73" xfId="0" applyFont="1" applyBorder="1" applyAlignment="1">
      <alignment horizontal="left" vertical="center"/>
    </xf>
    <xf numFmtId="1" fontId="97" fillId="0" borderId="73" xfId="0" applyNumberFormat="1" applyFont="1" applyBorder="1" applyAlignment="1">
      <alignment horizontal="center" vertical="center"/>
    </xf>
    <xf numFmtId="42" fontId="95" fillId="0" borderId="73" xfId="0" applyNumberFormat="1" applyFont="1" applyBorder="1" applyAlignment="1">
      <alignment horizontal="right" vertical="center"/>
    </xf>
    <xf numFmtId="1" fontId="94" fillId="0" borderId="73" xfId="0" applyNumberFormat="1" applyFont="1" applyBorder="1" applyAlignment="1">
      <alignment horizontal="center" vertical="center"/>
    </xf>
    <xf numFmtId="0" fontId="97" fillId="0" borderId="73" xfId="0" applyFont="1" applyBorder="1" applyAlignment="1">
      <alignment horizontal="left" vertical="center"/>
    </xf>
    <xf numFmtId="0" fontId="97" fillId="51" borderId="73" xfId="0" applyFont="1" applyFill="1" applyBorder="1" applyAlignment="1">
      <alignment horizontal="center" vertical="center"/>
    </xf>
    <xf numFmtId="0" fontId="94" fillId="0" borderId="14" xfId="0" applyFont="1" applyBorder="1" applyAlignment="1">
      <alignment horizontal="left" vertical="center"/>
    </xf>
    <xf numFmtId="0" fontId="95" fillId="0" borderId="14" xfId="6" applyNumberFormat="1" applyFont="1" applyBorder="1" applyAlignment="1">
      <alignment horizontal="center" vertical="center"/>
    </xf>
    <xf numFmtId="1" fontId="94" fillId="0" borderId="14" xfId="0" applyNumberFormat="1" applyFont="1" applyBorder="1" applyAlignment="1">
      <alignment horizontal="center" vertical="center"/>
    </xf>
    <xf numFmtId="42" fontId="95" fillId="0" borderId="14" xfId="0" applyNumberFormat="1" applyFont="1" applyBorder="1" applyAlignment="1">
      <alignment horizontal="right" vertical="center"/>
    </xf>
    <xf numFmtId="1" fontId="96" fillId="0" borderId="73" xfId="0" applyNumberFormat="1" applyFont="1" applyBorder="1" applyAlignment="1">
      <alignment horizontal="center" vertical="center"/>
    </xf>
    <xf numFmtId="0" fontId="94" fillId="0" borderId="4" xfId="0" applyFont="1" applyBorder="1" applyAlignment="1">
      <alignment horizontal="left" vertical="center"/>
    </xf>
    <xf numFmtId="1" fontId="95" fillId="0" borderId="73" xfId="0" applyNumberFormat="1" applyFont="1" applyBorder="1" applyAlignment="1">
      <alignment horizontal="center" vertical="center"/>
    </xf>
    <xf numFmtId="0" fontId="96" fillId="0" borderId="73" xfId="0" applyFont="1" applyBorder="1" applyAlignment="1">
      <alignment horizontal="center" vertical="center"/>
    </xf>
    <xf numFmtId="0" fontId="94" fillId="50" borderId="3" xfId="0" applyFont="1" applyFill="1" applyBorder="1" applyAlignment="1">
      <alignment horizontal="left" vertical="top"/>
    </xf>
    <xf numFmtId="0" fontId="96" fillId="0" borderId="72" xfId="0" applyFont="1" applyBorder="1" applyAlignment="1">
      <alignment horizontal="center" vertical="center"/>
    </xf>
    <xf numFmtId="0" fontId="95" fillId="0" borderId="3" xfId="0" applyFont="1" applyBorder="1" applyAlignment="1">
      <alignment horizontal="center" vertical="center" wrapText="1"/>
    </xf>
    <xf numFmtId="0" fontId="97" fillId="0" borderId="3" xfId="0" applyFont="1" applyBorder="1" applyAlignment="1">
      <alignment horizontal="center" vertical="center"/>
    </xf>
    <xf numFmtId="0" fontId="99" fillId="54" borderId="74" xfId="0" applyFont="1" applyFill="1" applyBorder="1" applyAlignment="1">
      <alignment horizontal="center" vertical="center"/>
    </xf>
    <xf numFmtId="0" fontId="99" fillId="55" borderId="74" xfId="0" applyFont="1" applyFill="1" applyBorder="1" applyAlignment="1">
      <alignment horizontal="center" vertical="center"/>
    </xf>
    <xf numFmtId="49" fontId="99" fillId="54" borderId="74" xfId="0" applyNumberFormat="1" applyFont="1" applyFill="1" applyBorder="1" applyAlignment="1">
      <alignment horizontal="center" vertical="center"/>
    </xf>
    <xf numFmtId="42" fontId="99" fillId="55" borderId="74" xfId="0" applyNumberFormat="1" applyFont="1" applyFill="1" applyBorder="1" applyAlignment="1">
      <alignment horizontal="center" vertical="center"/>
    </xf>
    <xf numFmtId="0" fontId="99" fillId="0" borderId="74" xfId="0" applyFont="1" applyBorder="1" applyAlignment="1">
      <alignment horizontal="center" vertical="center"/>
    </xf>
    <xf numFmtId="0" fontId="99" fillId="55" borderId="3" xfId="0" applyFont="1" applyFill="1" applyBorder="1" applyAlignment="1">
      <alignment horizontal="center" vertical="center"/>
    </xf>
    <xf numFmtId="0" fontId="36" fillId="15" borderId="4" xfId="17" applyFont="1" applyFill="1" applyBorder="1" applyAlignment="1">
      <alignment horizontal="center" vertical="center" wrapText="1"/>
    </xf>
    <xf numFmtId="0" fontId="36" fillId="15" borderId="18" xfId="17" applyFont="1" applyFill="1" applyBorder="1" applyAlignment="1">
      <alignment horizontal="center" vertical="center" wrapText="1"/>
    </xf>
    <xf numFmtId="0" fontId="1" fillId="25" borderId="3" xfId="2" applyFont="1" applyFill="1" applyBorder="1" applyAlignment="1">
      <alignment horizontal="center" vertical="center" wrapText="1"/>
    </xf>
    <xf numFmtId="0" fontId="38" fillId="25" borderId="56" xfId="2" applyFont="1" applyFill="1" applyBorder="1" applyAlignment="1">
      <alignment horizontal="center" vertical="center" wrapText="1"/>
    </xf>
    <xf numFmtId="0" fontId="38" fillId="25" borderId="0" xfId="2" applyFont="1" applyFill="1" applyAlignment="1">
      <alignment horizontal="center" vertical="center" wrapText="1"/>
    </xf>
    <xf numFmtId="14" fontId="38" fillId="25" borderId="47" xfId="2" applyNumberFormat="1" applyFont="1" applyFill="1" applyBorder="1" applyAlignment="1">
      <alignment horizontal="center" vertical="center" wrapText="1"/>
    </xf>
    <xf numFmtId="0" fontId="1" fillId="25" borderId="19" xfId="2" applyFont="1" applyFill="1" applyBorder="1" applyAlignment="1">
      <alignment horizontal="center" vertical="center" wrapText="1"/>
    </xf>
    <xf numFmtId="0" fontId="35" fillId="26" borderId="27" xfId="0" applyFont="1" applyFill="1" applyBorder="1" applyAlignment="1">
      <alignment vertical="center" wrapText="1"/>
    </xf>
    <xf numFmtId="0" fontId="35" fillId="26" borderId="29" xfId="0" applyFont="1" applyFill="1" applyBorder="1" applyAlignment="1">
      <alignment vertical="center" wrapText="1"/>
    </xf>
    <xf numFmtId="0" fontId="59" fillId="29" borderId="0" xfId="4" applyFont="1" applyFill="1" applyAlignment="1">
      <alignment horizontal="center" vertical="center"/>
    </xf>
    <xf numFmtId="9" fontId="59" fillId="0" borderId="50" xfId="4" applyNumberFormat="1" applyFont="1" applyBorder="1" applyAlignment="1">
      <alignment horizontal="center" vertical="center"/>
    </xf>
    <xf numFmtId="9" fontId="60" fillId="29" borderId="48" xfId="4" applyNumberFormat="1" applyFont="1" applyFill="1" applyBorder="1" applyAlignment="1">
      <alignment horizontal="center" vertical="center"/>
    </xf>
    <xf numFmtId="9" fontId="59" fillId="29" borderId="19" xfId="4" applyNumberFormat="1" applyFont="1" applyFill="1" applyBorder="1" applyAlignment="1">
      <alignment horizontal="center" vertical="center"/>
    </xf>
    <xf numFmtId="9" fontId="59" fillId="29" borderId="47" xfId="4" applyNumberFormat="1" applyFont="1" applyFill="1" applyBorder="1" applyAlignment="1">
      <alignment horizontal="center" vertical="center"/>
    </xf>
    <xf numFmtId="0" fontId="58" fillId="0" borderId="0" xfId="4" applyFont="1" applyAlignment="1">
      <alignment horizontal="left" vertical="center" wrapText="1"/>
    </xf>
    <xf numFmtId="0" fontId="36" fillId="23" borderId="0" xfId="10" applyFont="1" applyFill="1" applyAlignment="1">
      <alignment horizontal="left" vertical="center" wrapText="1"/>
    </xf>
    <xf numFmtId="0" fontId="36" fillId="15" borderId="0" xfId="4" applyFont="1" applyFill="1" applyAlignment="1">
      <alignment horizontal="left" vertical="center" wrapText="1"/>
    </xf>
    <xf numFmtId="0" fontId="37" fillId="47" borderId="44" xfId="4" applyFont="1" applyFill="1" applyBorder="1" applyAlignment="1">
      <alignment horizontal="center" vertical="center" wrapText="1"/>
    </xf>
    <xf numFmtId="0" fontId="37" fillId="47" borderId="59" xfId="4" applyFont="1" applyFill="1" applyBorder="1" applyAlignment="1">
      <alignment horizontal="center" vertical="center" wrapText="1"/>
    </xf>
    <xf numFmtId="0" fontId="37" fillId="47" borderId="0" xfId="4" applyFont="1" applyFill="1" applyAlignment="1">
      <alignment horizontal="center" vertical="center" wrapText="1"/>
    </xf>
    <xf numFmtId="0" fontId="37" fillId="47" borderId="48" xfId="4" applyFont="1" applyFill="1" applyBorder="1" applyAlignment="1">
      <alignment horizontal="center" vertical="center" wrapText="1"/>
    </xf>
    <xf numFmtId="0" fontId="37" fillId="47" borderId="19" xfId="4" applyFont="1" applyFill="1" applyBorder="1" applyAlignment="1">
      <alignment horizontal="center" vertical="center" wrapText="1"/>
    </xf>
    <xf numFmtId="0" fontId="37" fillId="47" borderId="34" xfId="4" applyFont="1" applyFill="1" applyBorder="1" applyAlignment="1">
      <alignment horizontal="center" vertical="center" wrapText="1"/>
    </xf>
    <xf numFmtId="0" fontId="37" fillId="47" borderId="52" xfId="4" applyFont="1" applyFill="1" applyBorder="1" applyAlignment="1">
      <alignment horizontal="center" vertical="center" wrapText="1"/>
    </xf>
    <xf numFmtId="0" fontId="37" fillId="47" borderId="61" xfId="4" applyFont="1" applyFill="1" applyBorder="1" applyAlignment="1">
      <alignment horizontal="center" vertical="center" wrapText="1"/>
    </xf>
    <xf numFmtId="0" fontId="37" fillId="47" borderId="43" xfId="4" applyFont="1" applyFill="1" applyBorder="1" applyAlignment="1">
      <alignment horizontal="center" vertical="center" wrapText="1"/>
    </xf>
    <xf numFmtId="0" fontId="64" fillId="47" borderId="61" xfId="4" applyFont="1" applyFill="1" applyBorder="1" applyAlignment="1">
      <alignment horizontal="center" vertical="center" wrapText="1"/>
    </xf>
    <xf numFmtId="0" fontId="64" fillId="47" borderId="52" xfId="4" applyFont="1" applyFill="1" applyBorder="1" applyAlignment="1">
      <alignment horizontal="center" vertical="center" wrapText="1"/>
    </xf>
    <xf numFmtId="0" fontId="37" fillId="47" borderId="35" xfId="4" applyFont="1" applyFill="1" applyBorder="1" applyAlignment="1">
      <alignment horizontal="center" vertical="center" wrapText="1"/>
    </xf>
    <xf numFmtId="0" fontId="64" fillId="47" borderId="30" xfId="4" applyFont="1" applyFill="1" applyBorder="1" applyAlignment="1">
      <alignment horizontal="center" vertical="center" wrapText="1"/>
    </xf>
    <xf numFmtId="0" fontId="37" fillId="47" borderId="31" xfId="4" applyFont="1" applyFill="1" applyBorder="1" applyAlignment="1">
      <alignment horizontal="center" vertical="center" wrapText="1"/>
    </xf>
    <xf numFmtId="0" fontId="37" fillId="47" borderId="38" xfId="4" applyFont="1" applyFill="1" applyBorder="1" applyAlignment="1">
      <alignment horizontal="center" vertical="center" wrapText="1"/>
    </xf>
    <xf numFmtId="0" fontId="64" fillId="47" borderId="58" xfId="4" applyFont="1" applyFill="1" applyBorder="1" applyAlignment="1">
      <alignment horizontal="center" vertical="center" wrapText="1"/>
    </xf>
    <xf numFmtId="0" fontId="37" fillId="47" borderId="58" xfId="4" applyFont="1" applyFill="1" applyBorder="1" applyAlignment="1">
      <alignment horizontal="center" vertical="center" wrapText="1"/>
    </xf>
    <xf numFmtId="0" fontId="42" fillId="46" borderId="3" xfId="0" applyFont="1" applyFill="1" applyBorder="1" applyAlignment="1">
      <alignment horizontal="center" vertical="center" wrapText="1"/>
    </xf>
    <xf numFmtId="0" fontId="40" fillId="17" borderId="19" xfId="0" applyFont="1" applyFill="1" applyBorder="1" applyAlignment="1">
      <alignment horizontal="right" vertical="center"/>
    </xf>
    <xf numFmtId="0" fontId="34" fillId="46" borderId="0" xfId="4" applyFont="1" applyFill="1" applyAlignment="1">
      <alignment horizontal="center" vertical="center" wrapText="1"/>
    </xf>
    <xf numFmtId="0" fontId="35" fillId="47" borderId="19" xfId="4" applyFont="1" applyFill="1" applyBorder="1" applyAlignment="1">
      <alignment horizontal="center" vertical="center" wrapText="1"/>
    </xf>
    <xf numFmtId="0" fontId="1" fillId="0" borderId="0" xfId="4" applyFont="1"/>
    <xf numFmtId="0" fontId="27" fillId="2" borderId="14" xfId="0" applyFont="1" applyFill="1" applyBorder="1" applyAlignment="1">
      <alignment horizontal="center" vertical="center" wrapText="1"/>
    </xf>
    <xf numFmtId="0" fontId="55" fillId="0" borderId="35" xfId="4" applyFont="1" applyBorder="1" applyAlignment="1">
      <alignment horizontal="left"/>
    </xf>
    <xf numFmtId="0" fontId="56" fillId="12" borderId="27" xfId="4" applyFont="1" applyFill="1" applyBorder="1" applyAlignment="1">
      <alignment horizontal="center" vertical="center" wrapText="1"/>
    </xf>
    <xf numFmtId="0" fontId="56" fillId="12" borderId="36" xfId="4" applyFont="1" applyFill="1" applyBorder="1" applyAlignment="1">
      <alignment horizontal="center" vertical="center" wrapText="1"/>
    </xf>
    <xf numFmtId="0" fontId="56" fillId="12" borderId="26" xfId="4" applyFont="1" applyFill="1" applyBorder="1" applyAlignment="1">
      <alignment horizontal="center" vertical="center" wrapText="1"/>
    </xf>
    <xf numFmtId="0" fontId="56" fillId="12" borderId="29" xfId="4" applyFont="1" applyFill="1" applyBorder="1" applyAlignment="1">
      <alignment horizontal="center" vertical="center" wrapText="1"/>
    </xf>
    <xf numFmtId="0" fontId="56" fillId="12" borderId="35" xfId="4" applyFont="1" applyFill="1" applyBorder="1" applyAlignment="1">
      <alignment horizontal="center" vertical="center" wrapText="1"/>
    </xf>
    <xf numFmtId="0" fontId="56" fillId="12" borderId="28" xfId="4" applyFont="1" applyFill="1" applyBorder="1" applyAlignment="1">
      <alignment horizontal="center" vertical="center" wrapText="1"/>
    </xf>
    <xf numFmtId="0" fontId="56" fillId="12" borderId="15" xfId="4" applyFont="1" applyFill="1" applyBorder="1" applyAlignment="1">
      <alignment horizontal="center" vertical="center" wrapText="1"/>
    </xf>
    <xf numFmtId="0" fontId="56" fillId="12" borderId="37" xfId="4" applyFont="1" applyFill="1" applyBorder="1" applyAlignment="1">
      <alignment horizontal="center" vertical="center" wrapText="1"/>
    </xf>
    <xf numFmtId="0" fontId="56" fillId="12" borderId="14" xfId="4" applyFont="1" applyFill="1" applyBorder="1" applyAlignment="1">
      <alignment horizontal="center" vertical="center" wrapText="1"/>
    </xf>
    <xf numFmtId="14" fontId="57" fillId="0" borderId="15" xfId="4" applyNumberFormat="1" applyFont="1" applyBorder="1" applyAlignment="1">
      <alignment horizontal="center" vertical="center" wrapText="1"/>
    </xf>
    <xf numFmtId="14" fontId="57" fillId="0" borderId="37" xfId="4" applyNumberFormat="1" applyFont="1" applyBorder="1" applyAlignment="1">
      <alignment horizontal="center" vertical="center" wrapText="1"/>
    </xf>
    <xf numFmtId="14" fontId="57" fillId="0" borderId="14" xfId="4" applyNumberFormat="1" applyFont="1" applyBorder="1" applyAlignment="1">
      <alignment horizontal="center" vertical="center" wrapText="1"/>
    </xf>
    <xf numFmtId="0" fontId="57" fillId="0" borderId="15" xfId="4" applyFont="1" applyBorder="1" applyAlignment="1">
      <alignment horizontal="left" vertical="center" wrapText="1"/>
    </xf>
    <xf numFmtId="0" fontId="57" fillId="0" borderId="37" xfId="4" applyFont="1" applyBorder="1" applyAlignment="1">
      <alignment horizontal="left" vertical="center" wrapText="1"/>
    </xf>
    <xf numFmtId="0" fontId="57" fillId="0" borderId="14" xfId="4" applyFont="1" applyBorder="1" applyAlignment="1">
      <alignment horizontal="left" vertical="center" wrapText="1"/>
    </xf>
    <xf numFmtId="0" fontId="43" fillId="38" borderId="47" xfId="0" applyFont="1" applyFill="1" applyBorder="1" applyAlignment="1">
      <alignment horizontal="center" vertical="center" wrapText="1"/>
    </xf>
    <xf numFmtId="0" fontId="43" fillId="38" borderId="0" xfId="0" applyFont="1" applyFill="1" applyAlignment="1">
      <alignment horizontal="center" vertical="center" wrapText="1"/>
    </xf>
    <xf numFmtId="0" fontId="43" fillId="38" borderId="48" xfId="0" applyFont="1" applyFill="1" applyBorder="1" applyAlignment="1">
      <alignment horizontal="center" vertical="center" wrapText="1"/>
    </xf>
    <xf numFmtId="0" fontId="20" fillId="39" borderId="15" xfId="0" applyFont="1" applyFill="1" applyBorder="1" applyAlignment="1">
      <alignment horizontal="center"/>
    </xf>
    <xf numFmtId="0" fontId="20" fillId="39" borderId="37" xfId="0" applyFont="1" applyFill="1" applyBorder="1" applyAlignment="1">
      <alignment horizontal="center"/>
    </xf>
    <xf numFmtId="0" fontId="20" fillId="39" borderId="14" xfId="0" applyFont="1" applyFill="1" applyBorder="1" applyAlignment="1">
      <alignment horizontal="center"/>
    </xf>
    <xf numFmtId="0" fontId="0" fillId="0" borderId="3" xfId="0" applyBorder="1" applyAlignment="1">
      <alignment horizontal="center"/>
    </xf>
    <xf numFmtId="0" fontId="20" fillId="39" borderId="47" xfId="0" applyFont="1" applyFill="1" applyBorder="1" applyAlignment="1">
      <alignment horizontal="center"/>
    </xf>
    <xf numFmtId="0" fontId="20" fillId="39" borderId="0" xfId="0" applyFont="1" applyFill="1" applyAlignment="1">
      <alignment horizontal="center"/>
    </xf>
    <xf numFmtId="0" fontId="0" fillId="0" borderId="47" xfId="0" applyBorder="1" applyAlignment="1">
      <alignment horizontal="center"/>
    </xf>
    <xf numFmtId="0" fontId="0" fillId="0" borderId="0" xfId="0" applyAlignment="1">
      <alignment horizontal="center"/>
    </xf>
    <xf numFmtId="0" fontId="43" fillId="24" borderId="3" xfId="0" applyFont="1" applyFill="1" applyBorder="1" applyAlignment="1">
      <alignment horizontal="center" vertical="center"/>
    </xf>
    <xf numFmtId="0" fontId="43" fillId="33" borderId="0" xfId="0" applyFont="1" applyFill="1" applyAlignment="1">
      <alignment horizontal="center" vertical="center"/>
    </xf>
    <xf numFmtId="0" fontId="14" fillId="0" borderId="3" xfId="0" applyFont="1" applyBorder="1" applyAlignment="1">
      <alignment horizontal="center" vertical="center" wrapText="1"/>
    </xf>
    <xf numFmtId="0" fontId="73" fillId="0" borderId="9" xfId="0" applyFont="1" applyBorder="1" applyAlignment="1">
      <alignment horizontal="center" vertical="center" wrapText="1"/>
    </xf>
    <xf numFmtId="0" fontId="35" fillId="26" borderId="4" xfId="0" applyFont="1" applyFill="1" applyBorder="1" applyAlignment="1">
      <alignment horizontal="center" vertical="center" wrapText="1"/>
    </xf>
    <xf numFmtId="0" fontId="35" fillId="26" borderId="18" xfId="0" applyFont="1" applyFill="1" applyBorder="1" applyAlignment="1">
      <alignment horizontal="center" vertical="center" wrapText="1"/>
    </xf>
    <xf numFmtId="0" fontId="35" fillId="26" borderId="19" xfId="0" applyFont="1" applyFill="1" applyBorder="1" applyAlignment="1">
      <alignment horizontal="center" vertical="center" wrapText="1"/>
    </xf>
    <xf numFmtId="0" fontId="38" fillId="15" borderId="4" xfId="0" applyFont="1" applyFill="1" applyBorder="1" applyAlignment="1">
      <alignment horizontal="center" vertical="center" wrapText="1"/>
    </xf>
    <xf numFmtId="0" fontId="38" fillId="15" borderId="18" xfId="0" applyFont="1" applyFill="1" applyBorder="1" applyAlignment="1">
      <alignment horizontal="center" vertical="center" wrapText="1"/>
    </xf>
    <xf numFmtId="0" fontId="38" fillId="15" borderId="19" xfId="0" applyFont="1" applyFill="1" applyBorder="1" applyAlignment="1">
      <alignment horizontal="center" vertical="center" wrapText="1"/>
    </xf>
    <xf numFmtId="14" fontId="38" fillId="15" borderId="4" xfId="0" applyNumberFormat="1" applyFont="1" applyFill="1" applyBorder="1" applyAlignment="1">
      <alignment horizontal="center" vertical="center" wrapText="1"/>
    </xf>
    <xf numFmtId="14" fontId="38" fillId="15" borderId="19" xfId="0" applyNumberFormat="1" applyFont="1" applyFill="1" applyBorder="1" applyAlignment="1">
      <alignment horizontal="center" vertical="center" wrapText="1"/>
    </xf>
    <xf numFmtId="0" fontId="22" fillId="0" borderId="0" xfId="0" applyFont="1" applyAlignment="1">
      <alignment horizontal="right" vertical="center"/>
    </xf>
    <xf numFmtId="0" fontId="9" fillId="0" borderId="37" xfId="0" applyFont="1" applyBorder="1" applyAlignment="1">
      <alignment horizontal="right" vertical="center"/>
    </xf>
    <xf numFmtId="0" fontId="9" fillId="13" borderId="37" xfId="0" applyFont="1" applyFill="1" applyBorder="1" applyAlignment="1">
      <alignment horizontal="right" vertical="center"/>
    </xf>
    <xf numFmtId="0" fontId="37" fillId="16" borderId="4" xfId="0" applyFont="1" applyFill="1" applyBorder="1" applyAlignment="1">
      <alignment horizontal="center" vertical="center" wrapText="1"/>
    </xf>
    <xf numFmtId="0" fontId="37" fillId="16" borderId="18" xfId="0" applyFont="1" applyFill="1" applyBorder="1" applyAlignment="1">
      <alignment horizontal="center" vertical="center" wrapText="1"/>
    </xf>
    <xf numFmtId="0" fontId="36" fillId="15" borderId="4" xfId="0" applyFont="1" applyFill="1" applyBorder="1" applyAlignment="1">
      <alignment horizontal="center" vertical="center" wrapText="1"/>
    </xf>
    <xf numFmtId="0" fontId="36" fillId="15" borderId="18" xfId="0" applyFont="1" applyFill="1" applyBorder="1" applyAlignment="1">
      <alignment horizontal="center" vertical="center" wrapText="1"/>
    </xf>
    <xf numFmtId="0" fontId="73" fillId="0" borderId="3" xfId="0" applyFont="1" applyBorder="1" applyAlignment="1">
      <alignment horizontal="justify" vertical="center" wrapText="1"/>
    </xf>
    <xf numFmtId="0" fontId="73" fillId="0" borderId="6" xfId="0" applyFont="1" applyBorder="1" applyAlignment="1">
      <alignment horizontal="justify" vertical="center" wrapText="1"/>
    </xf>
    <xf numFmtId="0" fontId="73" fillId="0" borderId="18" xfId="0" applyFont="1" applyBorder="1" applyAlignment="1">
      <alignment horizontal="center" vertical="center" wrapText="1"/>
    </xf>
    <xf numFmtId="0" fontId="73" fillId="0" borderId="3" xfId="0" applyFont="1" applyBorder="1" applyAlignment="1">
      <alignment horizontal="center" vertical="center" wrapText="1"/>
    </xf>
    <xf numFmtId="0" fontId="42" fillId="46" borderId="0" xfId="0" applyFont="1" applyFill="1" applyAlignment="1">
      <alignment horizontal="center" vertical="center" wrapText="1"/>
    </xf>
    <xf numFmtId="0" fontId="42" fillId="46" borderId="48" xfId="0" applyFont="1" applyFill="1" applyBorder="1" applyAlignment="1">
      <alignment horizontal="center" vertical="center" wrapText="1"/>
    </xf>
    <xf numFmtId="0" fontId="42" fillId="47" borderId="46" xfId="0" applyFont="1" applyFill="1" applyBorder="1" applyAlignment="1">
      <alignment horizontal="center" vertical="center"/>
    </xf>
    <xf numFmtId="0" fontId="42" fillId="47" borderId="40" xfId="0" applyFont="1" applyFill="1" applyBorder="1" applyAlignment="1">
      <alignment horizontal="center" vertical="center"/>
    </xf>
    <xf numFmtId="0" fontId="42" fillId="47" borderId="49" xfId="0" applyFont="1" applyFill="1" applyBorder="1" applyAlignment="1">
      <alignment horizontal="center" vertical="center"/>
    </xf>
    <xf numFmtId="0" fontId="35" fillId="47" borderId="24" xfId="0" applyFont="1" applyFill="1" applyBorder="1" applyAlignment="1">
      <alignment horizontal="center" vertical="center" wrapText="1"/>
    </xf>
    <xf numFmtId="0" fontId="35" fillId="47" borderId="18" xfId="0" applyFont="1" applyFill="1" applyBorder="1" applyAlignment="1">
      <alignment horizontal="center" vertical="center" wrapText="1"/>
    </xf>
    <xf numFmtId="0" fontId="35" fillId="47" borderId="4" xfId="0" applyFont="1" applyFill="1" applyBorder="1" applyAlignment="1">
      <alignment horizontal="center" vertical="center" wrapText="1"/>
    </xf>
    <xf numFmtId="0" fontId="36" fillId="15" borderId="19" xfId="0" applyFont="1" applyFill="1" applyBorder="1" applyAlignment="1">
      <alignment horizontal="center" vertical="center" wrapText="1"/>
    </xf>
    <xf numFmtId="0" fontId="37" fillId="16" borderId="19" xfId="0" applyFont="1" applyFill="1" applyBorder="1" applyAlignment="1">
      <alignment horizontal="center" vertical="center" wrapText="1"/>
    </xf>
    <xf numFmtId="0" fontId="36" fillId="25" borderId="4" xfId="0" applyFont="1" applyFill="1" applyBorder="1" applyAlignment="1">
      <alignment horizontal="center" vertical="center" wrapText="1"/>
    </xf>
    <xf numFmtId="0" fontId="36" fillId="25" borderId="18" xfId="0" applyFont="1" applyFill="1" applyBorder="1" applyAlignment="1">
      <alignment horizontal="center" vertical="center" wrapText="1"/>
    </xf>
    <xf numFmtId="0" fontId="38" fillId="15" borderId="3" xfId="0" applyFont="1" applyFill="1" applyBorder="1" applyAlignment="1">
      <alignment horizontal="center" vertical="center" wrapText="1"/>
    </xf>
    <xf numFmtId="0" fontId="36" fillId="15" borderId="3" xfId="0" applyFont="1" applyFill="1" applyBorder="1" applyAlignment="1">
      <alignment horizontal="center" vertical="center" wrapText="1"/>
    </xf>
    <xf numFmtId="0" fontId="37" fillId="16" borderId="3" xfId="0" applyFont="1" applyFill="1" applyBorder="1" applyAlignment="1">
      <alignment horizontal="center" vertical="center" wrapText="1"/>
    </xf>
    <xf numFmtId="0" fontId="41" fillId="0" borderId="0" xfId="0" applyFont="1" applyAlignment="1">
      <alignment horizontal="center" vertical="center" textRotation="45" wrapText="1"/>
    </xf>
    <xf numFmtId="0" fontId="40" fillId="41" borderId="3" xfId="0" applyFont="1" applyFill="1" applyBorder="1" applyAlignment="1">
      <alignment horizontal="right" vertical="center" wrapText="1"/>
    </xf>
    <xf numFmtId="0" fontId="14" fillId="0" borderId="27"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0" xfId="0" applyFont="1" applyAlignment="1">
      <alignment horizontal="center" vertical="center" wrapText="1"/>
    </xf>
    <xf numFmtId="0" fontId="14" fillId="0" borderId="48"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5" xfId="0" applyFont="1" applyBorder="1" applyAlignment="1">
      <alignment horizontal="center" vertical="center" wrapText="1"/>
    </xf>
    <xf numFmtId="0" fontId="14" fillId="0" borderId="28" xfId="0" applyFont="1" applyBorder="1" applyAlignment="1">
      <alignment horizontal="center" vertical="center" wrapText="1"/>
    </xf>
    <xf numFmtId="0" fontId="44" fillId="25" borderId="3" xfId="0" applyFont="1" applyFill="1" applyBorder="1" applyAlignment="1">
      <alignment horizontal="center" vertical="center"/>
    </xf>
    <xf numFmtId="0" fontId="45" fillId="43" borderId="36" xfId="3" applyFont="1" applyFill="1" applyBorder="1" applyAlignment="1">
      <alignment horizontal="center" vertical="center" textRotation="90"/>
    </xf>
    <xf numFmtId="0" fontId="45" fillId="43" borderId="0" xfId="3" applyFont="1" applyFill="1" applyAlignment="1">
      <alignment horizontal="center" vertical="center" textRotation="90"/>
    </xf>
    <xf numFmtId="0" fontId="40" fillId="41" borderId="27" xfId="0" applyFont="1" applyFill="1" applyBorder="1" applyAlignment="1">
      <alignment horizontal="right" vertical="center" wrapText="1"/>
    </xf>
    <xf numFmtId="0" fontId="40" fillId="41" borderId="36" xfId="0" applyFont="1" applyFill="1" applyBorder="1" applyAlignment="1">
      <alignment horizontal="right" vertical="center" wrapText="1"/>
    </xf>
    <xf numFmtId="0" fontId="40" fillId="41" borderId="26" xfId="0" applyFont="1" applyFill="1" applyBorder="1" applyAlignment="1">
      <alignment horizontal="right" vertical="center" wrapText="1"/>
    </xf>
    <xf numFmtId="0" fontId="40" fillId="41" borderId="47" xfId="0" applyFont="1" applyFill="1" applyBorder="1" applyAlignment="1">
      <alignment horizontal="right" vertical="center" wrapText="1"/>
    </xf>
    <xf numFmtId="0" fontId="40" fillId="41" borderId="0" xfId="0" applyFont="1" applyFill="1" applyAlignment="1">
      <alignment horizontal="right" vertical="center" wrapText="1"/>
    </xf>
    <xf numFmtId="0" fontId="40" fillId="41" borderId="48" xfId="0" applyFont="1" applyFill="1" applyBorder="1" applyAlignment="1">
      <alignment horizontal="right" vertical="center" wrapText="1"/>
    </xf>
    <xf numFmtId="0" fontId="40" fillId="41" borderId="29" xfId="0" applyFont="1" applyFill="1" applyBorder="1" applyAlignment="1">
      <alignment horizontal="right" vertical="center" wrapText="1"/>
    </xf>
    <xf numFmtId="0" fontId="40" fillId="41" borderId="35" xfId="0" applyFont="1" applyFill="1" applyBorder="1" applyAlignment="1">
      <alignment horizontal="right" vertical="center" wrapText="1"/>
    </xf>
    <xf numFmtId="0" fontId="40" fillId="41" borderId="28" xfId="0" applyFont="1" applyFill="1" applyBorder="1" applyAlignment="1">
      <alignment horizontal="right" vertical="center" wrapText="1"/>
    </xf>
    <xf numFmtId="9" fontId="40" fillId="5" borderId="27" xfId="0" applyNumberFormat="1" applyFont="1" applyFill="1" applyBorder="1" applyAlignment="1">
      <alignment horizontal="center" vertical="center" wrapText="1"/>
    </xf>
    <xf numFmtId="9" fontId="40" fillId="5" borderId="36" xfId="0" applyNumberFormat="1" applyFont="1" applyFill="1" applyBorder="1" applyAlignment="1">
      <alignment horizontal="center" vertical="center" wrapText="1"/>
    </xf>
    <xf numFmtId="9" fontId="40" fillId="5" borderId="26" xfId="0" applyNumberFormat="1" applyFont="1" applyFill="1" applyBorder="1" applyAlignment="1">
      <alignment horizontal="center" vertical="center" wrapText="1"/>
    </xf>
    <xf numFmtId="9" fontId="40" fillId="5" borderId="47" xfId="0" applyNumberFormat="1" applyFont="1" applyFill="1" applyBorder="1" applyAlignment="1">
      <alignment horizontal="center" vertical="center" wrapText="1"/>
    </xf>
    <xf numFmtId="9" fontId="40" fillId="5" borderId="0" xfId="0" applyNumberFormat="1" applyFont="1" applyFill="1" applyAlignment="1">
      <alignment horizontal="center" vertical="center" wrapText="1"/>
    </xf>
    <xf numFmtId="9" fontId="40" fillId="5" borderId="48" xfId="0" applyNumberFormat="1" applyFont="1" applyFill="1" applyBorder="1" applyAlignment="1">
      <alignment horizontal="center" vertical="center" wrapText="1"/>
    </xf>
    <xf numFmtId="9" fontId="40" fillId="5" borderId="29" xfId="0" applyNumberFormat="1" applyFont="1" applyFill="1" applyBorder="1" applyAlignment="1">
      <alignment horizontal="center" vertical="center" wrapText="1"/>
    </xf>
    <xf numFmtId="9" fontId="40" fillId="5" borderId="35" xfId="0" applyNumberFormat="1" applyFont="1" applyFill="1" applyBorder="1" applyAlignment="1">
      <alignment horizontal="center" vertical="center" wrapText="1"/>
    </xf>
    <xf numFmtId="9" fontId="40" fillId="5" borderId="28" xfId="0" applyNumberFormat="1" applyFont="1" applyFill="1" applyBorder="1" applyAlignment="1">
      <alignment horizontal="center" vertical="center" wrapText="1"/>
    </xf>
    <xf numFmtId="9" fontId="44" fillId="25" borderId="4" xfId="1" applyFont="1" applyFill="1" applyBorder="1" applyAlignment="1">
      <alignment horizontal="center" vertical="center"/>
    </xf>
    <xf numFmtId="9" fontId="44" fillId="25" borderId="19" xfId="1" applyFont="1" applyFill="1" applyBorder="1" applyAlignment="1">
      <alignment horizontal="center" vertical="center"/>
    </xf>
    <xf numFmtId="9" fontId="44" fillId="25" borderId="34" xfId="1" applyFont="1" applyFill="1" applyBorder="1" applyAlignment="1">
      <alignment horizontal="center" vertical="center"/>
    </xf>
    <xf numFmtId="9" fontId="40" fillId="5" borderId="24" xfId="0" applyNumberFormat="1" applyFont="1" applyFill="1" applyBorder="1" applyAlignment="1">
      <alignment horizontal="center" vertical="center" wrapText="1"/>
    </xf>
    <xf numFmtId="9" fontId="40" fillId="5" borderId="19" xfId="0" applyNumberFormat="1" applyFont="1" applyFill="1" applyBorder="1" applyAlignment="1">
      <alignment horizontal="center" vertical="center" wrapText="1"/>
    </xf>
    <xf numFmtId="9" fontId="40" fillId="5" borderId="34" xfId="0" applyNumberFormat="1" applyFont="1" applyFill="1" applyBorder="1" applyAlignment="1">
      <alignment horizontal="center" vertical="center" wrapText="1"/>
    </xf>
    <xf numFmtId="9" fontId="44" fillId="25" borderId="27" xfId="1" applyFont="1" applyFill="1" applyBorder="1" applyAlignment="1">
      <alignment horizontal="left" vertical="center"/>
    </xf>
    <xf numFmtId="9" fontId="44" fillId="25" borderId="47" xfId="1" applyFont="1" applyFill="1" applyBorder="1" applyAlignment="1">
      <alignment horizontal="left" vertical="center"/>
    </xf>
    <xf numFmtId="9" fontId="44" fillId="25" borderId="43" xfId="1" applyFont="1" applyFill="1" applyBorder="1" applyAlignment="1">
      <alignment horizontal="left" vertical="center"/>
    </xf>
    <xf numFmtId="0" fontId="73" fillId="0" borderId="10" xfId="0" applyFont="1" applyBorder="1" applyAlignment="1">
      <alignment horizontal="justify" vertical="center" wrapText="1"/>
    </xf>
    <xf numFmtId="0" fontId="40" fillId="40" borderId="5" xfId="0" applyFont="1" applyFill="1" applyBorder="1" applyAlignment="1">
      <alignment horizontal="center" vertical="center" wrapText="1"/>
    </xf>
    <xf numFmtId="0" fontId="40" fillId="40" borderId="6" xfId="0" applyFont="1" applyFill="1" applyBorder="1" applyAlignment="1">
      <alignment horizontal="center" vertical="center" wrapText="1"/>
    </xf>
    <xf numFmtId="0" fontId="40" fillId="40" borderId="8" xfId="0" applyFont="1" applyFill="1" applyBorder="1" applyAlignment="1">
      <alignment horizontal="center" vertical="center" wrapText="1"/>
    </xf>
    <xf numFmtId="0" fontId="40" fillId="40" borderId="12" xfId="0" applyFont="1" applyFill="1" applyBorder="1" applyAlignment="1">
      <alignment horizontal="center" vertical="center" wrapText="1"/>
    </xf>
    <xf numFmtId="0" fontId="42" fillId="42" borderId="54" xfId="0" applyFont="1" applyFill="1" applyBorder="1" applyAlignment="1">
      <alignment horizontal="center" vertical="center"/>
    </xf>
    <xf numFmtId="0" fontId="42" fillId="42" borderId="35" xfId="0" applyFont="1" applyFill="1" applyBorder="1" applyAlignment="1">
      <alignment horizontal="center" vertical="center"/>
    </xf>
    <xf numFmtId="0" fontId="42" fillId="42" borderId="55" xfId="0" applyFont="1" applyFill="1" applyBorder="1" applyAlignment="1">
      <alignment horizontal="center" vertical="center"/>
    </xf>
    <xf numFmtId="0" fontId="42" fillId="42" borderId="44" xfId="0" applyFont="1" applyFill="1" applyBorder="1" applyAlignment="1">
      <alignment horizontal="center" vertical="center"/>
    </xf>
    <xf numFmtId="0" fontId="42" fillId="42" borderId="0" xfId="0" applyFont="1" applyFill="1" applyAlignment="1">
      <alignment horizontal="center" vertical="center"/>
    </xf>
    <xf numFmtId="49" fontId="45" fillId="43" borderId="36" xfId="3" applyNumberFormat="1" applyFont="1" applyFill="1" applyBorder="1" applyAlignment="1">
      <alignment horizontal="center" vertical="center" textRotation="90"/>
    </xf>
    <xf numFmtId="49" fontId="45" fillId="43" borderId="0" xfId="3" applyNumberFormat="1" applyFont="1" applyFill="1" applyAlignment="1">
      <alignment horizontal="center" vertical="center" textRotation="90"/>
    </xf>
    <xf numFmtId="0" fontId="40" fillId="40" borderId="7" xfId="0" applyFont="1" applyFill="1" applyBorder="1" applyAlignment="1">
      <alignment horizontal="center" vertical="center" wrapText="1"/>
    </xf>
    <xf numFmtId="0" fontId="40" fillId="40" borderId="11" xfId="0" applyFont="1" applyFill="1" applyBorder="1" applyAlignment="1">
      <alignment horizontal="center" vertical="center" wrapText="1"/>
    </xf>
    <xf numFmtId="0" fontId="8" fillId="40" borderId="3" xfId="0" applyFont="1" applyFill="1" applyBorder="1" applyAlignment="1">
      <alignment horizontal="center" vertical="center"/>
    </xf>
    <xf numFmtId="0" fontId="20" fillId="40" borderId="3" xfId="0" applyFont="1" applyFill="1" applyBorder="1" applyAlignment="1">
      <alignment horizontal="center" vertical="center" wrapText="1"/>
    </xf>
    <xf numFmtId="0" fontId="11" fillId="40" borderId="3" xfId="0" applyFont="1" applyFill="1" applyBorder="1" applyAlignment="1">
      <alignment horizontal="center" vertical="center" wrapText="1"/>
    </xf>
    <xf numFmtId="0" fontId="43" fillId="38" borderId="3" xfId="0" applyFont="1" applyFill="1" applyBorder="1" applyAlignment="1">
      <alignment horizontal="left" vertical="center"/>
    </xf>
    <xf numFmtId="0" fontId="73" fillId="0" borderId="18" xfId="0" applyFont="1" applyBorder="1" applyAlignment="1">
      <alignment horizontal="justify" vertical="center" wrapText="1"/>
    </xf>
    <xf numFmtId="0" fontId="73" fillId="0" borderId="30" xfId="0" applyFont="1" applyBorder="1" applyAlignment="1">
      <alignment horizontal="center" vertical="center" wrapText="1"/>
    </xf>
    <xf numFmtId="0" fontId="73" fillId="0" borderId="9" xfId="0" applyFont="1" applyBorder="1" applyAlignment="1">
      <alignment horizontal="center" vertical="center"/>
    </xf>
    <xf numFmtId="0" fontId="73" fillId="0" borderId="9" xfId="0" applyFont="1" applyBorder="1" applyAlignment="1">
      <alignment horizontal="left" vertical="center" wrapText="1"/>
    </xf>
    <xf numFmtId="0" fontId="73" fillId="0" borderId="11" xfId="0" applyFont="1" applyBorder="1" applyAlignment="1">
      <alignment horizontal="left" vertical="center" wrapText="1"/>
    </xf>
    <xf numFmtId="14" fontId="36" fillId="15" borderId="4" xfId="2" applyNumberFormat="1" applyFont="1" applyFill="1" applyBorder="1" applyAlignment="1">
      <alignment horizontal="center" vertical="center" wrapText="1"/>
    </xf>
    <xf numFmtId="14" fontId="36" fillId="15" borderId="18" xfId="2" applyNumberFormat="1" applyFont="1" applyFill="1" applyBorder="1" applyAlignment="1">
      <alignment horizontal="center" vertical="center" wrapText="1"/>
    </xf>
    <xf numFmtId="0" fontId="38" fillId="0" borderId="4" xfId="2" applyFont="1" applyBorder="1" applyAlignment="1">
      <alignment horizontal="center" vertical="center" wrapText="1"/>
    </xf>
    <xf numFmtId="0" fontId="38" fillId="0" borderId="18" xfId="2" applyFont="1" applyBorder="1" applyAlignment="1">
      <alignment horizontal="center" vertical="center" wrapText="1"/>
    </xf>
    <xf numFmtId="0" fontId="38" fillId="23" borderId="3" xfId="0" applyFont="1" applyFill="1" applyBorder="1" applyAlignment="1">
      <alignment horizontal="center" vertical="center" wrapText="1"/>
    </xf>
    <xf numFmtId="0" fontId="38" fillId="23" borderId="4" xfId="0" applyFont="1" applyFill="1" applyBorder="1" applyAlignment="1">
      <alignment horizontal="center" vertical="center" wrapText="1"/>
    </xf>
    <xf numFmtId="0" fontId="38" fillId="23" borderId="18" xfId="0" applyFont="1" applyFill="1" applyBorder="1" applyAlignment="1">
      <alignment horizontal="center" vertical="center" wrapText="1"/>
    </xf>
    <xf numFmtId="0" fontId="36" fillId="23" borderId="4" xfId="0" applyFont="1" applyFill="1" applyBorder="1" applyAlignment="1">
      <alignment horizontal="center" vertical="center" wrapText="1"/>
    </xf>
    <xf numFmtId="0" fontId="36" fillId="23" borderId="18" xfId="0" applyFont="1" applyFill="1" applyBorder="1" applyAlignment="1">
      <alignment horizontal="center" vertical="center" wrapText="1"/>
    </xf>
    <xf numFmtId="0" fontId="38" fillId="15" borderId="4" xfId="2" applyFont="1" applyFill="1" applyBorder="1" applyAlignment="1">
      <alignment horizontal="center" vertical="center" wrapText="1"/>
    </xf>
    <xf numFmtId="0" fontId="38" fillId="15" borderId="19" xfId="2" applyFont="1" applyFill="1" applyBorder="1" applyAlignment="1">
      <alignment horizontal="center" vertical="center" wrapText="1"/>
    </xf>
    <xf numFmtId="0" fontId="77" fillId="46" borderId="0" xfId="0" applyFont="1" applyFill="1" applyAlignment="1">
      <alignment horizontal="center" vertical="center" wrapText="1"/>
    </xf>
    <xf numFmtId="0" fontId="77" fillId="47" borderId="45" xfId="0" applyFont="1" applyFill="1" applyBorder="1" applyAlignment="1">
      <alignment horizontal="center" vertical="center"/>
    </xf>
    <xf numFmtId="0" fontId="77" fillId="47" borderId="21" xfId="0" applyFont="1" applyFill="1" applyBorder="1" applyAlignment="1">
      <alignment horizontal="center" vertical="center"/>
    </xf>
    <xf numFmtId="0" fontId="77" fillId="47" borderId="40" xfId="0" applyFont="1" applyFill="1" applyBorder="1" applyAlignment="1">
      <alignment horizontal="center" vertical="center"/>
    </xf>
    <xf numFmtId="0" fontId="77" fillId="47" borderId="49" xfId="0" applyFont="1" applyFill="1" applyBorder="1" applyAlignment="1">
      <alignment horizontal="center" vertical="center"/>
    </xf>
    <xf numFmtId="0" fontId="78" fillId="47" borderId="24" xfId="0" applyFont="1" applyFill="1" applyBorder="1" applyAlignment="1">
      <alignment horizontal="center" vertical="center" wrapText="1"/>
    </xf>
    <xf numFmtId="0" fontId="78" fillId="47" borderId="18" xfId="0" applyFont="1" applyFill="1" applyBorder="1" applyAlignment="1">
      <alignment horizontal="center" vertical="center" wrapText="1"/>
    </xf>
    <xf numFmtId="0" fontId="38" fillId="15" borderId="18" xfId="2" applyFont="1" applyFill="1" applyBorder="1" applyAlignment="1">
      <alignment horizontal="center" vertical="center" wrapText="1"/>
    </xf>
    <xf numFmtId="0" fontId="37" fillId="27" borderId="3" xfId="0" applyFont="1" applyFill="1" applyBorder="1" applyAlignment="1">
      <alignment horizontal="center" vertical="center" wrapText="1"/>
    </xf>
    <xf numFmtId="0" fontId="78" fillId="47" borderId="3" xfId="0" applyFont="1" applyFill="1" applyBorder="1" applyAlignment="1">
      <alignment horizontal="center" vertical="center" wrapText="1"/>
    </xf>
    <xf numFmtId="0" fontId="78" fillId="47" borderId="4" xfId="0" applyFont="1" applyFill="1" applyBorder="1" applyAlignment="1">
      <alignment horizontal="center" vertical="center" wrapText="1"/>
    </xf>
    <xf numFmtId="0" fontId="44" fillId="25" borderId="3" xfId="0" applyFont="1" applyFill="1" applyBorder="1" applyAlignment="1">
      <alignment vertical="center" wrapText="1"/>
    </xf>
    <xf numFmtId="0" fontId="44" fillId="25" borderId="3" xfId="0" applyFont="1" applyFill="1" applyBorder="1" applyAlignment="1">
      <alignment vertical="center"/>
    </xf>
    <xf numFmtId="0" fontId="40" fillId="41" borderId="3" xfId="0" applyFont="1" applyFill="1" applyBorder="1" applyAlignment="1">
      <alignment horizontal="right" vertical="center"/>
    </xf>
    <xf numFmtId="9" fontId="44" fillId="25" borderId="4" xfId="1" applyFont="1" applyFill="1" applyBorder="1" applyAlignment="1">
      <alignment horizontal="left" vertical="center"/>
    </xf>
    <xf numFmtId="9" fontId="44" fillId="25" borderId="19" xfId="1" applyFont="1" applyFill="1" applyBorder="1" applyAlignment="1">
      <alignment horizontal="left" vertical="center"/>
    </xf>
    <xf numFmtId="0" fontId="40" fillId="41" borderId="4" xfId="0" applyFont="1" applyFill="1" applyBorder="1" applyAlignment="1">
      <alignment horizontal="right" vertical="center"/>
    </xf>
    <xf numFmtId="9" fontId="40" fillId="5" borderId="43" xfId="0" applyNumberFormat="1" applyFont="1" applyFill="1" applyBorder="1" applyAlignment="1">
      <alignment horizontal="center" vertical="center" wrapText="1"/>
    </xf>
    <xf numFmtId="9" fontId="40" fillId="5" borderId="51" xfId="0" applyNumberFormat="1" applyFont="1" applyFill="1" applyBorder="1" applyAlignment="1">
      <alignment horizontal="center" vertical="center" wrapText="1"/>
    </xf>
    <xf numFmtId="0" fontId="40" fillId="41" borderId="4" xfId="0" applyFont="1" applyFill="1" applyBorder="1" applyAlignment="1">
      <alignment horizontal="right" vertical="center" wrapText="1"/>
    </xf>
    <xf numFmtId="9" fontId="40" fillId="5" borderId="38" xfId="0" applyNumberFormat="1" applyFont="1" applyFill="1" applyBorder="1" applyAlignment="1">
      <alignment horizontal="center" vertical="center" wrapText="1"/>
    </xf>
    <xf numFmtId="0" fontId="77" fillId="42" borderId="45" xfId="0" applyFont="1" applyFill="1" applyBorder="1" applyAlignment="1">
      <alignment horizontal="center" vertical="center"/>
    </xf>
    <xf numFmtId="0" fontId="77" fillId="42" borderId="21" xfId="0" applyFont="1" applyFill="1" applyBorder="1" applyAlignment="1">
      <alignment horizontal="center" vertical="center"/>
    </xf>
    <xf numFmtId="0" fontId="77" fillId="42" borderId="68" xfId="0" applyFont="1" applyFill="1" applyBorder="1" applyAlignment="1">
      <alignment horizontal="center" vertical="center"/>
    </xf>
    <xf numFmtId="0" fontId="40" fillId="41" borderId="27" xfId="0" applyFont="1" applyFill="1" applyBorder="1" applyAlignment="1">
      <alignment horizontal="right" vertical="center"/>
    </xf>
    <xf numFmtId="0" fontId="40" fillId="41" borderId="26" xfId="0" applyFont="1" applyFill="1" applyBorder="1" applyAlignment="1">
      <alignment horizontal="right" vertical="center"/>
    </xf>
    <xf numFmtId="0" fontId="40" fillId="41" borderId="47" xfId="0" applyFont="1" applyFill="1" applyBorder="1" applyAlignment="1">
      <alignment horizontal="right" vertical="center"/>
    </xf>
    <xf numFmtId="0" fontId="40" fillId="41" borderId="48" xfId="0" applyFont="1" applyFill="1" applyBorder="1" applyAlignment="1">
      <alignment horizontal="right" vertical="center"/>
    </xf>
    <xf numFmtId="0" fontId="40" fillId="40" borderId="18" xfId="0" applyFont="1" applyFill="1" applyBorder="1" applyAlignment="1">
      <alignment horizontal="center" vertical="center" wrapText="1"/>
    </xf>
    <xf numFmtId="0" fontId="40" fillId="40" borderId="3" xfId="0" applyFont="1" applyFill="1" applyBorder="1" applyAlignment="1">
      <alignment horizontal="center" vertical="center" wrapText="1"/>
    </xf>
    <xf numFmtId="0" fontId="78" fillId="43" borderId="18" xfId="3" applyFont="1" applyFill="1" applyBorder="1" applyAlignment="1">
      <alignment horizontal="center" vertical="center" textRotation="90"/>
    </xf>
    <xf numFmtId="0" fontId="78" fillId="43" borderId="3" xfId="3" applyFont="1" applyFill="1" applyBorder="1" applyAlignment="1">
      <alignment horizontal="center" vertical="center" textRotation="90"/>
    </xf>
    <xf numFmtId="0" fontId="78" fillId="47" borderId="19" xfId="0" applyFont="1" applyFill="1" applyBorder="1" applyAlignment="1">
      <alignment horizontal="center" vertical="center" wrapText="1"/>
    </xf>
    <xf numFmtId="0" fontId="36" fillId="15" borderId="3" xfId="2" applyFont="1" applyFill="1" applyBorder="1" applyAlignment="1">
      <alignment horizontal="center" vertical="center" wrapText="1"/>
    </xf>
    <xf numFmtId="0" fontId="36" fillId="15" borderId="4" xfId="2" applyFont="1" applyFill="1" applyBorder="1" applyAlignment="1">
      <alignment horizontal="center" vertical="center" wrapText="1"/>
    </xf>
    <xf numFmtId="0" fontId="36" fillId="15" borderId="18" xfId="2" applyFont="1" applyFill="1" applyBorder="1" applyAlignment="1">
      <alignment horizontal="center" vertical="center" wrapText="1"/>
    </xf>
    <xf numFmtId="0" fontId="72" fillId="0" borderId="48" xfId="0" applyFont="1" applyBorder="1" applyAlignment="1">
      <alignment horizontal="center" vertical="center" wrapText="1"/>
    </xf>
    <xf numFmtId="0" fontId="72" fillId="0" borderId="28" xfId="0" applyFont="1" applyBorder="1" applyAlignment="1">
      <alignment horizontal="center" vertical="center" wrapText="1"/>
    </xf>
    <xf numFmtId="14" fontId="36" fillId="15" borderId="4" xfId="0" applyNumberFormat="1" applyFont="1" applyFill="1" applyBorder="1" applyAlignment="1">
      <alignment horizontal="center" vertical="center" wrapText="1"/>
    </xf>
    <xf numFmtId="14" fontId="36" fillId="15" borderId="18" xfId="0" applyNumberFormat="1" applyFont="1" applyFill="1" applyBorder="1" applyAlignment="1">
      <alignment horizontal="center" vertical="center" wrapText="1"/>
    </xf>
    <xf numFmtId="0" fontId="79" fillId="40" borderId="18" xfId="0" applyFont="1" applyFill="1" applyBorder="1" applyAlignment="1">
      <alignment horizontal="center" vertical="center"/>
    </xf>
    <xf numFmtId="0" fontId="79" fillId="40" borderId="3" xfId="0" applyFont="1" applyFill="1" applyBorder="1" applyAlignment="1">
      <alignment horizontal="center" vertical="center"/>
    </xf>
    <xf numFmtId="0" fontId="80" fillId="40" borderId="18" xfId="0" applyFont="1" applyFill="1" applyBorder="1" applyAlignment="1">
      <alignment horizontal="center" vertical="center" wrapText="1"/>
    </xf>
    <xf numFmtId="0" fontId="80" fillId="40" borderId="3" xfId="0" applyFont="1" applyFill="1" applyBorder="1" applyAlignment="1">
      <alignment horizontal="center" vertical="center" wrapText="1"/>
    </xf>
    <xf numFmtId="0" fontId="81" fillId="40" borderId="18" xfId="0" applyFont="1" applyFill="1" applyBorder="1" applyAlignment="1">
      <alignment horizontal="center" vertical="center" wrapText="1"/>
    </xf>
    <xf numFmtId="0" fontId="81" fillId="40" borderId="3" xfId="0" applyFont="1" applyFill="1" applyBorder="1" applyAlignment="1">
      <alignment horizontal="center" vertical="center" wrapText="1"/>
    </xf>
    <xf numFmtId="49" fontId="78" fillId="43" borderId="18" xfId="3" applyNumberFormat="1" applyFont="1" applyFill="1" applyBorder="1" applyAlignment="1">
      <alignment horizontal="center" vertical="center" textRotation="90"/>
    </xf>
    <xf numFmtId="49" fontId="78" fillId="43" borderId="3" xfId="3" applyNumberFormat="1" applyFont="1" applyFill="1" applyBorder="1" applyAlignment="1">
      <alignment horizontal="center" vertical="center" textRotation="90"/>
    </xf>
    <xf numFmtId="0" fontId="40" fillId="40" borderId="28" xfId="0" applyFont="1" applyFill="1" applyBorder="1" applyAlignment="1">
      <alignment horizontal="center" vertical="center" wrapText="1"/>
    </xf>
    <xf numFmtId="0" fontId="40" fillId="40" borderId="14" xfId="0" applyFont="1" applyFill="1" applyBorder="1" applyAlignment="1">
      <alignment horizontal="center" vertical="center" wrapText="1"/>
    </xf>
    <xf numFmtId="14" fontId="38" fillId="15" borderId="18" xfId="0" applyNumberFormat="1" applyFont="1" applyFill="1" applyBorder="1" applyAlignment="1">
      <alignment horizontal="center" vertical="center" wrapText="1"/>
    </xf>
    <xf numFmtId="0" fontId="0" fillId="0" borderId="48" xfId="0" applyBorder="1" applyAlignment="1">
      <alignment horizontal="center" vertical="center" wrapText="1"/>
    </xf>
    <xf numFmtId="0" fontId="0" fillId="0" borderId="28" xfId="0" applyBorder="1" applyAlignment="1">
      <alignment horizontal="center" vertical="center" wrapText="1"/>
    </xf>
    <xf numFmtId="14" fontId="36" fillId="23" borderId="4" xfId="0" applyNumberFormat="1" applyFont="1" applyFill="1" applyBorder="1" applyAlignment="1">
      <alignment horizontal="center" vertical="center" wrapText="1"/>
    </xf>
    <xf numFmtId="14" fontId="36" fillId="23" borderId="18" xfId="0" applyNumberFormat="1" applyFont="1" applyFill="1" applyBorder="1" applyAlignment="1">
      <alignment horizontal="center" vertical="center" wrapText="1"/>
    </xf>
    <xf numFmtId="0" fontId="0" fillId="0" borderId="48" xfId="0" applyBorder="1" applyAlignment="1">
      <alignment horizontal="center" vertical="center"/>
    </xf>
    <xf numFmtId="0" fontId="0" fillId="0" borderId="28" xfId="0" applyBorder="1" applyAlignment="1">
      <alignment horizontal="center" vertical="center"/>
    </xf>
    <xf numFmtId="14" fontId="38" fillId="0" borderId="4" xfId="2" applyNumberFormat="1" applyFont="1" applyBorder="1" applyAlignment="1">
      <alignment horizontal="center" vertical="center" wrapText="1"/>
    </xf>
    <xf numFmtId="14" fontId="38" fillId="0" borderId="18" xfId="2" applyNumberFormat="1" applyFont="1" applyBorder="1" applyAlignment="1">
      <alignment horizontal="center" vertical="center" wrapText="1"/>
    </xf>
    <xf numFmtId="0" fontId="0" fillId="0" borderId="0" xfId="0" applyAlignment="1">
      <alignment horizontal="center" vertical="center" wrapText="1"/>
    </xf>
    <xf numFmtId="14" fontId="38" fillId="15" borderId="4" xfId="2" applyNumberFormat="1" applyFont="1" applyFill="1" applyBorder="1" applyAlignment="1">
      <alignment horizontal="center" vertical="center" wrapText="1"/>
    </xf>
    <xf numFmtId="14" fontId="38" fillId="15" borderId="18" xfId="2" applyNumberFormat="1" applyFont="1" applyFill="1" applyBorder="1" applyAlignment="1">
      <alignment horizontal="center" vertical="center" wrapText="1"/>
    </xf>
    <xf numFmtId="14" fontId="36" fillId="15" borderId="3" xfId="0" applyNumberFormat="1" applyFont="1" applyFill="1" applyBorder="1" applyAlignment="1">
      <alignment horizontal="center" vertical="center" wrapText="1"/>
    </xf>
    <xf numFmtId="0" fontId="38" fillId="15" borderId="3" xfId="2" applyFont="1" applyFill="1" applyBorder="1" applyAlignment="1">
      <alignment horizontal="center" vertical="center" wrapText="1"/>
    </xf>
    <xf numFmtId="0" fontId="37" fillId="27" borderId="3" xfId="2" applyFont="1" applyFill="1" applyBorder="1" applyAlignment="1">
      <alignment horizontal="center" vertical="center" wrapText="1"/>
    </xf>
    <xf numFmtId="0" fontId="25" fillId="0" borderId="13" xfId="0" applyFont="1" applyBorder="1" applyAlignment="1">
      <alignment horizontal="center" vertical="center" wrapText="1"/>
    </xf>
    <xf numFmtId="0" fontId="25" fillId="0" borderId="31" xfId="0" applyFont="1" applyBorder="1" applyAlignment="1">
      <alignment horizontal="center" vertical="center" wrapText="1"/>
    </xf>
    <xf numFmtId="0" fontId="25" fillId="0" borderId="18" xfId="0" applyFont="1" applyBorder="1" applyAlignment="1">
      <alignment horizontal="justify" vertical="center" wrapText="1"/>
    </xf>
    <xf numFmtId="0" fontId="25" fillId="0" borderId="3" xfId="0" applyFont="1" applyBorder="1" applyAlignment="1">
      <alignment horizontal="justify" vertical="center" wrapText="1"/>
    </xf>
    <xf numFmtId="0" fontId="38" fillId="15" borderId="56" xfId="0" applyFont="1" applyFill="1" applyBorder="1" applyAlignment="1">
      <alignment horizontal="center" vertical="center" wrapText="1"/>
    </xf>
    <xf numFmtId="14" fontId="36" fillId="15" borderId="56" xfId="0" applyNumberFormat="1" applyFont="1" applyFill="1" applyBorder="1" applyAlignment="1">
      <alignment horizontal="center" vertical="center" wrapText="1"/>
    </xf>
    <xf numFmtId="0" fontId="21" fillId="0" borderId="40" xfId="0" applyFont="1" applyBorder="1" applyAlignment="1">
      <alignment horizontal="center" vertical="center" wrapText="1"/>
    </xf>
    <xf numFmtId="0" fontId="21" fillId="0" borderId="0" xfId="0" applyFont="1" applyAlignment="1">
      <alignment horizontal="center" vertical="center" wrapText="1"/>
    </xf>
    <xf numFmtId="0" fontId="21" fillId="0" borderId="38" xfId="0" applyFont="1" applyBorder="1" applyAlignment="1">
      <alignment horizontal="center" vertical="center" wrapText="1"/>
    </xf>
    <xf numFmtId="0" fontId="36" fillId="15" borderId="56" xfId="0" applyFont="1" applyFill="1" applyBorder="1" applyAlignment="1">
      <alignment horizontal="center" vertical="center" wrapText="1"/>
    </xf>
    <xf numFmtId="0" fontId="40" fillId="17" borderId="3" xfId="0" applyFont="1" applyFill="1" applyBorder="1" applyAlignment="1">
      <alignment horizontal="right" vertical="center" wrapText="1"/>
    </xf>
    <xf numFmtId="0" fontId="40" fillId="17" borderId="3" xfId="0" applyFont="1" applyFill="1" applyBorder="1" applyAlignment="1">
      <alignment horizontal="right" vertical="center"/>
    </xf>
    <xf numFmtId="9" fontId="44" fillId="25" borderId="34" xfId="1" applyFont="1" applyFill="1" applyBorder="1" applyAlignment="1">
      <alignment horizontal="left" vertical="center"/>
    </xf>
    <xf numFmtId="9" fontId="40" fillId="5" borderId="24" xfId="0" applyNumberFormat="1" applyFont="1" applyFill="1" applyBorder="1" applyAlignment="1">
      <alignment horizontal="center" vertical="center"/>
    </xf>
    <xf numFmtId="9" fontId="40" fillId="5" borderId="19" xfId="0" applyNumberFormat="1" applyFont="1" applyFill="1" applyBorder="1" applyAlignment="1">
      <alignment horizontal="center" vertical="center"/>
    </xf>
    <xf numFmtId="9" fontId="40" fillId="5" borderId="34" xfId="0" applyNumberFormat="1" applyFont="1" applyFill="1" applyBorder="1" applyAlignment="1">
      <alignment horizontal="center" vertical="center"/>
    </xf>
    <xf numFmtId="0" fontId="40" fillId="17" borderId="27" xfId="0" applyFont="1" applyFill="1" applyBorder="1" applyAlignment="1">
      <alignment horizontal="right" vertical="center"/>
    </xf>
    <xf numFmtId="0" fontId="40" fillId="17" borderId="26" xfId="0" applyFont="1" applyFill="1" applyBorder="1" applyAlignment="1">
      <alignment horizontal="right" vertical="center"/>
    </xf>
    <xf numFmtId="0" fontId="40" fillId="17" borderId="47" xfId="0" applyFont="1" applyFill="1" applyBorder="1" applyAlignment="1">
      <alignment horizontal="right" vertical="center"/>
    </xf>
    <xf numFmtId="0" fontId="40" fillId="17" borderId="48" xfId="0" applyFont="1" applyFill="1" applyBorder="1" applyAlignment="1">
      <alignment horizontal="right" vertical="center"/>
    </xf>
    <xf numFmtId="0" fontId="40" fillId="17" borderId="43" xfId="0" applyFont="1" applyFill="1" applyBorder="1" applyAlignment="1">
      <alignment horizontal="right" vertical="center"/>
    </xf>
    <xf numFmtId="0" fontId="40" fillId="17" borderId="51" xfId="0" applyFont="1" applyFill="1" applyBorder="1" applyAlignment="1">
      <alignment horizontal="right" vertical="center"/>
    </xf>
    <xf numFmtId="0" fontId="40" fillId="17" borderId="27" xfId="0" applyFont="1" applyFill="1" applyBorder="1" applyAlignment="1">
      <alignment horizontal="right" vertical="center" wrapText="1"/>
    </xf>
    <xf numFmtId="0" fontId="40" fillId="17" borderId="36" xfId="0" applyFont="1" applyFill="1" applyBorder="1" applyAlignment="1">
      <alignment horizontal="right" vertical="center" wrapText="1"/>
    </xf>
    <xf numFmtId="0" fontId="40" fillId="17" borderId="26" xfId="0" applyFont="1" applyFill="1" applyBorder="1" applyAlignment="1">
      <alignment horizontal="right" vertical="center" wrapText="1"/>
    </xf>
    <xf numFmtId="0" fontId="40" fillId="17" borderId="47" xfId="0" applyFont="1" applyFill="1" applyBorder="1" applyAlignment="1">
      <alignment horizontal="right" vertical="center" wrapText="1"/>
    </xf>
    <xf numFmtId="0" fontId="40" fillId="17" borderId="0" xfId="0" applyFont="1" applyFill="1" applyAlignment="1">
      <alignment horizontal="right" vertical="center" wrapText="1"/>
    </xf>
    <xf numFmtId="0" fontId="40" fillId="17" borderId="48" xfId="0" applyFont="1" applyFill="1" applyBorder="1" applyAlignment="1">
      <alignment horizontal="right" vertical="center" wrapText="1"/>
    </xf>
    <xf numFmtId="0" fontId="40" fillId="17" borderId="29" xfId="0" applyFont="1" applyFill="1" applyBorder="1" applyAlignment="1">
      <alignment horizontal="right" vertical="center" wrapText="1"/>
    </xf>
    <xf numFmtId="0" fontId="40" fillId="17" borderId="35" xfId="0" applyFont="1" applyFill="1" applyBorder="1" applyAlignment="1">
      <alignment horizontal="right" vertical="center" wrapText="1"/>
    </xf>
    <xf numFmtId="0" fontId="40" fillId="17" borderId="28" xfId="0" applyFont="1" applyFill="1" applyBorder="1" applyAlignment="1">
      <alignment horizontal="right" vertical="center" wrapText="1"/>
    </xf>
    <xf numFmtId="0" fontId="36" fillId="15" borderId="27" xfId="0" applyFont="1" applyFill="1" applyBorder="1" applyAlignment="1">
      <alignment horizontal="center" vertical="center" wrapText="1"/>
    </xf>
    <xf numFmtId="0" fontId="36" fillId="15" borderId="29" xfId="0" applyFont="1" applyFill="1" applyBorder="1" applyAlignment="1">
      <alignment horizontal="center" vertical="center" wrapText="1"/>
    </xf>
    <xf numFmtId="0" fontId="35" fillId="47" borderId="19" xfId="0" applyFont="1" applyFill="1" applyBorder="1" applyAlignment="1">
      <alignment horizontal="center" vertical="center" wrapText="1"/>
    </xf>
    <xf numFmtId="0" fontId="37" fillId="16" borderId="56" xfId="0" applyFont="1" applyFill="1" applyBorder="1" applyAlignment="1">
      <alignment horizontal="center" vertical="center" wrapText="1"/>
    </xf>
    <xf numFmtId="0" fontId="36" fillId="23" borderId="56" xfId="0" applyFont="1" applyFill="1" applyBorder="1" applyAlignment="1">
      <alignment horizontal="center" vertical="center" wrapText="1"/>
    </xf>
    <xf numFmtId="0" fontId="25" fillId="0" borderId="18" xfId="0" applyFont="1" applyBorder="1" applyAlignment="1">
      <alignment horizontal="left" vertical="center" wrapText="1"/>
    </xf>
    <xf numFmtId="0" fontId="25" fillId="0" borderId="3" xfId="0" applyFont="1" applyBorder="1" applyAlignment="1">
      <alignment horizontal="left" vertical="center" wrapText="1"/>
    </xf>
    <xf numFmtId="0" fontId="18" fillId="0" borderId="35" xfId="0" applyFont="1" applyBorder="1" applyAlignment="1">
      <alignment horizontal="right" vertical="center"/>
    </xf>
    <xf numFmtId="9" fontId="40" fillId="5" borderId="27" xfId="1" applyFont="1" applyFill="1" applyBorder="1" applyAlignment="1">
      <alignment horizontal="center" vertical="center" wrapText="1"/>
    </xf>
    <xf numFmtId="9" fontId="40" fillId="5" borderId="26" xfId="1" applyFont="1" applyFill="1" applyBorder="1" applyAlignment="1">
      <alignment horizontal="center" vertical="center" wrapText="1"/>
    </xf>
    <xf numFmtId="9" fontId="40" fillId="5" borderId="47" xfId="1" applyFont="1" applyFill="1" applyBorder="1" applyAlignment="1">
      <alignment horizontal="center" vertical="center" wrapText="1"/>
    </xf>
    <xf numFmtId="9" fontId="40" fillId="5" borderId="48" xfId="1" applyFont="1" applyFill="1" applyBorder="1" applyAlignment="1">
      <alignment horizontal="center" vertical="center" wrapText="1"/>
    </xf>
    <xf numFmtId="9" fontId="40" fillId="5" borderId="43" xfId="1" applyFont="1" applyFill="1" applyBorder="1" applyAlignment="1">
      <alignment horizontal="center" vertical="center" wrapText="1"/>
    </xf>
    <xf numFmtId="9" fontId="40" fillId="5" borderId="51" xfId="1" applyFont="1" applyFill="1" applyBorder="1" applyAlignment="1">
      <alignment horizontal="center" vertical="center" wrapText="1"/>
    </xf>
    <xf numFmtId="0" fontId="40" fillId="17" borderId="27" xfId="0" applyFont="1" applyFill="1" applyBorder="1" applyAlignment="1">
      <alignment horizontal="center" vertical="center" wrapText="1"/>
    </xf>
    <xf numFmtId="0" fontId="40" fillId="17" borderId="36" xfId="0" applyFont="1" applyFill="1" applyBorder="1" applyAlignment="1">
      <alignment horizontal="center" vertical="center" wrapText="1"/>
    </xf>
    <xf numFmtId="0" fontId="40" fillId="17" borderId="47" xfId="0" applyFont="1" applyFill="1" applyBorder="1" applyAlignment="1">
      <alignment horizontal="center" vertical="center" wrapText="1"/>
    </xf>
    <xf numFmtId="0" fontId="40" fillId="17" borderId="0" xfId="0" applyFont="1" applyFill="1" applyAlignment="1">
      <alignment horizontal="center" vertical="center" wrapText="1"/>
    </xf>
    <xf numFmtId="0" fontId="40" fillId="17" borderId="29" xfId="0" applyFont="1" applyFill="1" applyBorder="1" applyAlignment="1">
      <alignment horizontal="center" vertical="center" wrapText="1"/>
    </xf>
    <xf numFmtId="0" fontId="40" fillId="17" borderId="35" xfId="0" applyFont="1" applyFill="1" applyBorder="1" applyAlignment="1">
      <alignment horizontal="center" vertical="center" wrapText="1"/>
    </xf>
    <xf numFmtId="0" fontId="41" fillId="0" borderId="35" xfId="0" applyFont="1" applyBorder="1" applyAlignment="1">
      <alignment horizontal="center" vertical="center" textRotation="45" wrapText="1"/>
    </xf>
    <xf numFmtId="0" fontId="46" fillId="0" borderId="63" xfId="4" applyFont="1" applyBorder="1" applyAlignment="1">
      <alignment horizontal="center"/>
    </xf>
    <xf numFmtId="0" fontId="46" fillId="0" borderId="44" xfId="4" applyFont="1" applyBorder="1" applyAlignment="1">
      <alignment horizontal="center"/>
    </xf>
    <xf numFmtId="0" fontId="43" fillId="38" borderId="47" xfId="0" applyFont="1" applyFill="1" applyBorder="1" applyAlignment="1">
      <alignment horizontal="left" vertical="center"/>
    </xf>
    <xf numFmtId="0" fontId="43" fillId="38" borderId="0" xfId="0" applyFont="1" applyFill="1" applyAlignment="1">
      <alignment horizontal="left" vertical="center"/>
    </xf>
    <xf numFmtId="0" fontId="44" fillId="25" borderId="26" xfId="0" applyFont="1" applyFill="1" applyBorder="1" applyAlignment="1">
      <alignment vertical="center"/>
    </xf>
    <xf numFmtId="0" fontId="44" fillId="25" borderId="48" xfId="0" applyFont="1" applyFill="1" applyBorder="1" applyAlignment="1">
      <alignment vertical="center"/>
    </xf>
    <xf numFmtId="0" fontId="44" fillId="25" borderId="28" xfId="0" applyFont="1" applyFill="1" applyBorder="1" applyAlignment="1">
      <alignment vertical="center"/>
    </xf>
    <xf numFmtId="0" fontId="40" fillId="17" borderId="29" xfId="0" applyFont="1" applyFill="1" applyBorder="1" applyAlignment="1">
      <alignment horizontal="right" vertical="center"/>
    </xf>
    <xf numFmtId="0" fontId="40" fillId="17" borderId="28" xfId="0" applyFont="1" applyFill="1" applyBorder="1" applyAlignment="1">
      <alignment horizontal="right" vertical="center"/>
    </xf>
    <xf numFmtId="0" fontId="40" fillId="17" borderId="43" xfId="0" applyFont="1" applyFill="1" applyBorder="1" applyAlignment="1">
      <alignment horizontal="center" vertical="center" wrapText="1"/>
    </xf>
    <xf numFmtId="0" fontId="40" fillId="17" borderId="38" xfId="0" applyFont="1" applyFill="1" applyBorder="1" applyAlignment="1">
      <alignment horizontal="center" vertical="center" wrapText="1"/>
    </xf>
    <xf numFmtId="164" fontId="40" fillId="5" borderId="24" xfId="0" applyNumberFormat="1" applyFont="1" applyFill="1" applyBorder="1" applyAlignment="1">
      <alignment horizontal="center" vertical="center" wrapText="1"/>
    </xf>
    <xf numFmtId="164" fontId="40" fillId="5" borderId="19" xfId="0" applyNumberFormat="1" applyFont="1" applyFill="1" applyBorder="1" applyAlignment="1">
      <alignment horizontal="center" vertical="center" wrapText="1"/>
    </xf>
    <xf numFmtId="164" fontId="40" fillId="5" borderId="34" xfId="0" applyNumberFormat="1" applyFont="1" applyFill="1" applyBorder="1" applyAlignment="1">
      <alignment horizontal="center" vertical="center" wrapText="1"/>
    </xf>
    <xf numFmtId="0" fontId="42" fillId="22" borderId="54" xfId="0" applyFont="1" applyFill="1" applyBorder="1" applyAlignment="1">
      <alignment horizontal="center" vertical="center"/>
    </xf>
    <xf numFmtId="0" fontId="42" fillId="22" borderId="35" xfId="0" applyFont="1" applyFill="1" applyBorder="1" applyAlignment="1">
      <alignment horizontal="center" vertical="center"/>
    </xf>
    <xf numFmtId="0" fontId="42" fillId="22" borderId="55" xfId="0" applyFont="1" applyFill="1" applyBorder="1" applyAlignment="1">
      <alignment horizontal="center" vertical="center"/>
    </xf>
    <xf numFmtId="0" fontId="40" fillId="25" borderId="27" xfId="0" applyFont="1" applyFill="1" applyBorder="1" applyAlignment="1">
      <alignment horizontal="center" vertical="center" wrapText="1"/>
    </xf>
    <xf numFmtId="0" fontId="40" fillId="25" borderId="36" xfId="0" applyFont="1" applyFill="1" applyBorder="1" applyAlignment="1">
      <alignment horizontal="center" vertical="center" wrapText="1"/>
    </xf>
    <xf numFmtId="0" fontId="40" fillId="25" borderId="47" xfId="0" applyFont="1" applyFill="1" applyBorder="1" applyAlignment="1">
      <alignment horizontal="center" vertical="center" wrapText="1"/>
    </xf>
    <xf numFmtId="0" fontId="40" fillId="25" borderId="0" xfId="0" applyFont="1" applyFill="1" applyAlignment="1">
      <alignment horizontal="center" vertical="center" wrapText="1"/>
    </xf>
    <xf numFmtId="0" fontId="40" fillId="25" borderId="29" xfId="0" applyFont="1" applyFill="1" applyBorder="1" applyAlignment="1">
      <alignment horizontal="center" vertical="center" wrapText="1"/>
    </xf>
    <xf numFmtId="0" fontId="40" fillId="25" borderId="35" xfId="0" applyFont="1" applyFill="1" applyBorder="1" applyAlignment="1">
      <alignment horizontal="center" vertical="center" wrapText="1"/>
    </xf>
    <xf numFmtId="49" fontId="45" fillId="21" borderId="36" xfId="3" applyNumberFormat="1" applyFont="1" applyFill="1" applyBorder="1" applyAlignment="1">
      <alignment horizontal="center" vertical="center" textRotation="90"/>
    </xf>
    <xf numFmtId="49" fontId="45" fillId="21" borderId="0" xfId="3" applyNumberFormat="1" applyFont="1" applyFill="1" applyAlignment="1">
      <alignment horizontal="center" vertical="center" textRotation="90"/>
    </xf>
    <xf numFmtId="0" fontId="40" fillId="6" borderId="3" xfId="0" applyFont="1" applyFill="1" applyBorder="1" applyAlignment="1">
      <alignment horizontal="center" vertical="center" wrapText="1"/>
    </xf>
    <xf numFmtId="0" fontId="45" fillId="19" borderId="36" xfId="3" applyFont="1" applyFill="1" applyBorder="1" applyAlignment="1">
      <alignment horizontal="center" vertical="center" textRotation="90"/>
    </xf>
    <xf numFmtId="0" fontId="45" fillId="19" borderId="0" xfId="3" applyFont="1" applyFill="1" applyAlignment="1">
      <alignment horizontal="center" vertical="center" textRotation="90"/>
    </xf>
    <xf numFmtId="0" fontId="45" fillId="18" borderId="36" xfId="3" applyFont="1" applyFill="1" applyBorder="1" applyAlignment="1">
      <alignment horizontal="center" vertical="center" textRotation="90"/>
    </xf>
    <xf numFmtId="0" fontId="45" fillId="18" borderId="0" xfId="3" applyFont="1" applyFill="1" applyAlignment="1">
      <alignment horizontal="center" vertical="center" textRotation="90"/>
    </xf>
    <xf numFmtId="0" fontId="45" fillId="10" borderId="36" xfId="3" applyFont="1" applyFill="1" applyBorder="1" applyAlignment="1">
      <alignment horizontal="center" vertical="center" textRotation="90"/>
    </xf>
    <xf numFmtId="0" fontId="45" fillId="10" borderId="0" xfId="3" applyFont="1" applyFill="1" applyAlignment="1">
      <alignment horizontal="center" vertical="center" textRotation="90"/>
    </xf>
    <xf numFmtId="0" fontId="45" fillId="20" borderId="36" xfId="3" applyFont="1" applyFill="1" applyBorder="1" applyAlignment="1">
      <alignment horizontal="center" vertical="center" textRotation="90"/>
    </xf>
    <xf numFmtId="0" fontId="45" fillId="20" borderId="0" xfId="3" applyFont="1" applyFill="1" applyAlignment="1">
      <alignment horizontal="center" vertical="center" textRotation="90"/>
    </xf>
    <xf numFmtId="0" fontId="45" fillId="21" borderId="36" xfId="3" applyFont="1" applyFill="1" applyBorder="1" applyAlignment="1">
      <alignment horizontal="center" vertical="center" textRotation="90"/>
    </xf>
    <xf numFmtId="0" fontId="45" fillId="21" borderId="0" xfId="3" applyFont="1" applyFill="1" applyAlignment="1">
      <alignment horizontal="center" vertical="center" textRotation="90"/>
    </xf>
    <xf numFmtId="0" fontId="36" fillId="15" borderId="4" xfId="0" applyFont="1" applyFill="1" applyBorder="1" applyAlignment="1">
      <alignment horizontal="center" vertical="top" wrapText="1"/>
    </xf>
    <xf numFmtId="0" fontId="36" fillId="15" borderId="18" xfId="0" applyFont="1" applyFill="1" applyBorder="1" applyAlignment="1">
      <alignment horizontal="center" vertical="top" wrapText="1"/>
    </xf>
    <xf numFmtId="0" fontId="25" fillId="0" borderId="55" xfId="0" applyFont="1" applyBorder="1" applyAlignment="1">
      <alignment horizontal="justify" vertical="center" wrapText="1"/>
    </xf>
    <xf numFmtId="0" fontId="25" fillId="0" borderId="53" xfId="0" applyFont="1" applyBorder="1" applyAlignment="1">
      <alignment horizontal="justify" vertical="center" wrapText="1"/>
    </xf>
    <xf numFmtId="0" fontId="0" fillId="0" borderId="18" xfId="0" applyBorder="1" applyAlignment="1">
      <alignment horizontal="center" vertical="center" wrapText="1"/>
    </xf>
    <xf numFmtId="0" fontId="21" fillId="0" borderId="36" xfId="0" applyFont="1" applyBorder="1" applyAlignment="1">
      <alignment horizontal="center" vertical="center" wrapText="1"/>
    </xf>
    <xf numFmtId="0" fontId="8" fillId="6" borderId="3" xfId="0" applyFont="1" applyFill="1" applyBorder="1" applyAlignment="1">
      <alignment horizontal="center" vertical="center"/>
    </xf>
    <xf numFmtId="0" fontId="20" fillId="6" borderId="3"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42" fillId="47" borderId="29" xfId="0" applyFont="1" applyFill="1" applyBorder="1" applyAlignment="1">
      <alignment horizontal="center" vertical="center"/>
    </xf>
    <xf numFmtId="0" fontId="42" fillId="47" borderId="35" xfId="0" applyFont="1" applyFill="1" applyBorder="1" applyAlignment="1">
      <alignment horizontal="center" vertical="center"/>
    </xf>
    <xf numFmtId="0" fontId="42" fillId="47" borderId="55" xfId="0" applyFont="1" applyFill="1" applyBorder="1" applyAlignment="1">
      <alignment horizontal="center" vertical="center"/>
    </xf>
    <xf numFmtId="0" fontId="25" fillId="0" borderId="55" xfId="0" applyFont="1" applyBorder="1" applyAlignment="1">
      <alignment horizontal="center" vertical="center" wrapText="1"/>
    </xf>
    <xf numFmtId="0" fontId="25" fillId="0" borderId="53" xfId="0" applyFont="1" applyBorder="1" applyAlignment="1">
      <alignment horizontal="center" vertical="center" wrapText="1"/>
    </xf>
    <xf numFmtId="9" fontId="40" fillId="28" borderId="0" xfId="0" applyNumberFormat="1" applyFont="1" applyFill="1" applyAlignment="1">
      <alignment horizontal="center" vertical="center" wrapText="1"/>
    </xf>
    <xf numFmtId="0" fontId="8" fillId="6" borderId="4" xfId="0" applyFont="1" applyFill="1" applyBorder="1" applyAlignment="1">
      <alignment horizontal="center" vertical="center"/>
    </xf>
    <xf numFmtId="0" fontId="8" fillId="6" borderId="18" xfId="0" applyFont="1" applyFill="1" applyBorder="1" applyAlignment="1">
      <alignment horizontal="center" vertical="center"/>
    </xf>
    <xf numFmtId="0" fontId="20" fillId="6" borderId="4" xfId="0" applyFont="1" applyFill="1" applyBorder="1" applyAlignment="1">
      <alignment horizontal="center" vertical="center" wrapText="1"/>
    </xf>
    <xf numFmtId="0" fontId="20" fillId="6" borderId="18" xfId="0" applyFont="1" applyFill="1" applyBorder="1" applyAlignment="1">
      <alignment horizontal="center" vertical="center" wrapText="1"/>
    </xf>
    <xf numFmtId="0" fontId="11" fillId="6" borderId="4" xfId="0" applyFont="1" applyFill="1" applyBorder="1" applyAlignment="1">
      <alignment horizontal="center" vertical="center" wrapText="1"/>
    </xf>
    <xf numFmtId="0" fontId="11" fillId="6" borderId="34" xfId="0" applyFont="1" applyFill="1" applyBorder="1" applyAlignment="1">
      <alignment horizontal="center" vertical="center" wrapText="1"/>
    </xf>
    <xf numFmtId="0" fontId="45" fillId="10" borderId="27" xfId="3" applyFont="1" applyFill="1" applyBorder="1" applyAlignment="1">
      <alignment horizontal="center" vertical="center" textRotation="90"/>
    </xf>
    <xf numFmtId="0" fontId="45" fillId="10" borderId="29" xfId="3" applyFont="1" applyFill="1" applyBorder="1" applyAlignment="1">
      <alignment horizontal="center" vertical="center" textRotation="90"/>
    </xf>
    <xf numFmtId="0" fontId="45" fillId="18" borderId="35" xfId="3" applyFont="1" applyFill="1" applyBorder="1" applyAlignment="1">
      <alignment horizontal="center" vertical="center" textRotation="90"/>
    </xf>
    <xf numFmtId="0" fontId="45" fillId="19" borderId="35" xfId="3" applyFont="1" applyFill="1" applyBorder="1" applyAlignment="1">
      <alignment horizontal="center" vertical="center" textRotation="90"/>
    </xf>
    <xf numFmtId="0" fontId="45" fillId="20" borderId="35" xfId="3" applyFont="1" applyFill="1" applyBorder="1" applyAlignment="1">
      <alignment horizontal="center" vertical="center" textRotation="90"/>
    </xf>
    <xf numFmtId="0" fontId="47" fillId="15" borderId="4" xfId="2" applyFont="1" applyFill="1" applyBorder="1" applyAlignment="1">
      <alignment horizontal="center" vertical="center" wrapText="1"/>
    </xf>
    <xf numFmtId="0" fontId="47" fillId="15" borderId="18" xfId="2" applyFont="1" applyFill="1" applyBorder="1" applyAlignment="1">
      <alignment horizontal="center" vertical="center" wrapText="1"/>
    </xf>
    <xf numFmtId="0" fontId="25" fillId="0" borderId="4" xfId="0" applyFont="1" applyBorder="1" applyAlignment="1">
      <alignment horizontal="justify" vertical="center" wrapText="1"/>
    </xf>
    <xf numFmtId="0" fontId="36" fillId="23" borderId="4" xfId="2" applyFont="1" applyFill="1" applyBorder="1" applyAlignment="1">
      <alignment horizontal="center" vertical="center" wrapText="1"/>
    </xf>
    <xf numFmtId="0" fontId="36" fillId="23" borderId="18" xfId="2" applyFont="1" applyFill="1" applyBorder="1" applyAlignment="1">
      <alignment horizontal="center" vertical="center" wrapText="1"/>
    </xf>
    <xf numFmtId="0" fontId="71" fillId="0" borderId="18" xfId="0" applyFont="1" applyBorder="1" applyAlignment="1">
      <alignment horizontal="justify" vertical="center" wrapText="1"/>
    </xf>
    <xf numFmtId="0" fontId="71" fillId="0" borderId="3" xfId="0" applyFont="1" applyBorder="1" applyAlignment="1">
      <alignment horizontal="justify" vertical="center" wrapText="1"/>
    </xf>
    <xf numFmtId="0" fontId="37" fillId="49" borderId="4" xfId="17" applyFont="1" applyFill="1" applyBorder="1" applyAlignment="1">
      <alignment horizontal="center" vertical="center" wrapText="1"/>
    </xf>
    <xf numFmtId="0" fontId="37" fillId="49" borderId="18" xfId="17" applyFont="1" applyFill="1" applyBorder="1" applyAlignment="1">
      <alignment horizontal="center" vertical="center" wrapText="1"/>
    </xf>
    <xf numFmtId="0" fontId="69" fillId="47" borderId="19" xfId="0" applyFont="1" applyFill="1" applyBorder="1" applyAlignment="1">
      <alignment horizontal="center" vertical="center" wrapText="1"/>
    </xf>
    <xf numFmtId="0" fontId="69" fillId="47" borderId="18" xfId="0" applyFont="1" applyFill="1" applyBorder="1" applyAlignment="1">
      <alignment horizontal="center" vertical="center" wrapText="1"/>
    </xf>
    <xf numFmtId="0" fontId="34" fillId="46" borderId="40" xfId="4" applyFont="1" applyFill="1" applyBorder="1" applyAlignment="1">
      <alignment horizontal="center" vertical="center" wrapText="1"/>
    </xf>
    <xf numFmtId="0" fontId="34" fillId="46" borderId="3" xfId="4" applyFont="1" applyFill="1" applyBorder="1" applyAlignment="1">
      <alignment horizontal="center" vertical="center" wrapText="1"/>
    </xf>
    <xf numFmtId="0" fontId="35" fillId="47" borderId="24" xfId="4" applyFont="1" applyFill="1" applyBorder="1" applyAlignment="1">
      <alignment horizontal="center" vertical="center" wrapText="1"/>
    </xf>
    <xf numFmtId="0" fontId="35" fillId="47" borderId="18" xfId="4" applyFont="1" applyFill="1" applyBorder="1" applyAlignment="1">
      <alignment horizontal="center" vertical="center" wrapText="1"/>
    </xf>
    <xf numFmtId="0" fontId="35" fillId="47" borderId="4" xfId="4" applyFont="1" applyFill="1" applyBorder="1" applyAlignment="1">
      <alignment horizontal="center" vertical="center" wrapText="1"/>
    </xf>
    <xf numFmtId="0" fontId="69" fillId="47" borderId="4" xfId="0" applyFont="1" applyFill="1" applyBorder="1" applyAlignment="1">
      <alignment horizontal="center" vertical="center" wrapText="1"/>
    </xf>
    <xf numFmtId="0" fontId="36" fillId="15" borderId="4" xfId="17" applyFont="1" applyFill="1" applyBorder="1" applyAlignment="1">
      <alignment horizontal="center" vertical="center" wrapText="1"/>
    </xf>
    <xf numFmtId="0" fontId="36" fillId="15" borderId="18" xfId="17" applyFont="1" applyFill="1" applyBorder="1" applyAlignment="1">
      <alignment horizontal="center" vertical="center" wrapText="1"/>
    </xf>
    <xf numFmtId="0" fontId="38" fillId="0" borderId="3" xfId="2" applyFont="1" applyBorder="1" applyAlignment="1">
      <alignment horizontal="left" vertical="center" wrapText="1"/>
    </xf>
    <xf numFmtId="0" fontId="0" fillId="0" borderId="3" xfId="0" applyBorder="1" applyAlignment="1">
      <alignment horizontal="center" vertical="center"/>
    </xf>
    <xf numFmtId="0" fontId="43" fillId="38" borderId="27" xfId="0" applyFont="1" applyFill="1" applyBorder="1" applyAlignment="1">
      <alignment horizontal="left" vertical="center"/>
    </xf>
    <xf numFmtId="0" fontId="43" fillId="38" borderId="36" xfId="0" applyFont="1" applyFill="1" applyBorder="1" applyAlignment="1">
      <alignment horizontal="left" vertical="center"/>
    </xf>
    <xf numFmtId="0" fontId="43" fillId="38" borderId="26" xfId="0" applyFont="1" applyFill="1" applyBorder="1" applyAlignment="1">
      <alignment horizontal="left" vertical="center"/>
    </xf>
    <xf numFmtId="0" fontId="43" fillId="38" borderId="48" xfId="0" applyFont="1" applyFill="1" applyBorder="1" applyAlignment="1">
      <alignment horizontal="left" vertical="center"/>
    </xf>
    <xf numFmtId="0" fontId="43" fillId="38" borderId="29" xfId="0" applyFont="1" applyFill="1" applyBorder="1" applyAlignment="1">
      <alignment horizontal="left" vertical="center"/>
    </xf>
    <xf numFmtId="0" fontId="43" fillId="38" borderId="35" xfId="0" applyFont="1" applyFill="1" applyBorder="1" applyAlignment="1">
      <alignment horizontal="left" vertical="center"/>
    </xf>
    <xf numFmtId="0" fontId="43" fillId="38" borderId="28" xfId="0" applyFont="1" applyFill="1" applyBorder="1" applyAlignment="1">
      <alignment horizontal="left" vertical="center"/>
    </xf>
    <xf numFmtId="9" fontId="40" fillId="28" borderId="50" xfId="0" applyNumberFormat="1" applyFont="1" applyFill="1" applyBorder="1" applyAlignment="1">
      <alignment horizontal="center" vertical="center" wrapText="1"/>
    </xf>
    <xf numFmtId="0" fontId="40" fillId="17" borderId="4" xfId="0" applyFont="1" applyFill="1" applyBorder="1" applyAlignment="1">
      <alignment horizontal="right" vertical="center"/>
    </xf>
    <xf numFmtId="164" fontId="40" fillId="5" borderId="18" xfId="0" applyNumberFormat="1" applyFont="1" applyFill="1" applyBorder="1" applyAlignment="1">
      <alignment horizontal="center" vertical="center" wrapText="1"/>
    </xf>
    <xf numFmtId="0" fontId="40" fillId="17" borderId="4" xfId="0" applyFont="1" applyFill="1" applyBorder="1" applyAlignment="1">
      <alignment horizontal="right" vertical="center" wrapText="1"/>
    </xf>
    <xf numFmtId="0" fontId="1" fillId="25" borderId="4" xfId="2" applyFont="1" applyFill="1" applyBorder="1" applyAlignment="1">
      <alignment horizontal="center" vertical="center" wrapText="1"/>
    </xf>
    <xf numFmtId="0" fontId="1" fillId="25" borderId="18" xfId="2" applyFont="1" applyFill="1" applyBorder="1" applyAlignment="1">
      <alignment horizontal="center" vertical="center" wrapText="1"/>
    </xf>
    <xf numFmtId="0" fontId="38" fillId="25" borderId="27" xfId="2" applyFont="1" applyFill="1" applyBorder="1" applyAlignment="1">
      <alignment horizontal="center" vertical="center" wrapText="1"/>
    </xf>
    <xf numFmtId="0" fontId="38" fillId="25" borderId="29" xfId="2" applyFont="1" applyFill="1" applyBorder="1" applyAlignment="1">
      <alignment horizontal="center" vertical="center" wrapText="1"/>
    </xf>
    <xf numFmtId="0" fontId="76" fillId="0" borderId="18" xfId="0" applyFont="1" applyBorder="1" applyAlignment="1">
      <alignment horizontal="justify" vertical="center" wrapText="1"/>
    </xf>
    <xf numFmtId="0" fontId="76" fillId="0" borderId="3" xfId="0" applyFont="1" applyBorder="1" applyAlignment="1">
      <alignment horizontal="justify" vertical="center" wrapText="1"/>
    </xf>
    <xf numFmtId="14" fontId="38" fillId="25" borderId="27" xfId="2" applyNumberFormat="1" applyFont="1" applyFill="1" applyBorder="1" applyAlignment="1">
      <alignment horizontal="center" vertical="center" wrapText="1"/>
    </xf>
    <xf numFmtId="14" fontId="38" fillId="25" borderId="29" xfId="2" applyNumberFormat="1" applyFont="1" applyFill="1" applyBorder="1" applyAlignment="1">
      <alignment horizontal="center" vertical="center" wrapText="1"/>
    </xf>
    <xf numFmtId="0" fontId="76" fillId="0" borderId="48" xfId="0" applyFont="1" applyBorder="1" applyAlignment="1">
      <alignment horizontal="center" vertical="center" wrapText="1"/>
    </xf>
    <xf numFmtId="0" fontId="76" fillId="0" borderId="28" xfId="0" applyFont="1" applyBorder="1" applyAlignment="1">
      <alignment horizontal="center" vertical="center" wrapText="1"/>
    </xf>
    <xf numFmtId="0" fontId="42" fillId="47" borderId="47" xfId="0" applyFont="1" applyFill="1" applyBorder="1" applyAlignment="1">
      <alignment horizontal="center" vertical="center"/>
    </xf>
    <xf numFmtId="0" fontId="42" fillId="47" borderId="0" xfId="0" applyFont="1" applyFill="1" applyAlignment="1">
      <alignment horizontal="center" vertical="center"/>
    </xf>
    <xf numFmtId="0" fontId="42" fillId="47" borderId="50" xfId="0" applyFont="1" applyFill="1" applyBorder="1" applyAlignment="1">
      <alignment horizontal="center" vertical="center"/>
    </xf>
    <xf numFmtId="0" fontId="76" fillId="0" borderId="55" xfId="0" applyFont="1" applyBorder="1" applyAlignment="1">
      <alignment horizontal="justify" vertical="center" wrapText="1"/>
    </xf>
    <xf numFmtId="0" fontId="76" fillId="0" borderId="53" xfId="0" applyFont="1" applyBorder="1" applyAlignment="1">
      <alignment horizontal="justify" vertical="center" wrapText="1"/>
    </xf>
    <xf numFmtId="0" fontId="38" fillId="25" borderId="4" xfId="2" applyFont="1" applyFill="1" applyBorder="1" applyAlignment="1">
      <alignment horizontal="center" vertical="center" wrapText="1"/>
    </xf>
    <xf numFmtId="0" fontId="38" fillId="25" borderId="18" xfId="2" applyFont="1" applyFill="1" applyBorder="1" applyAlignment="1">
      <alignment horizontal="center" vertical="center" wrapText="1"/>
    </xf>
    <xf numFmtId="9" fontId="36" fillId="15" borderId="3" xfId="0" applyNumberFormat="1" applyFont="1" applyFill="1" applyBorder="1" applyAlignment="1">
      <alignment horizontal="center" vertical="center" wrapText="1"/>
    </xf>
    <xf numFmtId="14" fontId="38" fillId="25" borderId="4" xfId="2" applyNumberFormat="1" applyFont="1" applyFill="1" applyBorder="1" applyAlignment="1">
      <alignment horizontal="center" vertical="center" wrapText="1"/>
    </xf>
    <xf numFmtId="14" fontId="38" fillId="25" borderId="18" xfId="2" applyNumberFormat="1" applyFont="1" applyFill="1" applyBorder="1" applyAlignment="1">
      <alignment horizontal="center" vertical="center" wrapText="1"/>
    </xf>
    <xf numFmtId="9" fontId="36" fillId="15" borderId="4" xfId="0" applyNumberFormat="1" applyFont="1" applyFill="1" applyBorder="1" applyAlignment="1">
      <alignment horizontal="center" vertical="center" wrapText="1"/>
    </xf>
    <xf numFmtId="9" fontId="36" fillId="15" borderId="19" xfId="0" applyNumberFormat="1" applyFont="1" applyFill="1" applyBorder="1" applyAlignment="1">
      <alignment horizontal="center" vertical="center" wrapText="1"/>
    </xf>
    <xf numFmtId="9" fontId="36" fillId="15" borderId="18" xfId="0" applyNumberFormat="1" applyFont="1" applyFill="1" applyBorder="1" applyAlignment="1">
      <alignment horizontal="center" vertical="center" wrapText="1"/>
    </xf>
    <xf numFmtId="0" fontId="38" fillId="0" borderId="27" xfId="2" applyFont="1" applyBorder="1" applyAlignment="1">
      <alignment horizontal="center" vertical="center" wrapText="1"/>
    </xf>
    <xf numFmtId="0" fontId="38" fillId="0" borderId="47" xfId="2" applyFont="1" applyBorder="1" applyAlignment="1">
      <alignment horizontal="center" vertical="center" wrapText="1"/>
    </xf>
    <xf numFmtId="0" fontId="1" fillId="0" borderId="4" xfId="2" applyFont="1" applyBorder="1" applyAlignment="1">
      <alignment horizontal="center" vertical="center" wrapText="1"/>
    </xf>
    <xf numFmtId="0" fontId="1" fillId="0" borderId="19" xfId="2" applyFont="1" applyBorder="1" applyAlignment="1">
      <alignment horizontal="center" vertical="center" wrapText="1"/>
    </xf>
    <xf numFmtId="0" fontId="100" fillId="0" borderId="27" xfId="2" applyFont="1" applyBorder="1" applyAlignment="1">
      <alignment horizontal="center" vertical="center" wrapText="1"/>
    </xf>
    <xf numFmtId="0" fontId="100" fillId="0" borderId="47" xfId="2" applyFont="1" applyBorder="1" applyAlignment="1">
      <alignment horizontal="center" vertical="center" wrapText="1"/>
    </xf>
    <xf numFmtId="0" fontId="38" fillId="0" borderId="57" xfId="2" applyFont="1" applyBorder="1" applyAlignment="1">
      <alignment horizontal="center" vertical="center" wrapText="1"/>
    </xf>
    <xf numFmtId="0" fontId="38" fillId="0" borderId="79" xfId="2" applyFont="1" applyBorder="1" applyAlignment="1">
      <alignment horizontal="center" vertical="center" wrapText="1"/>
    </xf>
    <xf numFmtId="9" fontId="36" fillId="15" borderId="15" xfId="0" applyNumberFormat="1" applyFont="1" applyFill="1" applyBorder="1" applyAlignment="1">
      <alignment horizontal="center" vertical="center" wrapText="1"/>
    </xf>
    <xf numFmtId="0" fontId="38" fillId="0" borderId="76" xfId="2" applyFont="1" applyBorder="1" applyAlignment="1">
      <alignment horizontal="center" vertical="center" wrapText="1"/>
    </xf>
    <xf numFmtId="0" fontId="38" fillId="0" borderId="78" xfId="2" applyFont="1" applyBorder="1" applyAlignment="1">
      <alignment horizontal="center" vertical="center" wrapText="1"/>
    </xf>
    <xf numFmtId="0" fontId="36" fillId="0" borderId="4" xfId="0" applyFont="1" applyBorder="1" applyAlignment="1">
      <alignment horizontal="center" vertical="center" wrapText="1"/>
    </xf>
    <xf numFmtId="0" fontId="36" fillId="0" borderId="19" xfId="0" applyFont="1" applyBorder="1" applyAlignment="1">
      <alignment horizontal="center" vertical="center" wrapText="1"/>
    </xf>
    <xf numFmtId="0" fontId="1" fillId="0" borderId="3" xfId="2" applyFont="1" applyBorder="1" applyAlignment="1">
      <alignment horizontal="center" vertical="center" wrapText="1"/>
    </xf>
    <xf numFmtId="14" fontId="38" fillId="0" borderId="19" xfId="2" applyNumberFormat="1" applyFont="1" applyBorder="1" applyAlignment="1">
      <alignment horizontal="center" vertical="center" wrapText="1"/>
    </xf>
    <xf numFmtId="0" fontId="38" fillId="0" borderId="75" xfId="2" applyFont="1" applyBorder="1" applyAlignment="1">
      <alignment horizontal="center" vertical="center" wrapText="1"/>
    </xf>
    <xf numFmtId="0" fontId="38" fillId="0" borderId="77" xfId="2" applyFont="1" applyBorder="1" applyAlignment="1">
      <alignment horizontal="center" vertical="center" wrapText="1"/>
    </xf>
    <xf numFmtId="14" fontId="38" fillId="0" borderId="57" xfId="2" applyNumberFormat="1" applyFont="1" applyBorder="1" applyAlignment="1">
      <alignment horizontal="center" vertical="center" wrapText="1"/>
    </xf>
    <xf numFmtId="14" fontId="38" fillId="0" borderId="79" xfId="2" applyNumberFormat="1" applyFont="1" applyBorder="1" applyAlignment="1">
      <alignment horizontal="center" vertical="center" wrapText="1"/>
    </xf>
    <xf numFmtId="0" fontId="38" fillId="25" borderId="47" xfId="2" applyFont="1" applyFill="1" applyBorder="1" applyAlignment="1">
      <alignment horizontal="center" vertical="center" wrapText="1"/>
    </xf>
    <xf numFmtId="0" fontId="1" fillId="25" borderId="19" xfId="2" applyFont="1" applyFill="1" applyBorder="1" applyAlignment="1">
      <alignment horizontal="center" vertical="center" wrapText="1"/>
    </xf>
    <xf numFmtId="0" fontId="38" fillId="25" borderId="19" xfId="2" applyFont="1" applyFill="1" applyBorder="1" applyAlignment="1">
      <alignment horizontal="center" vertical="center" wrapText="1"/>
    </xf>
    <xf numFmtId="14" fontId="38" fillId="25" borderId="47" xfId="2" applyNumberFormat="1" applyFont="1" applyFill="1" applyBorder="1" applyAlignment="1">
      <alignment horizontal="center" vertical="center" wrapText="1"/>
    </xf>
    <xf numFmtId="0" fontId="38" fillId="25" borderId="80" xfId="2" applyFont="1" applyFill="1" applyBorder="1" applyAlignment="1">
      <alignment horizontal="center" vertical="center" wrapText="1"/>
    </xf>
    <xf numFmtId="0" fontId="1" fillId="25" borderId="3" xfId="2" applyFont="1" applyFill="1" applyBorder="1" applyAlignment="1">
      <alignment horizontal="center" vertical="center" wrapText="1"/>
    </xf>
    <xf numFmtId="0" fontId="38" fillId="25" borderId="3" xfId="2" applyFont="1" applyFill="1" applyBorder="1" applyAlignment="1">
      <alignment horizontal="center" vertical="center" wrapText="1"/>
    </xf>
    <xf numFmtId="0" fontId="38" fillId="25" borderId="15" xfId="2" applyFont="1" applyFill="1" applyBorder="1" applyAlignment="1">
      <alignment horizontal="center" vertical="center" wrapText="1"/>
    </xf>
    <xf numFmtId="0" fontId="36" fillId="0" borderId="47" xfId="4" applyFont="1" applyBorder="1" applyAlignment="1">
      <alignment horizontal="center"/>
    </xf>
    <xf numFmtId="0" fontId="36" fillId="0" borderId="0" xfId="4" applyFont="1" applyAlignment="1">
      <alignment horizontal="center"/>
    </xf>
    <xf numFmtId="0" fontId="43" fillId="44" borderId="36" xfId="0" applyFont="1" applyFill="1" applyBorder="1" applyAlignment="1">
      <alignment horizontal="left" vertical="center"/>
    </xf>
    <xf numFmtId="0" fontId="43" fillId="44" borderId="0" xfId="0" applyFont="1" applyFill="1" applyAlignment="1">
      <alignment horizontal="left" vertical="center"/>
    </xf>
    <xf numFmtId="0" fontId="42" fillId="46" borderId="3" xfId="0" applyFont="1" applyFill="1" applyBorder="1" applyAlignment="1">
      <alignment horizontal="center" vertical="center" wrapText="1"/>
    </xf>
    <xf numFmtId="0" fontId="42" fillId="47" borderId="3" xfId="0" applyFont="1" applyFill="1" applyBorder="1" applyAlignment="1">
      <alignment horizontal="center" vertical="center"/>
    </xf>
    <xf numFmtId="0" fontId="36" fillId="0" borderId="0" xfId="4" applyFont="1"/>
    <xf numFmtId="0" fontId="36" fillId="0" borderId="48" xfId="4" applyFont="1" applyBorder="1"/>
    <xf numFmtId="0" fontId="49" fillId="0" borderId="23" xfId="4" applyFont="1" applyBorder="1" applyAlignment="1">
      <alignment horizontal="center" vertical="center"/>
    </xf>
    <xf numFmtId="0" fontId="49" fillId="0" borderId="58" xfId="4" applyFont="1" applyBorder="1" applyAlignment="1">
      <alignment horizontal="center" vertical="center"/>
    </xf>
    <xf numFmtId="0" fontId="49" fillId="0" borderId="61" xfId="4" applyFont="1" applyBorder="1" applyAlignment="1">
      <alignment horizontal="center" vertical="center"/>
    </xf>
    <xf numFmtId="0" fontId="84" fillId="15" borderId="3" xfId="4" applyFont="1" applyFill="1" applyBorder="1" applyAlignment="1">
      <alignment horizontal="center" vertical="center" wrapText="1"/>
    </xf>
    <xf numFmtId="0" fontId="83" fillId="15" borderId="3" xfId="4" applyFont="1" applyFill="1" applyBorder="1" applyAlignment="1">
      <alignment horizontal="center" vertical="center" wrapText="1"/>
    </xf>
    <xf numFmtId="14" fontId="83" fillId="15" borderId="3" xfId="4" applyNumberFormat="1" applyFont="1" applyFill="1" applyBorder="1" applyAlignment="1">
      <alignment horizontal="center" vertical="center" wrapText="1"/>
    </xf>
    <xf numFmtId="14" fontId="83" fillId="0" borderId="3" xfId="4" applyNumberFormat="1" applyFont="1" applyBorder="1" applyAlignment="1">
      <alignment horizontal="center" vertical="center"/>
    </xf>
    <xf numFmtId="0" fontId="83" fillId="15" borderId="3" xfId="0" applyFont="1" applyFill="1" applyBorder="1" applyAlignment="1">
      <alignment horizontal="center" vertical="center" wrapText="1"/>
    </xf>
    <xf numFmtId="0" fontId="61" fillId="0" borderId="0" xfId="4" applyFont="1"/>
    <xf numFmtId="0" fontId="36" fillId="0" borderId="47" xfId="4" applyFont="1" applyBorder="1"/>
    <xf numFmtId="0" fontId="48" fillId="15" borderId="27" xfId="4" applyFont="1" applyFill="1" applyBorder="1" applyAlignment="1">
      <alignment horizontal="center" vertical="center" wrapText="1"/>
    </xf>
    <xf numFmtId="0" fontId="48" fillId="15" borderId="36" xfId="4" applyFont="1" applyFill="1" applyBorder="1" applyAlignment="1">
      <alignment horizontal="center" vertical="center" wrapText="1"/>
    </xf>
    <xf numFmtId="0" fontId="48" fillId="15" borderId="26" xfId="4" applyFont="1" applyFill="1" applyBorder="1" applyAlignment="1">
      <alignment horizontal="center" vertical="center" wrapText="1"/>
    </xf>
    <xf numFmtId="0" fontId="48" fillId="15" borderId="47" xfId="4" applyFont="1" applyFill="1" applyBorder="1" applyAlignment="1">
      <alignment horizontal="center" vertical="center" wrapText="1"/>
    </xf>
    <xf numFmtId="0" fontId="48" fillId="15" borderId="0" xfId="4" applyFont="1" applyFill="1" applyAlignment="1">
      <alignment horizontal="center" vertical="center" wrapText="1"/>
    </xf>
    <xf numFmtId="0" fontId="48" fillId="15" borderId="48" xfId="4" applyFont="1" applyFill="1" applyBorder="1" applyAlignment="1">
      <alignment horizontal="center" vertical="center" wrapText="1"/>
    </xf>
    <xf numFmtId="0" fontId="43" fillId="24" borderId="27" xfId="0" applyFont="1" applyFill="1" applyBorder="1" applyAlignment="1">
      <alignment horizontal="center" vertical="center"/>
    </xf>
    <xf numFmtId="0" fontId="43" fillId="24" borderId="36" xfId="0" applyFont="1" applyFill="1" applyBorder="1" applyAlignment="1">
      <alignment horizontal="center" vertical="center"/>
    </xf>
    <xf numFmtId="0" fontId="43" fillId="24" borderId="29" xfId="0" applyFont="1" applyFill="1" applyBorder="1" applyAlignment="1">
      <alignment horizontal="center" vertical="center"/>
    </xf>
    <xf numFmtId="0" fontId="43" fillId="24" borderId="35" xfId="0" applyFont="1" applyFill="1" applyBorder="1" applyAlignment="1">
      <alignment horizontal="center" vertical="center"/>
    </xf>
    <xf numFmtId="0" fontId="44" fillId="25" borderId="27" xfId="0" applyFont="1" applyFill="1" applyBorder="1" applyAlignment="1">
      <alignment horizontal="center" vertical="center"/>
    </xf>
    <xf numFmtId="0" fontId="44" fillId="25" borderId="36" xfId="0" applyFont="1" applyFill="1" applyBorder="1" applyAlignment="1">
      <alignment horizontal="center" vertical="center"/>
    </xf>
    <xf numFmtId="0" fontId="44" fillId="25" borderId="26" xfId="0" applyFont="1" applyFill="1" applyBorder="1" applyAlignment="1">
      <alignment horizontal="center" vertical="center"/>
    </xf>
    <xf numFmtId="0" fontId="44" fillId="25" borderId="29" xfId="0" applyFont="1" applyFill="1" applyBorder="1" applyAlignment="1">
      <alignment horizontal="center" vertical="center"/>
    </xf>
    <xf numFmtId="0" fontId="44" fillId="25" borderId="35" xfId="0" applyFont="1" applyFill="1" applyBorder="1" applyAlignment="1">
      <alignment horizontal="center" vertical="center"/>
    </xf>
    <xf numFmtId="0" fontId="44" fillId="25" borderId="28" xfId="0" applyFont="1" applyFill="1" applyBorder="1" applyAlignment="1">
      <alignment horizontal="center" vertical="center"/>
    </xf>
    <xf numFmtId="0" fontId="61" fillId="0" borderId="38" xfId="4" applyFont="1" applyBorder="1" applyAlignment="1">
      <alignment horizontal="center" vertical="center"/>
    </xf>
    <xf numFmtId="0" fontId="36" fillId="41" borderId="0" xfId="4" applyFont="1" applyFill="1"/>
    <xf numFmtId="0" fontId="36" fillId="0" borderId="50" xfId="4" applyFont="1" applyBorder="1"/>
    <xf numFmtId="164" fontId="62" fillId="0" borderId="25" xfId="4" applyNumberFormat="1" applyFont="1" applyBorder="1" applyAlignment="1">
      <alignment horizontal="center" vertical="center" wrapText="1"/>
    </xf>
    <xf numFmtId="164" fontId="62" fillId="0" borderId="20" xfId="4" applyNumberFormat="1" applyFont="1" applyBorder="1" applyAlignment="1">
      <alignment horizontal="center" vertical="center" wrapText="1"/>
    </xf>
    <xf numFmtId="164" fontId="62" fillId="0" borderId="52" xfId="4" applyNumberFormat="1" applyFont="1" applyBorder="1" applyAlignment="1">
      <alignment horizontal="center" vertical="center" wrapText="1"/>
    </xf>
    <xf numFmtId="164" fontId="65" fillId="35" borderId="23" xfId="4" applyNumberFormat="1" applyFont="1" applyFill="1" applyBorder="1" applyAlignment="1">
      <alignment horizontal="center" vertical="center" wrapText="1"/>
    </xf>
    <xf numFmtId="164" fontId="65" fillId="35" borderId="58" xfId="4" applyNumberFormat="1" applyFont="1" applyFill="1" applyBorder="1" applyAlignment="1">
      <alignment horizontal="center" vertical="center" wrapText="1"/>
    </xf>
    <xf numFmtId="164" fontId="65" fillId="35" borderId="61" xfId="4" applyNumberFormat="1" applyFont="1" applyFill="1" applyBorder="1" applyAlignment="1">
      <alignment horizontal="center" vertical="center" wrapText="1"/>
    </xf>
    <xf numFmtId="0" fontId="58" fillId="0" borderId="37" xfId="4" applyFont="1" applyBorder="1" applyAlignment="1">
      <alignment horizontal="left" vertical="center" wrapText="1"/>
    </xf>
    <xf numFmtId="0" fontId="58" fillId="0" borderId="39" xfId="4" applyFont="1" applyBorder="1" applyAlignment="1">
      <alignment horizontal="left" vertical="center" wrapText="1"/>
    </xf>
    <xf numFmtId="0" fontId="86" fillId="15" borderId="3" xfId="4" applyFont="1" applyFill="1" applyBorder="1" applyAlignment="1">
      <alignment horizontal="center" vertical="center" wrapText="1"/>
    </xf>
    <xf numFmtId="0" fontId="36" fillId="15" borderId="37" xfId="4" applyFont="1" applyFill="1" applyBorder="1" applyAlignment="1">
      <alignment horizontal="left" vertical="center" wrapText="1"/>
    </xf>
    <xf numFmtId="0" fontId="36" fillId="15" borderId="39" xfId="4" applyFont="1" applyFill="1" applyBorder="1" applyAlignment="1">
      <alignment horizontal="left" vertical="center" wrapText="1"/>
    </xf>
    <xf numFmtId="164" fontId="63" fillId="15" borderId="31" xfId="4" applyNumberFormat="1" applyFont="1" applyFill="1" applyBorder="1" applyAlignment="1">
      <alignment horizontal="center" vertical="center"/>
    </xf>
    <xf numFmtId="164" fontId="63" fillId="15" borderId="10" xfId="4" applyNumberFormat="1" applyFont="1" applyFill="1" applyBorder="1" applyAlignment="1">
      <alignment horizontal="center" vertical="center"/>
    </xf>
    <xf numFmtId="164" fontId="63" fillId="15" borderId="12" xfId="4" applyNumberFormat="1" applyFont="1" applyFill="1" applyBorder="1" applyAlignment="1">
      <alignment horizontal="center" vertical="center"/>
    </xf>
    <xf numFmtId="9" fontId="59" fillId="0" borderId="13" xfId="4" applyNumberFormat="1" applyFont="1" applyBorder="1" applyAlignment="1">
      <alignment horizontal="center" vertical="center"/>
    </xf>
    <xf numFmtId="9" fontId="59" fillId="0" borderId="31" xfId="4" applyNumberFormat="1" applyFont="1" applyBorder="1" applyAlignment="1">
      <alignment horizontal="center" vertical="center"/>
    </xf>
    <xf numFmtId="0" fontId="36" fillId="23" borderId="37" xfId="10" applyFont="1" applyFill="1" applyBorder="1" applyAlignment="1">
      <alignment horizontal="left" vertical="center" wrapText="1"/>
    </xf>
    <xf numFmtId="0" fontId="36" fillId="23" borderId="39" xfId="10" applyFont="1" applyFill="1" applyBorder="1" applyAlignment="1">
      <alignment horizontal="left" vertical="center" wrapText="1"/>
    </xf>
    <xf numFmtId="0" fontId="36" fillId="15" borderId="37" xfId="4" applyFont="1" applyFill="1" applyBorder="1" applyAlignment="1">
      <alignment vertical="center" wrapText="1"/>
    </xf>
    <xf numFmtId="164" fontId="63" fillId="15" borderId="13" xfId="4" applyNumberFormat="1" applyFont="1" applyFill="1" applyBorder="1" applyAlignment="1">
      <alignment horizontal="center" vertical="center"/>
    </xf>
    <xf numFmtId="0" fontId="36" fillId="15" borderId="35" xfId="4" applyFont="1" applyFill="1" applyBorder="1" applyAlignment="1">
      <alignment horizontal="left" vertical="center" wrapText="1"/>
    </xf>
    <xf numFmtId="164" fontId="63" fillId="15" borderId="8" xfId="4" applyNumberFormat="1" applyFont="1" applyFill="1" applyBorder="1" applyAlignment="1">
      <alignment horizontal="center" vertical="center"/>
    </xf>
    <xf numFmtId="0" fontId="36" fillId="15" borderId="35" xfId="4" applyFont="1" applyFill="1" applyBorder="1" applyAlignment="1">
      <alignment vertical="center" wrapText="1"/>
    </xf>
    <xf numFmtId="0" fontId="36" fillId="15" borderId="0" xfId="4" applyFont="1" applyFill="1"/>
    <xf numFmtId="0" fontId="36" fillId="15" borderId="50" xfId="4" applyFont="1" applyFill="1" applyBorder="1"/>
    <xf numFmtId="164" fontId="63" fillId="34" borderId="9" xfId="4" applyNumberFormat="1" applyFont="1" applyFill="1" applyBorder="1" applyAlignment="1">
      <alignment horizontal="center" vertical="center"/>
    </xf>
    <xf numFmtId="164" fontId="63" fillId="34" borderId="17" xfId="4" applyNumberFormat="1" applyFont="1" applyFill="1" applyBorder="1" applyAlignment="1">
      <alignment horizontal="center" vertical="center"/>
    </xf>
    <xf numFmtId="164" fontId="63" fillId="34" borderId="7" xfId="4" applyNumberFormat="1" applyFont="1" applyFill="1" applyBorder="1" applyAlignment="1">
      <alignment horizontal="center" vertical="center"/>
    </xf>
    <xf numFmtId="0" fontId="49" fillId="15" borderId="63" xfId="4" applyFont="1" applyFill="1" applyBorder="1" applyAlignment="1">
      <alignment horizontal="center" vertical="center"/>
    </xf>
    <xf numFmtId="0" fontId="49" fillId="15" borderId="44" xfId="4" applyFont="1" applyFill="1" applyBorder="1" applyAlignment="1">
      <alignment horizontal="center" vertical="center"/>
    </xf>
    <xf numFmtId="0" fontId="83" fillId="0" borderId="3" xfId="18" applyFont="1" applyBorder="1" applyAlignment="1">
      <alignment horizontal="center" vertical="center" wrapText="1"/>
    </xf>
    <xf numFmtId="0" fontId="83" fillId="15" borderId="3" xfId="18" applyFont="1" applyFill="1" applyBorder="1" applyAlignment="1">
      <alignment horizontal="center" vertical="center" wrapText="1"/>
    </xf>
    <xf numFmtId="0" fontId="86" fillId="0" borderId="3" xfId="18" applyFont="1" applyBorder="1" applyAlignment="1">
      <alignment horizontal="center" vertical="center" wrapText="1"/>
    </xf>
    <xf numFmtId="0" fontId="86" fillId="15" borderId="3" xfId="18" applyFont="1" applyFill="1" applyBorder="1" applyAlignment="1">
      <alignment horizontal="center" vertical="center" wrapText="1"/>
    </xf>
    <xf numFmtId="164" fontId="59" fillId="0" borderId="8" xfId="4" applyNumberFormat="1" applyFont="1" applyBorder="1" applyAlignment="1">
      <alignment horizontal="center" vertical="center"/>
    </xf>
    <xf numFmtId="164" fontId="59" fillId="0" borderId="10" xfId="4" applyNumberFormat="1" applyFont="1" applyBorder="1" applyAlignment="1">
      <alignment horizontal="center" vertical="center"/>
    </xf>
    <xf numFmtId="9" fontId="59" fillId="0" borderId="20" xfId="4" applyNumberFormat="1" applyFont="1" applyBorder="1" applyAlignment="1">
      <alignment horizontal="center" vertical="center"/>
    </xf>
    <xf numFmtId="0" fontId="36" fillId="15" borderId="41" xfId="4" applyFont="1" applyFill="1" applyBorder="1" applyAlignment="1">
      <alignment horizontal="left" vertical="center" wrapText="1"/>
    </xf>
    <xf numFmtId="0" fontId="83" fillId="0" borderId="3" xfId="4" applyFont="1" applyBorder="1" applyAlignment="1">
      <alignment horizontal="center" vertical="center" wrapText="1"/>
    </xf>
    <xf numFmtId="9" fontId="59" fillId="0" borderId="60" xfId="4" applyNumberFormat="1" applyFont="1" applyBorder="1" applyAlignment="1">
      <alignment horizontal="center" vertical="center"/>
    </xf>
    <xf numFmtId="9" fontId="59" fillId="0" borderId="62" xfId="4" applyNumberFormat="1" applyFont="1" applyBorder="1" applyAlignment="1">
      <alignment horizontal="center" vertical="center"/>
    </xf>
    <xf numFmtId="0" fontId="17" fillId="0" borderId="35" xfId="0" applyFont="1" applyBorder="1" applyAlignment="1">
      <alignment horizontal="left" vertical="center" wrapText="1"/>
    </xf>
    <xf numFmtId="0" fontId="17" fillId="0" borderId="37" xfId="0" applyFont="1" applyBorder="1" applyAlignment="1">
      <alignment horizontal="left" vertical="center" wrapText="1"/>
    </xf>
    <xf numFmtId="0" fontId="86" fillId="15" borderId="19" xfId="18" applyFont="1" applyFill="1" applyBorder="1" applyAlignment="1">
      <alignment horizontal="center" vertical="center" wrapText="1"/>
    </xf>
    <xf numFmtId="0" fontId="86" fillId="0" borderId="18" xfId="18" applyFont="1" applyBorder="1" applyAlignment="1">
      <alignment horizontal="center" vertical="center" wrapText="1"/>
    </xf>
    <xf numFmtId="0" fontId="83" fillId="23" borderId="3" xfId="8" applyFont="1" applyFill="1" applyBorder="1" applyAlignment="1">
      <alignment horizontal="center" vertical="center" wrapText="1"/>
    </xf>
    <xf numFmtId="14" fontId="83" fillId="25" borderId="3" xfId="8" applyNumberFormat="1" applyFont="1" applyFill="1" applyBorder="1" applyAlignment="1">
      <alignment horizontal="center" vertical="center"/>
    </xf>
    <xf numFmtId="0" fontId="83" fillId="0" borderId="14" xfId="18" applyFont="1" applyBorder="1" applyAlignment="1">
      <alignment horizontal="center" vertical="center" wrapText="1"/>
    </xf>
    <xf numFmtId="0" fontId="83" fillId="0" borderId="48" xfId="18" applyFont="1" applyBorder="1" applyAlignment="1">
      <alignment horizontal="center" vertical="center" wrapText="1"/>
    </xf>
    <xf numFmtId="0" fontId="83" fillId="15" borderId="19" xfId="18" applyFont="1" applyFill="1" applyBorder="1" applyAlignment="1">
      <alignment horizontal="center" vertical="center" wrapText="1"/>
    </xf>
    <xf numFmtId="0" fontId="86" fillId="0" borderId="19" xfId="18" applyFont="1" applyBorder="1" applyAlignment="1">
      <alignment horizontal="center" vertical="center" wrapText="1"/>
    </xf>
    <xf numFmtId="0" fontId="38" fillId="15" borderId="65" xfId="4" applyFont="1" applyFill="1" applyBorder="1" applyAlignment="1">
      <alignment horizontal="center" vertical="center" wrapText="1"/>
    </xf>
    <xf numFmtId="0" fontId="38" fillId="15" borderId="14" xfId="4" applyFont="1" applyFill="1" applyBorder="1" applyAlignment="1">
      <alignment horizontal="center" vertical="center" wrapText="1"/>
    </xf>
    <xf numFmtId="0" fontId="36" fillId="0" borderId="37" xfId="4" applyFont="1" applyBorder="1" applyAlignment="1">
      <alignment horizontal="center" vertical="center" wrapText="1"/>
    </xf>
    <xf numFmtId="0" fontId="83" fillId="25" borderId="3" xfId="18" applyFont="1" applyFill="1" applyBorder="1" applyAlignment="1">
      <alignment horizontal="center" vertical="center" wrapText="1"/>
    </xf>
    <xf numFmtId="0" fontId="83" fillId="25" borderId="58" xfId="18" applyFont="1" applyFill="1" applyBorder="1" applyAlignment="1">
      <alignment horizontal="center" vertical="center" wrapText="1"/>
    </xf>
    <xf numFmtId="0" fontId="83" fillId="23" borderId="3" xfId="18" applyFont="1" applyFill="1" applyBorder="1" applyAlignment="1">
      <alignment horizontal="center" vertical="center" wrapText="1"/>
    </xf>
    <xf numFmtId="0" fontId="83" fillId="23" borderId="19" xfId="18" applyFont="1" applyFill="1" applyBorder="1" applyAlignment="1">
      <alignment horizontal="center" vertical="center" wrapText="1"/>
    </xf>
    <xf numFmtId="0" fontId="86" fillId="25" borderId="3" xfId="8" applyFont="1" applyFill="1" applyBorder="1" applyAlignment="1">
      <alignment horizontal="center" vertical="center" wrapText="1"/>
    </xf>
    <xf numFmtId="0" fontId="86" fillId="23" borderId="3" xfId="8" applyFont="1" applyFill="1" applyBorder="1" applyAlignment="1">
      <alignment horizontal="center" vertical="center" wrapText="1"/>
    </xf>
    <xf numFmtId="164" fontId="59" fillId="0" borderId="13" xfId="4" applyNumberFormat="1" applyFont="1" applyBorder="1" applyAlignment="1">
      <alignment horizontal="center" vertical="center"/>
    </xf>
    <xf numFmtId="164" fontId="63" fillId="34" borderId="30" xfId="4" applyNumberFormat="1" applyFont="1" applyFill="1" applyBorder="1" applyAlignment="1">
      <alignment horizontal="center" vertical="center"/>
    </xf>
    <xf numFmtId="164" fontId="63" fillId="34" borderId="11" xfId="4" applyNumberFormat="1" applyFont="1" applyFill="1" applyBorder="1" applyAlignment="1">
      <alignment horizontal="center" vertical="center"/>
    </xf>
    <xf numFmtId="14" fontId="83" fillId="0" borderId="3" xfId="4" applyNumberFormat="1" applyFont="1" applyBorder="1" applyAlignment="1">
      <alignment horizontal="center" vertical="center" wrapText="1"/>
    </xf>
    <xf numFmtId="14" fontId="59" fillId="0" borderId="42" xfId="4" applyNumberFormat="1" applyFont="1" applyBorder="1" applyAlignment="1">
      <alignment horizontal="center" vertical="center"/>
    </xf>
    <xf numFmtId="14" fontId="59" fillId="0" borderId="28" xfId="4" applyNumberFormat="1" applyFont="1" applyBorder="1" applyAlignment="1">
      <alignment horizontal="center" vertical="center"/>
    </xf>
    <xf numFmtId="0" fontId="83" fillId="15" borderId="4" xfId="4" applyFont="1" applyFill="1" applyBorder="1" applyAlignment="1">
      <alignment horizontal="center" vertical="center" wrapText="1"/>
    </xf>
    <xf numFmtId="0" fontId="83" fillId="15" borderId="19" xfId="4" applyFont="1" applyFill="1" applyBorder="1" applyAlignment="1">
      <alignment horizontal="center" vertical="center" wrapText="1"/>
    </xf>
    <xf numFmtId="0" fontId="83" fillId="15" borderId="18" xfId="4" applyFont="1" applyFill="1" applyBorder="1" applyAlignment="1">
      <alignment horizontal="center" vertical="center" wrapText="1"/>
    </xf>
    <xf numFmtId="0" fontId="85" fillId="67" borderId="4" xfId="4" applyFont="1" applyFill="1" applyBorder="1" applyAlignment="1">
      <alignment horizontal="center" vertical="center" wrapText="1"/>
    </xf>
    <xf numFmtId="0" fontId="85" fillId="67" borderId="19" xfId="4" applyFont="1" applyFill="1" applyBorder="1" applyAlignment="1">
      <alignment horizontal="center" vertical="center" wrapText="1"/>
    </xf>
    <xf numFmtId="0" fontId="85" fillId="67" borderId="18" xfId="4" applyFont="1" applyFill="1" applyBorder="1" applyAlignment="1">
      <alignment horizontal="center" vertical="center" wrapText="1"/>
    </xf>
    <xf numFmtId="0" fontId="85" fillId="66" borderId="4" xfId="4" applyFont="1" applyFill="1" applyBorder="1" applyAlignment="1">
      <alignment horizontal="center" vertical="center" wrapText="1"/>
    </xf>
    <xf numFmtId="0" fontId="85" fillId="66" borderId="19" xfId="4" applyFont="1" applyFill="1" applyBorder="1" applyAlignment="1">
      <alignment horizontal="center" vertical="center" wrapText="1"/>
    </xf>
    <xf numFmtId="0" fontId="85" fillId="59" borderId="3" xfId="4" applyFont="1" applyFill="1" applyBorder="1" applyAlignment="1">
      <alignment horizontal="center" vertical="center" wrapText="1"/>
    </xf>
    <xf numFmtId="0" fontId="86" fillId="15" borderId="18" xfId="18" applyFont="1" applyFill="1" applyBorder="1" applyAlignment="1">
      <alignment horizontal="center" vertical="center" wrapText="1"/>
    </xf>
    <xf numFmtId="0" fontId="83" fillId="0" borderId="26" xfId="18" applyFont="1" applyBorder="1" applyAlignment="1">
      <alignment horizontal="center" vertical="center" wrapText="1"/>
    </xf>
    <xf numFmtId="0" fontId="83" fillId="0" borderId="28" xfId="18" applyFont="1" applyBorder="1" applyAlignment="1">
      <alignment horizontal="center" vertical="center" wrapText="1"/>
    </xf>
    <xf numFmtId="0" fontId="83" fillId="15" borderId="5" xfId="18" applyFont="1" applyFill="1" applyBorder="1" applyAlignment="1">
      <alignment horizontal="center" vertical="center" wrapText="1"/>
    </xf>
    <xf numFmtId="0" fontId="86" fillId="0" borderId="5" xfId="18" applyFont="1" applyBorder="1" applyAlignment="1">
      <alignment horizontal="center" vertical="center" wrapText="1"/>
    </xf>
    <xf numFmtId="0" fontId="86" fillId="15" borderId="5" xfId="18" applyFont="1" applyFill="1" applyBorder="1" applyAlignment="1">
      <alignment horizontal="center" vertical="center" wrapText="1"/>
    </xf>
    <xf numFmtId="0" fontId="83" fillId="15" borderId="18" xfId="18" applyFont="1" applyFill="1" applyBorder="1" applyAlignment="1">
      <alignment horizontal="center" vertical="center" wrapText="1"/>
    </xf>
    <xf numFmtId="0" fontId="92" fillId="57" borderId="3" xfId="4" applyFont="1" applyFill="1" applyBorder="1" applyAlignment="1">
      <alignment horizontal="center" vertical="center" wrapText="1"/>
    </xf>
    <xf numFmtId="0" fontId="92" fillId="48" borderId="3" xfId="4" applyFont="1" applyFill="1" applyBorder="1" applyAlignment="1">
      <alignment horizontal="center" vertical="center" wrapText="1"/>
    </xf>
    <xf numFmtId="0" fontId="101" fillId="58" borderId="4" xfId="4" applyFont="1" applyFill="1" applyBorder="1" applyAlignment="1">
      <alignment horizontal="center" vertical="center" wrapText="1"/>
    </xf>
    <xf numFmtId="0" fontId="101" fillId="58" borderId="19" xfId="4" applyFont="1" applyFill="1" applyBorder="1" applyAlignment="1">
      <alignment horizontal="center" vertical="center" wrapText="1"/>
    </xf>
    <xf numFmtId="0" fontId="101" fillId="58" borderId="18" xfId="4" applyFont="1" applyFill="1" applyBorder="1" applyAlignment="1">
      <alignment horizontal="center" vertical="center" wrapText="1"/>
    </xf>
    <xf numFmtId="0" fontId="92" fillId="56" borderId="4" xfId="4" applyFont="1" applyFill="1" applyBorder="1" applyAlignment="1">
      <alignment horizontal="center" vertical="center" wrapText="1"/>
    </xf>
    <xf numFmtId="0" fontId="92" fillId="56" borderId="19" xfId="4" applyFont="1" applyFill="1" applyBorder="1" applyAlignment="1">
      <alignment horizontal="center" vertical="center" wrapText="1"/>
    </xf>
    <xf numFmtId="0" fontId="92" fillId="56" borderId="18" xfId="4" applyFont="1" applyFill="1" applyBorder="1" applyAlignment="1">
      <alignment horizontal="center" vertical="center" wrapText="1"/>
    </xf>
    <xf numFmtId="0" fontId="85" fillId="64" borderId="26" xfId="4" applyFont="1" applyFill="1" applyBorder="1" applyAlignment="1">
      <alignment horizontal="center" vertical="center" wrapText="1"/>
    </xf>
    <xf numFmtId="0" fontId="85" fillId="64" borderId="48" xfId="4" applyFont="1" applyFill="1" applyBorder="1" applyAlignment="1">
      <alignment horizontal="center" vertical="center" wrapText="1"/>
    </xf>
    <xf numFmtId="0" fontId="83" fillId="0" borderId="4" xfId="18" applyFont="1" applyBorder="1" applyAlignment="1">
      <alignment horizontal="center" vertical="center" wrapText="1"/>
    </xf>
    <xf numFmtId="0" fontId="83" fillId="15" borderId="4" xfId="18" applyFont="1" applyFill="1" applyBorder="1" applyAlignment="1">
      <alignment horizontal="center" vertical="center" wrapText="1"/>
    </xf>
    <xf numFmtId="0" fontId="85" fillId="60" borderId="14" xfId="4" applyFont="1" applyFill="1" applyBorder="1" applyAlignment="1">
      <alignment horizontal="center" vertical="center" wrapText="1"/>
    </xf>
    <xf numFmtId="14" fontId="83" fillId="0" borderId="24" xfId="4" applyNumberFormat="1" applyFont="1" applyBorder="1" applyAlignment="1">
      <alignment horizontal="center" vertical="center" wrapText="1"/>
    </xf>
    <xf numFmtId="14" fontId="83" fillId="0" borderId="18" xfId="4" applyNumberFormat="1" applyFont="1" applyBorder="1" applyAlignment="1">
      <alignment horizontal="center" vertical="center" wrapText="1"/>
    </xf>
    <xf numFmtId="0" fontId="85" fillId="63" borderId="4" xfId="4" applyFont="1" applyFill="1" applyBorder="1" applyAlignment="1">
      <alignment horizontal="center" vertical="center" wrapText="1"/>
    </xf>
    <xf numFmtId="0" fontId="85" fillId="63" borderId="19" xfId="4" applyFont="1" applyFill="1" applyBorder="1" applyAlignment="1">
      <alignment horizontal="center" vertical="center" wrapText="1"/>
    </xf>
    <xf numFmtId="0" fontId="86" fillId="15" borderId="4" xfId="18" applyFont="1" applyFill="1" applyBorder="1" applyAlignment="1">
      <alignment horizontal="center" vertical="center" wrapText="1"/>
    </xf>
    <xf numFmtId="0" fontId="85" fillId="65" borderId="3" xfId="4" applyFont="1" applyFill="1" applyBorder="1" applyAlignment="1">
      <alignment horizontal="center" vertical="center" wrapText="1"/>
    </xf>
    <xf numFmtId="0" fontId="85" fillId="68" borderId="19" xfId="4" applyFont="1" applyFill="1" applyBorder="1" applyAlignment="1">
      <alignment horizontal="center" vertical="center" wrapText="1"/>
    </xf>
    <xf numFmtId="0" fontId="102" fillId="22" borderId="4" xfId="4" applyFont="1" applyFill="1" applyBorder="1" applyAlignment="1">
      <alignment horizontal="center" vertical="center" wrapText="1"/>
    </xf>
    <xf numFmtId="0" fontId="102" fillId="22" borderId="18" xfId="4" applyFont="1" applyFill="1" applyBorder="1" applyAlignment="1">
      <alignment horizontal="center" vertical="center" wrapText="1"/>
    </xf>
    <xf numFmtId="0" fontId="102" fillId="22" borderId="3" xfId="4" applyFont="1" applyFill="1" applyBorder="1" applyAlignment="1">
      <alignment horizontal="center" vertical="center" wrapText="1"/>
    </xf>
    <xf numFmtId="0" fontId="85" fillId="62" borderId="3" xfId="4" applyFont="1" applyFill="1" applyBorder="1" applyAlignment="1">
      <alignment horizontal="center" vertical="center" wrapText="1"/>
    </xf>
    <xf numFmtId="0" fontId="102" fillId="61" borderId="3" xfId="4" applyFont="1" applyFill="1" applyBorder="1" applyAlignment="1">
      <alignment horizontal="center" vertical="center" wrapText="1"/>
    </xf>
    <xf numFmtId="14" fontId="72" fillId="0" borderId="4" xfId="0" applyNumberFormat="1" applyFont="1" applyBorder="1" applyAlignment="1">
      <alignment horizontal="center" vertical="center" wrapText="1"/>
    </xf>
    <xf numFmtId="14" fontId="72" fillId="0" borderId="18" xfId="0" applyNumberFormat="1" applyFont="1" applyBorder="1" applyAlignment="1">
      <alignment horizontal="center" vertical="center" wrapText="1"/>
    </xf>
    <xf numFmtId="14" fontId="72" fillId="0" borderId="19" xfId="0" applyNumberFormat="1" applyFont="1" applyBorder="1" applyAlignment="1">
      <alignment horizontal="center" vertical="center" wrapText="1"/>
    </xf>
    <xf numFmtId="0" fontId="14" fillId="0" borderId="27" xfId="2" applyFont="1" applyBorder="1" applyAlignment="1">
      <alignment horizontal="center" vertical="center" wrapText="1"/>
    </xf>
    <xf numFmtId="0" fontId="14" fillId="0" borderId="36" xfId="2" applyFont="1" applyBorder="1" applyAlignment="1">
      <alignment horizontal="center" vertical="center" wrapText="1"/>
    </xf>
    <xf numFmtId="0" fontId="14" fillId="0" borderId="26" xfId="2" applyFont="1" applyBorder="1" applyAlignment="1">
      <alignment horizontal="center" vertical="center" wrapText="1"/>
    </xf>
    <xf numFmtId="0" fontId="14" fillId="0" borderId="47" xfId="2" applyFont="1" applyBorder="1" applyAlignment="1">
      <alignment horizontal="center" vertical="center" wrapText="1"/>
    </xf>
    <xf numFmtId="0" fontId="14" fillId="0" borderId="0" xfId="2" applyFont="1" applyAlignment="1">
      <alignment horizontal="center" vertical="center" wrapText="1"/>
    </xf>
    <xf numFmtId="0" fontId="14" fillId="0" borderId="48" xfId="2" applyFont="1" applyBorder="1" applyAlignment="1">
      <alignment horizontal="center" vertical="center" wrapText="1"/>
    </xf>
    <xf numFmtId="0" fontId="14" fillId="0" borderId="29" xfId="2" applyFont="1" applyBorder="1" applyAlignment="1">
      <alignment horizontal="center" vertical="center" wrapText="1"/>
    </xf>
    <xf numFmtId="0" fontId="14" fillId="0" borderId="35" xfId="2" applyFont="1" applyBorder="1" applyAlignment="1">
      <alignment horizontal="center" vertical="center" wrapText="1"/>
    </xf>
    <xf numFmtId="0" fontId="14" fillId="0" borderId="28" xfId="2" applyFont="1" applyBorder="1" applyAlignment="1">
      <alignment horizontal="center" vertical="center" wrapText="1"/>
    </xf>
    <xf numFmtId="0" fontId="41" fillId="0" borderId="0" xfId="2" applyFont="1" applyAlignment="1">
      <alignment horizontal="center" vertical="center" textRotation="45" wrapText="1"/>
    </xf>
    <xf numFmtId="0" fontId="40" fillId="17" borderId="3" xfId="2" applyFont="1" applyFill="1" applyBorder="1" applyAlignment="1">
      <alignment horizontal="right" vertical="center" wrapText="1"/>
    </xf>
    <xf numFmtId="0" fontId="44" fillId="25" borderId="3" xfId="2" applyFont="1" applyFill="1" applyBorder="1" applyAlignment="1">
      <alignment vertical="center"/>
    </xf>
    <xf numFmtId="0" fontId="40" fillId="17" borderId="3" xfId="2" applyFont="1" applyFill="1" applyBorder="1" applyAlignment="1">
      <alignment horizontal="right" vertical="center"/>
    </xf>
    <xf numFmtId="9" fontId="44" fillId="25" borderId="4" xfId="9" applyFont="1" applyFill="1" applyBorder="1" applyAlignment="1">
      <alignment horizontal="left" vertical="center"/>
    </xf>
    <xf numFmtId="9" fontId="44" fillId="25" borderId="19" xfId="9" applyFont="1" applyFill="1" applyBorder="1" applyAlignment="1">
      <alignment horizontal="left" vertical="center"/>
    </xf>
    <xf numFmtId="9" fontId="44" fillId="25" borderId="34" xfId="9" applyFont="1" applyFill="1" applyBorder="1" applyAlignment="1">
      <alignment horizontal="left" vertical="center"/>
    </xf>
    <xf numFmtId="164" fontId="40" fillId="5" borderId="24" xfId="2" applyNumberFormat="1" applyFont="1" applyFill="1" applyBorder="1" applyAlignment="1">
      <alignment horizontal="center" vertical="center" wrapText="1"/>
    </xf>
    <xf numFmtId="164" fontId="40" fillId="5" borderId="19" xfId="2" applyNumberFormat="1" applyFont="1" applyFill="1" applyBorder="1" applyAlignment="1">
      <alignment horizontal="center" vertical="center" wrapText="1"/>
    </xf>
    <xf numFmtId="164" fontId="40" fillId="5" borderId="34" xfId="2" applyNumberFormat="1" applyFont="1" applyFill="1" applyBorder="1" applyAlignment="1">
      <alignment horizontal="center" vertical="center" wrapText="1"/>
    </xf>
    <xf numFmtId="0" fontId="40" fillId="17" borderId="27" xfId="2" applyFont="1" applyFill="1" applyBorder="1" applyAlignment="1">
      <alignment horizontal="right" vertical="center" wrapText="1"/>
    </xf>
    <xf numFmtId="0" fontId="40" fillId="17" borderId="36" xfId="2" applyFont="1" applyFill="1" applyBorder="1" applyAlignment="1">
      <alignment horizontal="right" vertical="center" wrapText="1"/>
    </xf>
    <xf numFmtId="0" fontId="40" fillId="17" borderId="26" xfId="2" applyFont="1" applyFill="1" applyBorder="1" applyAlignment="1">
      <alignment horizontal="right" vertical="center" wrapText="1"/>
    </xf>
    <xf numFmtId="0" fontId="40" fillId="17" borderId="47" xfId="2" applyFont="1" applyFill="1" applyBorder="1" applyAlignment="1">
      <alignment horizontal="right" vertical="center" wrapText="1"/>
    </xf>
    <xf numFmtId="0" fontId="40" fillId="17" borderId="0" xfId="2" applyFont="1" applyFill="1" applyAlignment="1">
      <alignment horizontal="right" vertical="center" wrapText="1"/>
    </xf>
    <xf numFmtId="0" fontId="40" fillId="17" borderId="48" xfId="2" applyFont="1" applyFill="1" applyBorder="1" applyAlignment="1">
      <alignment horizontal="right" vertical="center" wrapText="1"/>
    </xf>
    <xf numFmtId="0" fontId="40" fillId="17" borderId="29" xfId="2" applyFont="1" applyFill="1" applyBorder="1" applyAlignment="1">
      <alignment horizontal="right" vertical="center" wrapText="1"/>
    </xf>
    <xf numFmtId="0" fontId="40" fillId="17" borderId="35" xfId="2" applyFont="1" applyFill="1" applyBorder="1" applyAlignment="1">
      <alignment horizontal="right" vertical="center" wrapText="1"/>
    </xf>
    <xf numFmtId="0" fontId="40" fillId="17" borderId="28" xfId="2" applyFont="1" applyFill="1" applyBorder="1" applyAlignment="1">
      <alignment horizontal="right" vertical="center" wrapText="1"/>
    </xf>
    <xf numFmtId="9" fontId="40" fillId="5" borderId="27" xfId="2" applyNumberFormat="1" applyFont="1" applyFill="1" applyBorder="1" applyAlignment="1">
      <alignment horizontal="center" vertical="center" wrapText="1"/>
    </xf>
    <xf numFmtId="9" fontId="40" fillId="5" borderId="26" xfId="2" applyNumberFormat="1" applyFont="1" applyFill="1" applyBorder="1" applyAlignment="1">
      <alignment horizontal="center" vertical="center" wrapText="1"/>
    </xf>
    <xf numFmtId="9" fontId="40" fillId="5" borderId="47" xfId="2" applyNumberFormat="1" applyFont="1" applyFill="1" applyBorder="1" applyAlignment="1">
      <alignment horizontal="center" vertical="center" wrapText="1"/>
    </xf>
    <xf numFmtId="9" fontId="40" fillId="5" borderId="48" xfId="2" applyNumberFormat="1" applyFont="1" applyFill="1" applyBorder="1" applyAlignment="1">
      <alignment horizontal="center" vertical="center" wrapText="1"/>
    </xf>
    <xf numFmtId="9" fontId="40" fillId="5" borderId="29" xfId="2" applyNumberFormat="1" applyFont="1" applyFill="1" applyBorder="1" applyAlignment="1">
      <alignment horizontal="center" vertical="center" wrapText="1"/>
    </xf>
    <xf numFmtId="9" fontId="40" fillId="5" borderId="28" xfId="2" applyNumberFormat="1" applyFont="1" applyFill="1" applyBorder="1" applyAlignment="1">
      <alignment horizontal="center" vertical="center" wrapText="1"/>
    </xf>
    <xf numFmtId="0" fontId="42" fillId="46" borderId="0" xfId="2" applyFont="1" applyFill="1" applyAlignment="1">
      <alignment horizontal="center" vertical="center" wrapText="1"/>
    </xf>
    <xf numFmtId="0" fontId="42" fillId="46" borderId="48" xfId="2" applyFont="1" applyFill="1" applyBorder="1" applyAlignment="1">
      <alignment horizontal="center" vertical="center" wrapText="1"/>
    </xf>
    <xf numFmtId="0" fontId="42" fillId="47" borderId="46" xfId="2" applyFont="1" applyFill="1" applyBorder="1" applyAlignment="1">
      <alignment horizontal="center" vertical="center"/>
    </xf>
    <xf numFmtId="0" fontId="42" fillId="47" borderId="40" xfId="2" applyFont="1" applyFill="1" applyBorder="1" applyAlignment="1">
      <alignment horizontal="center" vertical="center"/>
    </xf>
    <xf numFmtId="0" fontId="42" fillId="47" borderId="49" xfId="2" applyFont="1" applyFill="1" applyBorder="1" applyAlignment="1">
      <alignment horizontal="center" vertical="center"/>
    </xf>
    <xf numFmtId="0" fontId="42" fillId="22" borderId="54" xfId="2" applyFont="1" applyFill="1" applyBorder="1" applyAlignment="1">
      <alignment horizontal="center" vertical="center"/>
    </xf>
    <xf numFmtId="0" fontId="42" fillId="22" borderId="35" xfId="2" applyFont="1" applyFill="1" applyBorder="1" applyAlignment="1">
      <alignment horizontal="center" vertical="center"/>
    </xf>
    <xf numFmtId="0" fontId="42" fillId="22" borderId="55" xfId="2" applyFont="1" applyFill="1" applyBorder="1" applyAlignment="1">
      <alignment horizontal="center" vertical="center"/>
    </xf>
    <xf numFmtId="0" fontId="40" fillId="17" borderId="27" xfId="2" applyFont="1" applyFill="1" applyBorder="1" applyAlignment="1">
      <alignment horizontal="right" vertical="center"/>
    </xf>
    <xf numFmtId="0" fontId="40" fillId="17" borderId="26" xfId="2" applyFont="1" applyFill="1" applyBorder="1" applyAlignment="1">
      <alignment horizontal="right" vertical="center"/>
    </xf>
    <xf numFmtId="0" fontId="40" fillId="17" borderId="47" xfId="2" applyFont="1" applyFill="1" applyBorder="1" applyAlignment="1">
      <alignment horizontal="right" vertical="center"/>
    </xf>
    <xf numFmtId="0" fontId="40" fillId="17" borderId="48" xfId="2" applyFont="1" applyFill="1" applyBorder="1" applyAlignment="1">
      <alignment horizontal="right" vertical="center"/>
    </xf>
    <xf numFmtId="0" fontId="40" fillId="17" borderId="43" xfId="2" applyFont="1" applyFill="1" applyBorder="1" applyAlignment="1">
      <alignment horizontal="right" vertical="center"/>
    </xf>
    <xf numFmtId="0" fontId="40" fillId="17" borderId="51" xfId="2" applyFont="1" applyFill="1" applyBorder="1" applyAlignment="1">
      <alignment horizontal="right" vertical="center"/>
    </xf>
    <xf numFmtId="9" fontId="44" fillId="25" borderId="27" xfId="9" applyFont="1" applyFill="1" applyBorder="1" applyAlignment="1">
      <alignment horizontal="left" vertical="center"/>
    </xf>
    <xf numFmtId="9" fontId="44" fillId="25" borderId="47" xfId="9" applyFont="1" applyFill="1" applyBorder="1" applyAlignment="1">
      <alignment horizontal="left" vertical="center"/>
    </xf>
    <xf numFmtId="9" fontId="44" fillId="25" borderId="43" xfId="9" applyFont="1" applyFill="1" applyBorder="1" applyAlignment="1">
      <alignment horizontal="left" vertical="center"/>
    </xf>
    <xf numFmtId="9" fontId="40" fillId="5" borderId="36" xfId="2" applyNumberFormat="1" applyFont="1" applyFill="1" applyBorder="1" applyAlignment="1">
      <alignment horizontal="center" vertical="center" wrapText="1"/>
    </xf>
    <xf numFmtId="9" fontId="40" fillId="5" borderId="0" xfId="2" applyNumberFormat="1" applyFont="1" applyFill="1" applyAlignment="1">
      <alignment horizontal="center" vertical="center" wrapText="1"/>
    </xf>
    <xf numFmtId="9" fontId="40" fillId="5" borderId="35" xfId="2" applyNumberFormat="1" applyFont="1" applyFill="1" applyBorder="1" applyAlignment="1">
      <alignment horizontal="center" vertical="center" wrapText="1"/>
    </xf>
    <xf numFmtId="0" fontId="8" fillId="6" borderId="3" xfId="2" applyFont="1" applyFill="1" applyBorder="1" applyAlignment="1">
      <alignment horizontal="center" vertical="center"/>
    </xf>
    <xf numFmtId="0" fontId="20" fillId="6" borderId="3" xfId="2" applyFont="1" applyFill="1" applyBorder="1" applyAlignment="1">
      <alignment horizontal="center" vertical="center" wrapText="1"/>
    </xf>
    <xf numFmtId="0" fontId="35" fillId="47" borderId="4" xfId="2" applyFont="1" applyFill="1" applyBorder="1" applyAlignment="1">
      <alignment horizontal="center" vertical="center" wrapText="1"/>
    </xf>
    <xf numFmtId="0" fontId="35" fillId="47" borderId="18" xfId="2" applyFont="1" applyFill="1" applyBorder="1" applyAlignment="1">
      <alignment horizontal="center" vertical="center" wrapText="1"/>
    </xf>
    <xf numFmtId="0" fontId="35" fillId="47" borderId="24" xfId="2" applyFont="1" applyFill="1" applyBorder="1" applyAlignment="1">
      <alignment horizontal="center" vertical="center" wrapText="1"/>
    </xf>
    <xf numFmtId="0" fontId="18" fillId="15" borderId="4" xfId="0" applyFont="1" applyFill="1" applyBorder="1" applyAlignment="1">
      <alignment horizontal="center" vertical="center" wrapText="1"/>
    </xf>
    <xf numFmtId="0" fontId="18" fillId="15" borderId="18" xfId="0" applyFont="1" applyFill="1" applyBorder="1" applyAlignment="1">
      <alignment horizontal="center" vertical="center" wrapText="1"/>
    </xf>
    <xf numFmtId="0" fontId="40" fillId="6" borderId="3" xfId="2" applyFont="1" applyFill="1" applyBorder="1" applyAlignment="1">
      <alignment horizontal="center" vertical="center" wrapText="1"/>
    </xf>
    <xf numFmtId="0" fontId="11" fillId="6" borderId="3" xfId="2" applyFont="1" applyFill="1" applyBorder="1" applyAlignment="1">
      <alignment horizontal="center" vertical="center" wrapText="1"/>
    </xf>
    <xf numFmtId="0" fontId="25" fillId="0" borderId="55" xfId="2" applyFont="1" applyBorder="1" applyAlignment="1">
      <alignment horizontal="justify" vertical="center" wrapText="1"/>
    </xf>
    <xf numFmtId="0" fontId="25" fillId="0" borderId="53" xfId="2" applyFont="1" applyBorder="1" applyAlignment="1">
      <alignment horizontal="justify" vertical="center" wrapText="1"/>
    </xf>
    <xf numFmtId="0" fontId="72" fillId="0" borderId="4" xfId="0" applyFont="1" applyBorder="1" applyAlignment="1">
      <alignment horizontal="center" vertical="center" wrapText="1"/>
    </xf>
    <xf numFmtId="0" fontId="72" fillId="0" borderId="18" xfId="0" applyFont="1" applyBorder="1" applyAlignment="1">
      <alignment horizontal="center" vertical="center" wrapText="1"/>
    </xf>
    <xf numFmtId="0" fontId="18" fillId="0" borderId="0" xfId="2" applyAlignment="1">
      <alignment horizontal="center" vertical="center" wrapText="1"/>
    </xf>
    <xf numFmtId="0" fontId="18" fillId="0" borderId="28" xfId="2" applyBorder="1" applyAlignment="1">
      <alignment horizontal="center" vertical="center" wrapText="1"/>
    </xf>
    <xf numFmtId="0" fontId="25" fillId="0" borderId="18" xfId="2" applyFont="1" applyBorder="1" applyAlignment="1">
      <alignment horizontal="justify" vertical="center" wrapText="1"/>
    </xf>
    <xf numFmtId="0" fontId="25" fillId="0" borderId="3" xfId="2" applyFont="1" applyBorder="1" applyAlignment="1">
      <alignment horizontal="justify" vertical="center" wrapText="1"/>
    </xf>
    <xf numFmtId="0" fontId="18" fillId="0" borderId="4"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3" xfId="2" applyBorder="1" applyAlignment="1">
      <alignment horizontal="center" vertical="center"/>
    </xf>
    <xf numFmtId="0" fontId="72" fillId="0" borderId="0" xfId="2" applyFont="1" applyAlignment="1">
      <alignment horizontal="center" vertical="center" wrapText="1"/>
    </xf>
    <xf numFmtId="0" fontId="72" fillId="0" borderId="3" xfId="2" applyFont="1" applyBorder="1" applyAlignment="1">
      <alignment horizontal="center" vertical="center" wrapText="1"/>
    </xf>
    <xf numFmtId="0" fontId="18" fillId="0" borderId="3" xfId="2" applyBorder="1" applyAlignment="1">
      <alignment horizontal="center" vertical="center" wrapText="1"/>
    </xf>
    <xf numFmtId="0" fontId="93" fillId="0" borderId="3" xfId="2" applyFont="1" applyBorder="1" applyAlignment="1">
      <alignment horizontal="center" vertical="center" wrapText="1"/>
    </xf>
    <xf numFmtId="0" fontId="93" fillId="0" borderId="3" xfId="2" applyFont="1" applyBorder="1" applyAlignment="1">
      <alignment horizontal="center" vertical="center"/>
    </xf>
    <xf numFmtId="0" fontId="93" fillId="0" borderId="18" xfId="2" applyFont="1" applyBorder="1" applyAlignment="1">
      <alignment horizontal="justify" vertical="center" wrapText="1"/>
    </xf>
    <xf numFmtId="0" fontId="93" fillId="0" borderId="3" xfId="2" applyFont="1" applyBorder="1" applyAlignment="1">
      <alignment horizontal="justify" vertical="center" wrapText="1"/>
    </xf>
    <xf numFmtId="0" fontId="18" fillId="0" borderId="48" xfId="2" applyBorder="1" applyAlignment="1">
      <alignment horizontal="center" vertical="center" wrapText="1"/>
    </xf>
    <xf numFmtId="0" fontId="18" fillId="0" borderId="3" xfId="0" applyFont="1" applyBorder="1" applyAlignment="1">
      <alignment horizontal="center" vertical="center" wrapText="1"/>
    </xf>
    <xf numFmtId="0" fontId="72" fillId="0" borderId="3" xfId="0" applyFont="1" applyBorder="1" applyAlignment="1">
      <alignment horizontal="center" vertical="center" wrapText="1"/>
    </xf>
    <xf numFmtId="0" fontId="35" fillId="26" borderId="19" xfId="2" applyFont="1" applyFill="1" applyBorder="1" applyAlignment="1">
      <alignment horizontal="center" vertical="center" wrapText="1"/>
    </xf>
    <xf numFmtId="0" fontId="35" fillId="26" borderId="18" xfId="2" applyFont="1" applyFill="1" applyBorder="1" applyAlignment="1">
      <alignment horizontal="center" vertical="center" wrapText="1"/>
    </xf>
    <xf numFmtId="0" fontId="43" fillId="44" borderId="26" xfId="0" applyFont="1" applyFill="1" applyBorder="1" applyAlignment="1">
      <alignment horizontal="left" vertical="center"/>
    </xf>
    <xf numFmtId="0" fontId="43" fillId="44" borderId="48" xfId="0" applyFont="1" applyFill="1" applyBorder="1" applyAlignment="1">
      <alignment horizontal="left" vertical="center"/>
    </xf>
    <xf numFmtId="0" fontId="36" fillId="15" borderId="19" xfId="2" applyFont="1" applyFill="1" applyBorder="1" applyAlignment="1">
      <alignment horizontal="center" vertical="center" wrapText="1"/>
    </xf>
    <xf numFmtId="0" fontId="36" fillId="31" borderId="19" xfId="2" applyFont="1" applyFill="1" applyBorder="1" applyAlignment="1">
      <alignment horizontal="center" vertical="center" wrapText="1"/>
    </xf>
    <xf numFmtId="0" fontId="36" fillId="31" borderId="18" xfId="2" applyFont="1" applyFill="1" applyBorder="1" applyAlignment="1">
      <alignment horizontal="center" vertical="center" wrapText="1"/>
    </xf>
    <xf numFmtId="0" fontId="9" fillId="0" borderId="37" xfId="2" applyFont="1" applyBorder="1" applyAlignment="1">
      <alignment horizontal="right" vertical="center"/>
    </xf>
    <xf numFmtId="0" fontId="18" fillId="15" borderId="3" xfId="0" applyFont="1" applyFill="1" applyBorder="1" applyAlignment="1">
      <alignment horizontal="center" vertical="center" wrapText="1"/>
    </xf>
    <xf numFmtId="0" fontId="18" fillId="0" borderId="35" xfId="2" applyBorder="1" applyAlignment="1">
      <alignment horizontal="right" vertical="center"/>
    </xf>
    <xf numFmtId="0" fontId="35" fillId="26" borderId="4" xfId="2" applyFont="1" applyFill="1" applyBorder="1" applyAlignment="1">
      <alignment horizontal="center" vertical="center" wrapText="1"/>
    </xf>
    <xf numFmtId="0" fontId="9" fillId="13" borderId="37" xfId="2" applyFont="1" applyFill="1" applyBorder="1" applyAlignment="1">
      <alignment horizontal="right" vertical="center"/>
    </xf>
    <xf numFmtId="0" fontId="72" fillId="0" borderId="3" xfId="2" applyFont="1" applyBorder="1" applyAlignment="1">
      <alignment horizontal="center" vertical="center"/>
    </xf>
    <xf numFmtId="0" fontId="72" fillId="0" borderId="18" xfId="2" applyFont="1" applyBorder="1" applyAlignment="1">
      <alignment horizontal="justify" vertical="center" wrapText="1"/>
    </xf>
    <xf numFmtId="0" fontId="40" fillId="17" borderId="48" xfId="0" applyFont="1" applyFill="1" applyBorder="1" applyAlignment="1">
      <alignment horizontal="center" vertical="center" wrapText="1"/>
    </xf>
    <xf numFmtId="14" fontId="72" fillId="15" borderId="4" xfId="0" applyNumberFormat="1" applyFont="1" applyFill="1" applyBorder="1" applyAlignment="1">
      <alignment horizontal="center" vertical="center" wrapText="1"/>
    </xf>
    <xf numFmtId="14" fontId="72" fillId="15" borderId="18" xfId="0" applyNumberFormat="1" applyFont="1" applyFill="1" applyBorder="1" applyAlignment="1">
      <alignment horizontal="center" vertical="center" wrapText="1"/>
    </xf>
    <xf numFmtId="0" fontId="26" fillId="25" borderId="3" xfId="0" applyFont="1" applyFill="1" applyBorder="1" applyAlignment="1">
      <alignment vertical="center" wrapText="1"/>
    </xf>
    <xf numFmtId="0" fontId="26" fillId="25" borderId="3" xfId="0" applyFont="1" applyFill="1" applyBorder="1" applyAlignment="1">
      <alignment vertical="center"/>
    </xf>
    <xf numFmtId="0" fontId="40" fillId="17" borderId="27" xfId="0" applyFont="1" applyFill="1" applyBorder="1" applyAlignment="1">
      <alignment horizontal="center" vertical="center"/>
    </xf>
    <xf numFmtId="0" fontId="40" fillId="17" borderId="47" xfId="0" applyFont="1" applyFill="1" applyBorder="1" applyAlignment="1">
      <alignment horizontal="center" vertical="center"/>
    </xf>
    <xf numFmtId="0" fontId="40" fillId="17" borderId="43" xfId="0" applyFont="1" applyFill="1" applyBorder="1" applyAlignment="1">
      <alignment horizontal="center" vertical="center"/>
    </xf>
    <xf numFmtId="0" fontId="72" fillId="15" borderId="4" xfId="0" applyFont="1" applyFill="1" applyBorder="1" applyAlignment="1">
      <alignment horizontal="center" vertical="center" wrapText="1"/>
    </xf>
    <xf numFmtId="0" fontId="72" fillId="15" borderId="18" xfId="0" applyFont="1" applyFill="1" applyBorder="1" applyAlignment="1">
      <alignment horizontal="center" vertical="center" wrapText="1"/>
    </xf>
    <xf numFmtId="0" fontId="0" fillId="15" borderId="4" xfId="0" applyFill="1" applyBorder="1" applyAlignment="1">
      <alignment horizontal="center" vertical="center" wrapText="1"/>
    </xf>
    <xf numFmtId="0" fontId="0" fillId="15" borderId="18" xfId="0" applyFill="1" applyBorder="1" applyAlignment="1">
      <alignment horizontal="center" vertical="center" wrapText="1"/>
    </xf>
    <xf numFmtId="0" fontId="0" fillId="0" borderId="3" xfId="0" applyBorder="1" applyAlignment="1">
      <alignment horizontal="center" vertical="center" wrapText="1"/>
    </xf>
    <xf numFmtId="0" fontId="82" fillId="0" borderId="4" xfId="0" applyFont="1" applyBorder="1" applyAlignment="1">
      <alignment horizontal="center" vertical="center" wrapText="1"/>
    </xf>
    <xf numFmtId="0" fontId="82" fillId="0" borderId="18" xfId="0" applyFont="1" applyBorder="1" applyAlignment="1">
      <alignment horizontal="center" vertical="center" wrapText="1"/>
    </xf>
    <xf numFmtId="0" fontId="0" fillId="0" borderId="3" xfId="0" applyBorder="1" applyAlignment="1">
      <alignment horizontal="left" vertical="center" wrapText="1"/>
    </xf>
    <xf numFmtId="0" fontId="0" fillId="0" borderId="28" xfId="0" applyBorder="1" applyAlignment="1">
      <alignment horizontal="left" vertical="center" wrapText="1"/>
    </xf>
    <xf numFmtId="0" fontId="0" fillId="0" borderId="4" xfId="0" applyBorder="1" applyAlignment="1">
      <alignment horizontal="center" vertical="center" wrapText="1"/>
    </xf>
    <xf numFmtId="0" fontId="0" fillId="0" borderId="4" xfId="0" applyBorder="1" applyAlignment="1">
      <alignment horizontal="center" vertical="center"/>
    </xf>
    <xf numFmtId="0" fontId="0" fillId="0" borderId="19" xfId="0" applyBorder="1" applyAlignment="1">
      <alignment horizontal="center" vertical="center"/>
    </xf>
  </cellXfs>
  <cellStyles count="19">
    <cellStyle name="BodyStyle" xfId="6" xr:uid="{4B07DE25-44A9-4C6D-9D4A-C1DCA38E3160}"/>
    <cellStyle name="Currency" xfId="7" xr:uid="{03572155-C162-4791-9109-C10292CBF250}"/>
    <cellStyle name="Énfasis1" xfId="14" builtinId="29"/>
    <cellStyle name="HeaderStyle" xfId="5" xr:uid="{ACF2BE0B-6308-4E70-9C67-70CC8A6F1CE4}"/>
    <cellStyle name="Millares [0] 2" xfId="15" xr:uid="{8662415A-3695-447A-B6BD-538898E6DDC0}"/>
    <cellStyle name="Moneda [0]" xfId="12" builtinId="7"/>
    <cellStyle name="Moneda [0] 2" xfId="13" xr:uid="{89F1FB70-A0D6-411A-9364-73CF0DEB8016}"/>
    <cellStyle name="Normal" xfId="0" builtinId="0"/>
    <cellStyle name="Normal 2" xfId="2" xr:uid="{F6D7B5C7-EAA5-41B2-A428-B1E4829B4239}"/>
    <cellStyle name="Normal 3" xfId="4" xr:uid="{8069BBAF-1CE5-4F46-BC5E-D38D0AE969E4}"/>
    <cellStyle name="Normal 3 2" xfId="8" xr:uid="{B1D857C4-83C1-4514-BE1D-B98CEABCEF95}"/>
    <cellStyle name="Normal 3 3" xfId="10" xr:uid="{0FB35615-D1F0-4E93-BBEF-02F9F9553572}"/>
    <cellStyle name="Normal 3 4" xfId="16" xr:uid="{FF478D3C-1E1B-4423-81A9-DA6D1AF970E4}"/>
    <cellStyle name="Normal 3 4 2" xfId="17" xr:uid="{815DEDEB-621D-46EE-A174-230938D420BC}"/>
    <cellStyle name="Normal 3 5" xfId="18" xr:uid="{1800D498-4394-4699-AC3C-42DA54CDF7A1}"/>
    <cellStyle name="Normal 4" xfId="11" xr:uid="{9F39EDBA-C3B6-4186-879C-9E462FD6FBA0}"/>
    <cellStyle name="Normal 98" xfId="3" xr:uid="{FE56FDC3-B997-4D23-979B-AD55E7AB71E0}"/>
    <cellStyle name="Porcentaje" xfId="1" builtinId="5"/>
    <cellStyle name="Porcentaje 2" xfId="9" xr:uid="{4373C23F-B165-471E-A82A-D4734129498A}"/>
  </cellStyles>
  <dxfs count="182">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0000"/>
        </patternFill>
      </fill>
    </dxf>
  </dxfs>
  <tableStyles count="0" defaultTableStyle="TableStyleMedium2" defaultPivotStyle="PivotStyleLight16"/>
  <colors>
    <mruColors>
      <color rgb="FF532963"/>
      <color rgb="FFC3FF9C"/>
      <color rgb="FF9B4CBA"/>
      <color rgb="FF5BE3F5"/>
      <color rgb="FFE63992"/>
      <color rgb="FF95E069"/>
      <color rgb="FFBB0113"/>
      <color rgb="FFFF33CC"/>
      <color rgb="FFFFCCF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strRef>
              <c:f>EJECUCIÓN!$AH$1</c:f>
              <c:strCache>
                <c:ptCount val="1"/>
                <c:pt idx="0">
                  <c:v>CUMPLIMIENTO I TRIMESTRE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dLbl>
              <c:idx val="0"/>
              <c:layout>
                <c:manualLayout>
                  <c:x val="1.6962218106077082E-2"/>
                  <c:y val="4.42386938786884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0AC-4E9F-8865-60734C1ED0BD}"/>
                </c:ext>
              </c:extLst>
            </c:dLbl>
            <c:dLbl>
              <c:idx val="1"/>
              <c:layout>
                <c:manualLayout>
                  <c:x val="-1.1308145404051388E-2"/>
                  <c:y val="4.05521360554644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0AC-4E9F-8865-60734C1ED0BD}"/>
                </c:ext>
              </c:extLst>
            </c:dLbl>
            <c:dLbl>
              <c:idx val="2"/>
              <c:layout>
                <c:manualLayout>
                  <c:x val="-2.8270363510128575E-2"/>
                  <c:y val="-1.10596734696721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0AC-4E9F-8865-60734C1ED0BD}"/>
                </c:ext>
              </c:extLst>
            </c:dLbl>
            <c:dLbl>
              <c:idx val="3"/>
              <c:layout>
                <c:manualLayout>
                  <c:x val="-1.9789254457089928E-2"/>
                  <c:y val="-2.94924625857922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0AC-4E9F-8865-60734C1ED0BD}"/>
                </c:ext>
              </c:extLst>
            </c:dLbl>
            <c:dLbl>
              <c:idx val="5"/>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1CF07161-1914-476B-9368-FE7844A19F9E}" type="VALUE">
                      <a:rPr lang="en-US" b="1">
                        <a:solidFill>
                          <a:schemeClr val="bg1"/>
                        </a:solidFill>
                      </a:rPr>
                      <a:pPr>
                        <a:defRPr/>
                      </a:pPr>
                      <a:t>[VALOR]</a:t>
                    </a:fld>
                    <a:endParaRPr lang="es-CO"/>
                  </a:p>
                </c:rich>
              </c:tx>
              <c:spPr>
                <a:solidFill>
                  <a:srgbClr val="C00000"/>
                </a:solidFill>
                <a:ln>
                  <a:solidFill>
                    <a:srgbClr val="C00000"/>
                  </a:solid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B-70AC-4E9F-8865-60734C1ED0BD}"/>
                </c:ext>
              </c:extLst>
            </c:dLbl>
            <c:dLbl>
              <c:idx val="8"/>
              <c:layout>
                <c:manualLayout>
                  <c:x val="4.8448731749537732E-2"/>
                  <c:y val="-3.00309176573519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0AC-4E9F-8865-60734C1ED0BD}"/>
                </c:ext>
              </c:extLst>
            </c:dLbl>
            <c:dLbl>
              <c:idx val="10"/>
              <c:layout>
                <c:manualLayout>
                  <c:x val="4.844873174953776E-2"/>
                  <c:y val="-3.37847823645209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0AC-4E9F-8865-60734C1ED0BD}"/>
                </c:ext>
              </c:extLst>
            </c:dLbl>
            <c:dLbl>
              <c:idx val="12"/>
              <c:layout>
                <c:manualLayout>
                  <c:x val="-1.4249626985158172E-2"/>
                  <c:y val="7.50772941433799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0AC-4E9F-8865-60734C1ED0BD}"/>
                </c:ext>
              </c:extLst>
            </c:dLbl>
            <c:spPr>
              <a:solidFill>
                <a:srgbClr val="92D050"/>
              </a:solidFill>
              <a:ln>
                <a:solidFill>
                  <a:srgbClr val="92D050"/>
                </a:solid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EJECUCIÓN!$AF$2:$AF$14</c:f>
              <c:strCache>
                <c:ptCount val="13"/>
                <c:pt idx="0">
                  <c:v>PIAA</c:v>
                </c:pt>
                <c:pt idx="1">
                  <c:v>PSEC</c:v>
                </c:pt>
                <c:pt idx="2">
                  <c:v>PINS</c:v>
                </c:pt>
                <c:pt idx="3">
                  <c:v>PINAR</c:v>
                </c:pt>
                <c:pt idx="4">
                  <c:v>PETH</c:v>
                </c:pt>
                <c:pt idx="5">
                  <c:v>PAA</c:v>
                </c:pt>
                <c:pt idx="6">
                  <c:v>PIC</c:v>
                </c:pt>
                <c:pt idx="7">
                  <c:v>PII</c:v>
                </c:pt>
                <c:pt idx="8">
                  <c:v>PSST</c:v>
                </c:pt>
                <c:pt idx="9">
                  <c:v>PAAC</c:v>
                </c:pt>
                <c:pt idx="10">
                  <c:v>PETI</c:v>
                </c:pt>
                <c:pt idx="11">
                  <c:v>PTRSPI</c:v>
                </c:pt>
                <c:pt idx="12">
                  <c:v>PSPI</c:v>
                </c:pt>
              </c:strCache>
            </c:strRef>
          </c:cat>
          <c:val>
            <c:numRef>
              <c:f>EJECUCIÓN!$AH$2:$AH$14</c:f>
              <c:numCache>
                <c:formatCode>0%</c:formatCode>
                <c:ptCount val="13"/>
                <c:pt idx="0">
                  <c:v>0</c:v>
                </c:pt>
                <c:pt idx="1">
                  <c:v>1.0526315789473684</c:v>
                </c:pt>
                <c:pt idx="2">
                  <c:v>0</c:v>
                </c:pt>
                <c:pt idx="3">
                  <c:v>0</c:v>
                </c:pt>
                <c:pt idx="5">
                  <c:v>0.49197860962566847</c:v>
                </c:pt>
                <c:pt idx="8">
                  <c:v>0</c:v>
                </c:pt>
                <c:pt idx="10">
                  <c:v>0</c:v>
                </c:pt>
                <c:pt idx="12">
                  <c:v>0</c:v>
                </c:pt>
              </c:numCache>
            </c:numRef>
          </c:val>
          <c:extLst>
            <c:ext xmlns:c16="http://schemas.microsoft.com/office/drawing/2014/chart" uri="{C3380CC4-5D6E-409C-BE32-E72D297353CC}">
              <c16:uniqueId val="{0000000C-341E-45EC-BFCD-80CBCA747FF4}"/>
            </c:ext>
          </c:extLst>
        </c:ser>
        <c:dLbls>
          <c:showLegendKey val="0"/>
          <c:showVal val="0"/>
          <c:showCatName val="0"/>
          <c:showSerName val="0"/>
          <c:showPercent val="0"/>
          <c:showBubbleSize val="0"/>
        </c:dLbls>
        <c:axId val="686926992"/>
        <c:axId val="1071524288"/>
      </c:radarChart>
      <c:catAx>
        <c:axId val="686926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71524288"/>
        <c:crosses val="autoZero"/>
        <c:auto val="1"/>
        <c:lblAlgn val="ctr"/>
        <c:lblOffset val="100"/>
        <c:noMultiLvlLbl val="0"/>
      </c:catAx>
      <c:valAx>
        <c:axId val="1071524288"/>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86926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strRef>
              <c:f>EJECUCIÓN!$AJ$1</c:f>
              <c:strCache>
                <c:ptCount val="1"/>
                <c:pt idx="0">
                  <c:v>CUMPLIMIENTO III TRIMESTRE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dLbl>
              <c:idx val="0"/>
              <c:layout>
                <c:manualLayout>
                  <c:x val="2.8270369803149705E-3"/>
                  <c:y val="5.16118095251365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34D-4AA0-8AF0-2CF48C7B09F0}"/>
                </c:ext>
              </c:extLst>
            </c:dLbl>
            <c:dLbl>
              <c:idx val="1"/>
              <c:layout>
                <c:manualLayout>
                  <c:x val="-1.1308147921259674E-2"/>
                  <c:y val="5.16118095251365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34D-4AA0-8AF0-2CF48C7B09F0}"/>
                </c:ext>
              </c:extLst>
            </c:dLbl>
            <c:dLbl>
              <c:idx val="2"/>
              <c:layout>
                <c:manualLayout>
                  <c:x val="-2.2616295842519347E-2"/>
                  <c:y val="2.21193469393442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34D-4AA0-8AF0-2CF48C7B09F0}"/>
                </c:ext>
              </c:extLst>
            </c:dLbl>
            <c:dLbl>
              <c:idx val="3"/>
              <c:layout>
                <c:manualLayout>
                  <c:x val="-2.8270369803149186E-2"/>
                  <c:y val="-2.94924625857922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34D-4AA0-8AF0-2CF48C7B09F0}"/>
                </c:ext>
              </c:extLst>
            </c:dLbl>
            <c:dLbl>
              <c:idx val="5"/>
              <c:layout>
                <c:manualLayout>
                  <c:x val="-1.9949477779221441E-2"/>
                  <c:y val="-2.2565542239319124E-2"/>
                </c:manualLayout>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CC17DA0A-B36B-461A-A1E1-4E1732F8CB1D}" type="VALUE">
                      <a:rPr lang="en-US" b="1">
                        <a:solidFill>
                          <a:schemeClr val="bg1"/>
                        </a:solidFill>
                      </a:rPr>
                      <a:pPr>
                        <a:defRPr/>
                      </a:pPr>
                      <a:t>[VALOR]</a:t>
                    </a:fld>
                    <a:endParaRPr lang="es-CO"/>
                  </a:p>
                </c:rich>
              </c:tx>
              <c:spPr>
                <a:solidFill>
                  <a:srgbClr val="FFC000"/>
                </a:solidFill>
                <a:ln>
                  <a:solidFill>
                    <a:srgbClr val="FFC000"/>
                  </a:solid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A34D-4AA0-8AF0-2CF48C7B09F0}"/>
                </c:ext>
              </c:extLst>
            </c:dLbl>
            <c:dLbl>
              <c:idx val="8"/>
              <c:layout>
                <c:manualLayout>
                  <c:x val="4.2748880955474466E-2"/>
                  <c:y val="-1.12827711196595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34D-4AA0-8AF0-2CF48C7B09F0}"/>
                </c:ext>
              </c:extLst>
            </c:dLbl>
            <c:dLbl>
              <c:idx val="9"/>
              <c:layout>
                <c:manualLayout>
                  <c:x val="1.4249626985158172E-2"/>
                  <c:y val="-4.13701607720851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34D-4AA0-8AF0-2CF48C7B09F0}"/>
                </c:ext>
              </c:extLst>
            </c:dLbl>
            <c:dLbl>
              <c:idx val="10"/>
              <c:layout>
                <c:manualLayout>
                  <c:x val="5.984843333766432E-2"/>
                  <c:y val="-1.88046185327659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34D-4AA0-8AF0-2CF48C7B09F0}"/>
                </c:ext>
              </c:extLst>
            </c:dLbl>
            <c:dLbl>
              <c:idx val="12"/>
              <c:layout>
                <c:manualLayout>
                  <c:x val="-3.1349179367348032E-2"/>
                  <c:y val="8.65012452507232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34D-4AA0-8AF0-2CF48C7B09F0}"/>
                </c:ext>
              </c:extLst>
            </c:dLbl>
            <c:spPr>
              <a:solidFill>
                <a:srgbClr val="92D050"/>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EJECUCIÓN!$AF$2:$AF$14</c:f>
              <c:strCache>
                <c:ptCount val="13"/>
                <c:pt idx="0">
                  <c:v>PIAA</c:v>
                </c:pt>
                <c:pt idx="1">
                  <c:v>PSEC</c:v>
                </c:pt>
                <c:pt idx="2">
                  <c:v>PINS</c:v>
                </c:pt>
                <c:pt idx="3">
                  <c:v>PINAR</c:v>
                </c:pt>
                <c:pt idx="4">
                  <c:v>PETH</c:v>
                </c:pt>
                <c:pt idx="5">
                  <c:v>PAA</c:v>
                </c:pt>
                <c:pt idx="6">
                  <c:v>PIC</c:v>
                </c:pt>
                <c:pt idx="7">
                  <c:v>PII</c:v>
                </c:pt>
                <c:pt idx="8">
                  <c:v>PSST</c:v>
                </c:pt>
                <c:pt idx="9">
                  <c:v>PAAC</c:v>
                </c:pt>
                <c:pt idx="10">
                  <c:v>PETI</c:v>
                </c:pt>
                <c:pt idx="11">
                  <c:v>PTRSPI</c:v>
                </c:pt>
                <c:pt idx="12">
                  <c:v>PSPI</c:v>
                </c:pt>
              </c:strCache>
            </c:strRef>
          </c:cat>
          <c:val>
            <c:numRef>
              <c:f>EJECUCIÓN!$AJ$2:$AJ$14</c:f>
              <c:numCache>
                <c:formatCode>0%</c:formatCode>
                <c:ptCount val="13"/>
                <c:pt idx="0">
                  <c:v>0</c:v>
                </c:pt>
                <c:pt idx="1">
                  <c:v>1.0526315789473684</c:v>
                </c:pt>
                <c:pt idx="2">
                  <c:v>0</c:v>
                </c:pt>
                <c:pt idx="3">
                  <c:v>0</c:v>
                </c:pt>
                <c:pt idx="5">
                  <c:v>0</c:v>
                </c:pt>
                <c:pt idx="8">
                  <c:v>0</c:v>
                </c:pt>
                <c:pt idx="9">
                  <c:v>0</c:v>
                </c:pt>
                <c:pt idx="10">
                  <c:v>0</c:v>
                </c:pt>
                <c:pt idx="12">
                  <c:v>0</c:v>
                </c:pt>
              </c:numCache>
            </c:numRef>
          </c:val>
          <c:extLst>
            <c:ext xmlns:c16="http://schemas.microsoft.com/office/drawing/2014/chart" uri="{C3380CC4-5D6E-409C-BE32-E72D297353CC}">
              <c16:uniqueId val="{00000003-A34D-4AA0-8AF0-2CF48C7B09F0}"/>
            </c:ext>
          </c:extLst>
        </c:ser>
        <c:dLbls>
          <c:showLegendKey val="0"/>
          <c:showVal val="0"/>
          <c:showCatName val="0"/>
          <c:showSerName val="0"/>
          <c:showPercent val="0"/>
          <c:showBubbleSize val="0"/>
        </c:dLbls>
        <c:axId val="686926992"/>
        <c:axId val="1071524288"/>
      </c:radarChart>
      <c:catAx>
        <c:axId val="686926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71524288"/>
        <c:crosses val="autoZero"/>
        <c:auto val="1"/>
        <c:lblAlgn val="ctr"/>
        <c:lblOffset val="100"/>
        <c:noMultiLvlLbl val="0"/>
      </c:catAx>
      <c:valAx>
        <c:axId val="1071524288"/>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86926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462570635826769"/>
          <c:y val="7.222576363997367E-2"/>
          <c:w val="0.66936537167205079"/>
          <c:h val="0.88727725353183851"/>
        </c:manualLayout>
      </c:layout>
      <c:radarChart>
        <c:radarStyle val="marker"/>
        <c:varyColors val="0"/>
        <c:ser>
          <c:idx val="0"/>
          <c:order val="0"/>
          <c:tx>
            <c:strRef>
              <c:f>EJECUCIÓN!$AK$1</c:f>
              <c:strCache>
                <c:ptCount val="1"/>
                <c:pt idx="0">
                  <c:v>CUMPLIMIENTO IV TRIMESTRE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dLbl>
              <c:idx val="0"/>
              <c:spPr>
                <a:solidFill>
                  <a:srgbClr val="92D050"/>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extLst>
                <c:ext xmlns:c16="http://schemas.microsoft.com/office/drawing/2014/chart" uri="{C3380CC4-5D6E-409C-BE32-E72D297353CC}">
                  <c16:uniqueId val="{0000000A-638D-473A-85FE-1C3F8027C97B}"/>
                </c:ext>
              </c:extLst>
            </c:dLbl>
            <c:dLbl>
              <c:idx val="1"/>
              <c:layout>
                <c:manualLayout>
                  <c:x val="-1.9025260366787432E-2"/>
                  <c:y val="4.05521360554644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38D-473A-85FE-1C3F8027C97B}"/>
                </c:ext>
              </c:extLst>
            </c:dLbl>
            <c:dLbl>
              <c:idx val="2"/>
              <c:layout>
                <c:manualLayout>
                  <c:x val="-4.8922098086024664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38D-473A-85FE-1C3F8027C97B}"/>
                </c:ext>
              </c:extLst>
            </c:dLbl>
            <c:dLbl>
              <c:idx val="3"/>
              <c:layout>
                <c:manualLayout>
                  <c:x val="-2.1743154704899806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38D-473A-85FE-1C3F8027C97B}"/>
                </c:ext>
              </c:extLst>
            </c:dLbl>
            <c:dLbl>
              <c:idx val="4"/>
              <c:layout>
                <c:manualLayout>
                  <c:x val="-2.7178943381124858E-2"/>
                  <c:y val="-1.3764011589916566E-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38D-473A-85FE-1C3F8027C97B}"/>
                </c:ext>
              </c:extLst>
            </c:dLbl>
            <c:dLbl>
              <c:idx val="5"/>
              <c:spPr>
                <a:solidFill>
                  <a:srgbClr val="C00000"/>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CO"/>
                </a:p>
              </c:txPr>
              <c:showLegendKey val="0"/>
              <c:showVal val="1"/>
              <c:showCatName val="0"/>
              <c:showSerName val="0"/>
              <c:showPercent val="0"/>
              <c:showBubbleSize val="0"/>
              <c:extLst>
                <c:ext xmlns:c16="http://schemas.microsoft.com/office/drawing/2014/chart" uri="{C3380CC4-5D6E-409C-BE32-E72D297353CC}">
                  <c16:uniqueId val="{00000003-638D-473A-85FE-1C3F8027C97B}"/>
                </c:ext>
              </c:extLst>
            </c:dLbl>
            <c:dLbl>
              <c:idx val="6"/>
              <c:layout>
                <c:manualLayout>
                  <c:x val="3.2614732057349709E-2"/>
                  <c:y val="-6.38157000218730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38D-473A-85FE-1C3F8027C97B}"/>
                </c:ext>
              </c:extLst>
            </c:dLbl>
            <c:dLbl>
              <c:idx val="7"/>
              <c:layout>
                <c:manualLayout>
                  <c:x val="2.7178943381125256E-3"/>
                  <c:y val="-4.12925117788590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4E3-4FEB-A1F5-1FD06C4D2EFD}"/>
                </c:ext>
              </c:extLst>
            </c:dLbl>
            <c:dLbl>
              <c:idx val="8"/>
              <c:layout>
                <c:manualLayout>
                  <c:x val="3.8050520733574664E-2"/>
                  <c:y val="-2.60751718797108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38D-473A-85FE-1C3F8027C97B}"/>
                </c:ext>
              </c:extLst>
            </c:dLbl>
            <c:dLbl>
              <c:idx val="9"/>
              <c:layout>
                <c:manualLayout>
                  <c:x val="1.9935269797752314E-2"/>
                  <c:y val="-4.12925117788590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811-4EA4-B6D3-B60813C9A743}"/>
                </c:ext>
              </c:extLst>
            </c:dLbl>
            <c:dLbl>
              <c:idx val="10"/>
              <c:layout>
                <c:manualLayout>
                  <c:x val="2.9896837719237235E-2"/>
                  <c:y val="-2.94924625857922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38D-473A-85FE-1C3F8027C97B}"/>
                </c:ext>
              </c:extLst>
            </c:dLbl>
            <c:dLbl>
              <c:idx val="11"/>
              <c:layout>
                <c:manualLayout>
                  <c:x val="3.2614732057349737E-2"/>
                  <c:y val="-3.686557823224037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38D-473A-85FE-1C3F8027C97B}"/>
                </c:ext>
              </c:extLst>
            </c:dLbl>
            <c:dLbl>
              <c:idx val="12"/>
              <c:spPr>
                <a:solidFill>
                  <a:srgbClr val="92D050"/>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extLst>
                <c:ext xmlns:c16="http://schemas.microsoft.com/office/drawing/2014/chart" uri="{C3380CC4-5D6E-409C-BE32-E72D297353CC}">
                  <c16:uniqueId val="{00000009-638D-473A-85FE-1C3F8027C97B}"/>
                </c:ext>
              </c:extLst>
            </c:dLbl>
            <c:spPr>
              <a:solidFill>
                <a:srgbClr val="92D050"/>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EJECUCIÓN!$AF$2:$AF$14</c:f>
              <c:strCache>
                <c:ptCount val="13"/>
                <c:pt idx="0">
                  <c:v>PIAA</c:v>
                </c:pt>
                <c:pt idx="1">
                  <c:v>PSEC</c:v>
                </c:pt>
                <c:pt idx="2">
                  <c:v>PINS</c:v>
                </c:pt>
                <c:pt idx="3">
                  <c:v>PINAR</c:v>
                </c:pt>
                <c:pt idx="4">
                  <c:v>PETH</c:v>
                </c:pt>
                <c:pt idx="5">
                  <c:v>PAA</c:v>
                </c:pt>
                <c:pt idx="6">
                  <c:v>PIC</c:v>
                </c:pt>
                <c:pt idx="7">
                  <c:v>PII</c:v>
                </c:pt>
                <c:pt idx="8">
                  <c:v>PSST</c:v>
                </c:pt>
                <c:pt idx="9">
                  <c:v>PAAC</c:v>
                </c:pt>
                <c:pt idx="10">
                  <c:v>PETI</c:v>
                </c:pt>
                <c:pt idx="11">
                  <c:v>PTRSPI</c:v>
                </c:pt>
                <c:pt idx="12">
                  <c:v>PSPI</c:v>
                </c:pt>
              </c:strCache>
            </c:strRef>
          </c:cat>
          <c:val>
            <c:numRef>
              <c:f>EJECUCIÓN!$AK$2:$AK$14</c:f>
              <c:numCache>
                <c:formatCode>0%</c:formatCode>
                <c:ptCount val="13"/>
                <c:pt idx="0">
                  <c:v>0</c:v>
                </c:pt>
                <c:pt idx="1">
                  <c:v>1.0526315789473684</c:v>
                </c:pt>
                <c:pt idx="2">
                  <c:v>0</c:v>
                </c:pt>
                <c:pt idx="3">
                  <c:v>0</c:v>
                </c:pt>
                <c:pt idx="4">
                  <c:v>1.0526315789473684</c:v>
                </c:pt>
                <c:pt idx="5">
                  <c:v>0</c:v>
                </c:pt>
                <c:pt idx="6">
                  <c:v>0</c:v>
                </c:pt>
                <c:pt idx="7">
                  <c:v>0</c:v>
                </c:pt>
                <c:pt idx="8">
                  <c:v>0</c:v>
                </c:pt>
                <c:pt idx="9">
                  <c:v>0</c:v>
                </c:pt>
                <c:pt idx="10">
                  <c:v>0</c:v>
                </c:pt>
                <c:pt idx="11">
                  <c:v>1.0526315789473684</c:v>
                </c:pt>
                <c:pt idx="12">
                  <c:v>0</c:v>
                </c:pt>
              </c:numCache>
            </c:numRef>
          </c:val>
          <c:extLst>
            <c:ext xmlns:c16="http://schemas.microsoft.com/office/drawing/2014/chart" uri="{C3380CC4-5D6E-409C-BE32-E72D297353CC}">
              <c16:uniqueId val="{00000003-2811-4EA4-B6D3-B60813C9A743}"/>
            </c:ext>
          </c:extLst>
        </c:ser>
        <c:dLbls>
          <c:showLegendKey val="0"/>
          <c:showVal val="0"/>
          <c:showCatName val="0"/>
          <c:showSerName val="0"/>
          <c:showPercent val="0"/>
          <c:showBubbleSize val="0"/>
        </c:dLbls>
        <c:axId val="686926992"/>
        <c:axId val="1071524288"/>
      </c:radarChart>
      <c:catAx>
        <c:axId val="686926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71524288"/>
        <c:crosses val="autoZero"/>
        <c:auto val="1"/>
        <c:lblAlgn val="ctr"/>
        <c:lblOffset val="100"/>
        <c:noMultiLvlLbl val="0"/>
      </c:catAx>
      <c:valAx>
        <c:axId val="1071524288"/>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86926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strRef>
              <c:f>EJECUCIÓN!$AI$1</c:f>
              <c:strCache>
                <c:ptCount val="1"/>
                <c:pt idx="0">
                  <c:v>CUMPLIMIENTO II TRIMESTRE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dLbl>
              <c:idx val="0"/>
              <c:layout>
                <c:manualLayout>
                  <c:x val="5.1828401042457328E-17"/>
                  <c:y val="4.05521360554644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C16-4B8C-A35B-CD1291EB11F1}"/>
                </c:ext>
              </c:extLst>
            </c:dLbl>
            <c:dLbl>
              <c:idx val="1"/>
              <c:layout>
                <c:manualLayout>
                  <c:x val="0"/>
                  <c:y val="4.79252517019124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C16-4B8C-A35B-CD1291EB11F1}"/>
                </c:ext>
              </c:extLst>
            </c:dLbl>
            <c:dLbl>
              <c:idx val="2"/>
              <c:layout>
                <c:manualLayout>
                  <c:x val="-1.6962218106077186E-2"/>
                  <c:y val="2.21193469393442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C16-4B8C-A35B-CD1291EB11F1}"/>
                </c:ext>
              </c:extLst>
            </c:dLbl>
            <c:dLbl>
              <c:idx val="3"/>
              <c:layout>
                <c:manualLayout>
                  <c:x val="-2.827036351012847E-2"/>
                  <c:y val="-2.94924625857922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C16-4B8C-A35B-CD1291EB11F1}"/>
                </c:ext>
              </c:extLst>
            </c:dLbl>
            <c:dLbl>
              <c:idx val="4"/>
              <c:layout>
                <c:manualLayout>
                  <c:x val="-1.6962218106077082E-2"/>
                  <c:y val="-3.68655782322403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C16-4B8C-A35B-CD1291EB11F1}"/>
                </c:ext>
              </c:extLst>
            </c:dLbl>
            <c:dLbl>
              <c:idx val="5"/>
              <c:layout>
                <c:manualLayout>
                  <c:x val="-2.2799398059986757E-2"/>
                  <c:y val="-1.88046185327659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C16-4B8C-A35B-CD1291EB11F1}"/>
                </c:ext>
              </c:extLst>
            </c:dLbl>
            <c:dLbl>
              <c:idx val="6"/>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3FE144B3-6C0B-417D-A6E3-0F36DBBA1F21}" type="VALUE">
                      <a:rPr lang="en-US" b="1">
                        <a:solidFill>
                          <a:schemeClr val="bg1"/>
                        </a:solidFill>
                      </a:rPr>
                      <a:pPr>
                        <a:defRPr/>
                      </a:pPr>
                      <a:t>[VALOR]</a:t>
                    </a:fld>
                    <a:endParaRPr lang="es-CO"/>
                  </a:p>
                </c:rich>
              </c:tx>
              <c:spPr>
                <a:solidFill>
                  <a:srgbClr val="FFC000"/>
                </a:solidFill>
                <a:ln>
                  <a:solidFill>
                    <a:srgbClr val="FFC000"/>
                  </a:solid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EC16-4B8C-A35B-CD1291EB11F1}"/>
                </c:ext>
              </c:extLst>
            </c:dLbl>
            <c:dLbl>
              <c:idx val="7"/>
              <c:layout>
                <c:manualLayout>
                  <c:x val="-5.2248016980585419E-17"/>
                  <c:y val="-4.51310844786382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C16-4B8C-A35B-CD1291EB11F1}"/>
                </c:ext>
              </c:extLst>
            </c:dLbl>
            <c:dLbl>
              <c:idx val="8"/>
              <c:layout>
                <c:manualLayout>
                  <c:x val="-1.709954854498999E-2"/>
                  <c:y val="-6.39357030114041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C16-4B8C-A35B-CD1291EB11F1}"/>
                </c:ext>
              </c:extLst>
            </c:dLbl>
            <c:dLbl>
              <c:idx val="9"/>
              <c:layout>
                <c:manualLayout>
                  <c:x val="5.6998495149966633E-3"/>
                  <c:y val="-4.13701607720851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C16-4B8C-A35B-CD1291EB11F1}"/>
                </c:ext>
              </c:extLst>
            </c:dLbl>
            <c:dLbl>
              <c:idx val="10"/>
              <c:layout>
                <c:manualLayout>
                  <c:x val="4.8448720877471638E-2"/>
                  <c:y val="-2.63264659458723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C16-4B8C-A35B-CD1291EB11F1}"/>
                </c:ext>
              </c:extLst>
            </c:dLbl>
            <c:dLbl>
              <c:idx val="12"/>
              <c:layout>
                <c:manualLayout>
                  <c:x val="-2.2799398059986705E-2"/>
                  <c:y val="6.76966267179573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C16-4B8C-A35B-CD1291EB11F1}"/>
                </c:ext>
              </c:extLst>
            </c:dLbl>
            <c:spPr>
              <a:solidFill>
                <a:srgbClr val="92D050"/>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EJECUCIÓN!$AF$2:$AF$14</c:f>
              <c:strCache>
                <c:ptCount val="13"/>
                <c:pt idx="0">
                  <c:v>PIAA</c:v>
                </c:pt>
                <c:pt idx="1">
                  <c:v>PSEC</c:v>
                </c:pt>
                <c:pt idx="2">
                  <c:v>PINS</c:v>
                </c:pt>
                <c:pt idx="3">
                  <c:v>PINAR</c:v>
                </c:pt>
                <c:pt idx="4">
                  <c:v>PETH</c:v>
                </c:pt>
                <c:pt idx="5">
                  <c:v>PAA</c:v>
                </c:pt>
                <c:pt idx="6">
                  <c:v>PIC</c:v>
                </c:pt>
                <c:pt idx="7">
                  <c:v>PII</c:v>
                </c:pt>
                <c:pt idx="8">
                  <c:v>PSST</c:v>
                </c:pt>
                <c:pt idx="9">
                  <c:v>PAAC</c:v>
                </c:pt>
                <c:pt idx="10">
                  <c:v>PETI</c:v>
                </c:pt>
                <c:pt idx="11">
                  <c:v>PTRSPI</c:v>
                </c:pt>
                <c:pt idx="12">
                  <c:v>PSPI</c:v>
                </c:pt>
              </c:strCache>
            </c:strRef>
          </c:cat>
          <c:val>
            <c:numRef>
              <c:f>EJECUCIÓN!$AI$2:$AI$14</c:f>
              <c:numCache>
                <c:formatCode>0%</c:formatCode>
                <c:ptCount val="13"/>
                <c:pt idx="0">
                  <c:v>0</c:v>
                </c:pt>
                <c:pt idx="1">
                  <c:v>1.0526315789473684</c:v>
                </c:pt>
                <c:pt idx="2">
                  <c:v>0</c:v>
                </c:pt>
                <c:pt idx="3">
                  <c:v>0</c:v>
                </c:pt>
                <c:pt idx="4">
                  <c:v>1.0526315789473684</c:v>
                </c:pt>
                <c:pt idx="5">
                  <c:v>0.95336787564766834</c:v>
                </c:pt>
                <c:pt idx="6">
                  <c:v>0</c:v>
                </c:pt>
                <c:pt idx="7">
                  <c:v>0</c:v>
                </c:pt>
                <c:pt idx="8">
                  <c:v>0</c:v>
                </c:pt>
                <c:pt idx="9">
                  <c:v>0</c:v>
                </c:pt>
                <c:pt idx="10">
                  <c:v>0</c:v>
                </c:pt>
                <c:pt idx="12">
                  <c:v>0</c:v>
                </c:pt>
              </c:numCache>
            </c:numRef>
          </c:val>
          <c:extLst>
            <c:ext xmlns:c16="http://schemas.microsoft.com/office/drawing/2014/chart" uri="{C3380CC4-5D6E-409C-BE32-E72D297353CC}">
              <c16:uniqueId val="{00000003-EC16-4B8C-A35B-CD1291EB11F1}"/>
            </c:ext>
          </c:extLst>
        </c:ser>
        <c:dLbls>
          <c:showLegendKey val="0"/>
          <c:showVal val="0"/>
          <c:showCatName val="0"/>
          <c:showSerName val="0"/>
          <c:showPercent val="0"/>
          <c:showBubbleSize val="0"/>
        </c:dLbls>
        <c:axId val="686926992"/>
        <c:axId val="1071524288"/>
      </c:radarChart>
      <c:catAx>
        <c:axId val="686926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71524288"/>
        <c:crosses val="autoZero"/>
        <c:auto val="1"/>
        <c:lblAlgn val="ctr"/>
        <c:lblOffset val="100"/>
        <c:noMultiLvlLbl val="0"/>
      </c:catAx>
      <c:valAx>
        <c:axId val="1071524288"/>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86926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strRef>
              <c:f>EJECUCIÓN!$AG$1</c:f>
              <c:strCache>
                <c:ptCount val="1"/>
                <c:pt idx="0">
                  <c:v>EJECUTADO GLOBAL</c:v>
                </c:pt>
              </c:strCache>
            </c:strRef>
          </c:tx>
          <c:spPr>
            <a:ln w="28575" cap="rnd">
              <a:solidFill>
                <a:schemeClr val="accent1"/>
              </a:solidFill>
              <a:round/>
            </a:ln>
            <a:effectLst/>
          </c:spPr>
          <c:marker>
            <c:symbol val="none"/>
          </c:marker>
          <c:dLbls>
            <c:dLbl>
              <c:idx val="0"/>
              <c:layout>
                <c:manualLayout>
                  <c:x val="0"/>
                  <c:y val="2.3234328262639384E-2"/>
                </c:manualLayout>
              </c:layout>
              <c:spPr>
                <a:solidFill>
                  <a:srgbClr val="92D050"/>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A65-4AEB-B6E1-3244366524D2}"/>
                </c:ext>
              </c:extLst>
            </c:dLbl>
            <c:dLbl>
              <c:idx val="1"/>
              <c:layout>
                <c:manualLayout>
                  <c:x val="-2.1982824836264736E-2"/>
                  <c:y val="3.87238804377323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A65-4AEB-B6E1-3244366524D2}"/>
                </c:ext>
              </c:extLst>
            </c:dLbl>
            <c:dLbl>
              <c:idx val="2"/>
              <c:layout>
                <c:manualLayout>
                  <c:x val="-3.0226384149864012E-2"/>
                  <c:y val="1.93619402188661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A65-4AEB-B6E1-3244366524D2}"/>
                </c:ext>
              </c:extLst>
            </c:dLbl>
            <c:dLbl>
              <c:idx val="3"/>
              <c:layout>
                <c:manualLayout>
                  <c:x val="-2.4730677940797828E-2"/>
                  <c:y val="4.25962684815054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A65-4AEB-B6E1-3244366524D2}"/>
                </c:ext>
              </c:extLst>
            </c:dLbl>
            <c:dLbl>
              <c:idx val="4"/>
              <c:layout>
                <c:manualLayout>
                  <c:x val="-3.0226384149864116E-2"/>
                  <c:y val="1.93619402188661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A65-4AEB-B6E1-3244366524D2}"/>
                </c:ext>
              </c:extLst>
            </c:dLbl>
            <c:dLbl>
              <c:idx val="5"/>
              <c:layout>
                <c:manualLayout>
                  <c:x val="-1.3739265522665562E-2"/>
                  <c:y val="-2.7106716306412613E-2"/>
                </c:manualLayout>
              </c:layout>
              <c:spPr>
                <a:solidFill>
                  <a:srgbClr val="FFC000"/>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A65-4AEB-B6E1-3244366524D2}"/>
                </c:ext>
              </c:extLst>
            </c:dLbl>
            <c:dLbl>
              <c:idx val="6"/>
              <c:layout>
                <c:manualLayout>
                  <c:x val="-1.9234971731731644E-2"/>
                  <c:y val="-4.64686565252787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A65-4AEB-B6E1-3244366524D2}"/>
                </c:ext>
              </c:extLst>
            </c:dLbl>
            <c:dLbl>
              <c:idx val="7"/>
              <c:layout>
                <c:manualLayout>
                  <c:x val="-2.747853104533092E-3"/>
                  <c:y val="-4.25962684815056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A65-4AEB-B6E1-3244366524D2}"/>
                </c:ext>
              </c:extLst>
            </c:dLbl>
            <c:dLbl>
              <c:idx val="8"/>
              <c:layout>
                <c:manualLayout>
                  <c:x val="8.243559313599276E-3"/>
                  <c:y val="-3.87238804377323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A65-4AEB-B6E1-3244366524D2}"/>
                </c:ext>
              </c:extLst>
            </c:dLbl>
            <c:dLbl>
              <c:idx val="9"/>
              <c:layout>
                <c:manualLayout>
                  <c:x val="3.0226384149863988E-2"/>
                  <c:y val="-3.09791043501858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A65-4AEB-B6E1-3244366524D2}"/>
                </c:ext>
              </c:extLst>
            </c:dLbl>
            <c:dLbl>
              <c:idx val="10"/>
              <c:layout>
                <c:manualLayout>
                  <c:x val="3.2974237254397083E-2"/>
                  <c:y val="-1.54895521750929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A65-4AEB-B6E1-3244366524D2}"/>
                </c:ext>
              </c:extLst>
            </c:dLbl>
            <c:dLbl>
              <c:idx val="11"/>
              <c:layout>
                <c:manualLayout>
                  <c:x val="2.747853104533092E-2"/>
                  <c:y val="1.54895521750929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A65-4AEB-B6E1-3244366524D2}"/>
                </c:ext>
              </c:extLst>
            </c:dLbl>
            <c:dLbl>
              <c:idx val="12"/>
              <c:layout>
                <c:manualLayout>
                  <c:x val="2.4713700536112167E-2"/>
                  <c:y val="3.0348759823021328E-2"/>
                </c:manualLayout>
              </c:layout>
              <c:spPr>
                <a:solidFill>
                  <a:srgbClr val="92D050"/>
                </a:solidFill>
                <a:ln>
                  <a:solidFill>
                    <a:schemeClr val="bg1"/>
                  </a:solid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A65-4AEB-B6E1-3244366524D2}"/>
                </c:ext>
              </c:extLst>
            </c:dLbl>
            <c:spPr>
              <a:solidFill>
                <a:srgbClr val="92D050"/>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EJECUCIÓN!$AF$2:$AF$14</c:f>
              <c:strCache>
                <c:ptCount val="13"/>
                <c:pt idx="0">
                  <c:v>PIAA</c:v>
                </c:pt>
                <c:pt idx="1">
                  <c:v>PSEC</c:v>
                </c:pt>
                <c:pt idx="2">
                  <c:v>PINS</c:v>
                </c:pt>
                <c:pt idx="3">
                  <c:v>PINAR</c:v>
                </c:pt>
                <c:pt idx="4">
                  <c:v>PETH</c:v>
                </c:pt>
                <c:pt idx="5">
                  <c:v>PAA</c:v>
                </c:pt>
                <c:pt idx="6">
                  <c:v>PIC</c:v>
                </c:pt>
                <c:pt idx="7">
                  <c:v>PII</c:v>
                </c:pt>
                <c:pt idx="8">
                  <c:v>PSST</c:v>
                </c:pt>
                <c:pt idx="9">
                  <c:v>PAAC</c:v>
                </c:pt>
                <c:pt idx="10">
                  <c:v>PETI</c:v>
                </c:pt>
                <c:pt idx="11">
                  <c:v>PTRSPI</c:v>
                </c:pt>
                <c:pt idx="12">
                  <c:v>PSPI</c:v>
                </c:pt>
              </c:strCache>
            </c:strRef>
          </c:cat>
          <c:val>
            <c:numRef>
              <c:f>EJECUCIÓN!$AG$2:$AG$14</c:f>
              <c:numCache>
                <c:formatCode>0%</c:formatCode>
                <c:ptCount val="13"/>
                <c:pt idx="0">
                  <c:v>0</c:v>
                </c:pt>
                <c:pt idx="1">
                  <c:v>1.0526315789473684</c:v>
                </c:pt>
                <c:pt idx="2">
                  <c:v>0</c:v>
                </c:pt>
                <c:pt idx="3">
                  <c:v>1.7543859649122806E-2</c:v>
                </c:pt>
                <c:pt idx="4">
                  <c:v>1</c:v>
                </c:pt>
                <c:pt idx="5">
                  <c:v>0.83174603174603179</c:v>
                </c:pt>
                <c:pt idx="6">
                  <c:v>0</c:v>
                </c:pt>
                <c:pt idx="7">
                  <c:v>0</c:v>
                </c:pt>
                <c:pt idx="8">
                  <c:v>0</c:v>
                </c:pt>
                <c:pt idx="9">
                  <c:v>0</c:v>
                </c:pt>
                <c:pt idx="10">
                  <c:v>0</c:v>
                </c:pt>
                <c:pt idx="11">
                  <c:v>1</c:v>
                </c:pt>
                <c:pt idx="12">
                  <c:v>0</c:v>
                </c:pt>
              </c:numCache>
            </c:numRef>
          </c:val>
          <c:extLst>
            <c:ext xmlns:c16="http://schemas.microsoft.com/office/drawing/2014/chart" uri="{C3380CC4-5D6E-409C-BE32-E72D297353CC}">
              <c16:uniqueId val="{00000000-BA65-4AEB-B6E1-3244366524D2}"/>
            </c:ext>
          </c:extLst>
        </c:ser>
        <c:dLbls>
          <c:showLegendKey val="0"/>
          <c:showVal val="0"/>
          <c:showCatName val="0"/>
          <c:showSerName val="0"/>
          <c:showPercent val="0"/>
          <c:showBubbleSize val="0"/>
        </c:dLbls>
        <c:axId val="1307060784"/>
        <c:axId val="829504384"/>
      </c:radarChart>
      <c:catAx>
        <c:axId val="1307060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29504384"/>
        <c:crosses val="autoZero"/>
        <c:auto val="1"/>
        <c:lblAlgn val="ctr"/>
        <c:lblOffset val="100"/>
        <c:noMultiLvlLbl val="0"/>
      </c:catAx>
      <c:valAx>
        <c:axId val="8295043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706078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07. PIC'!&#193;rea_de_impresi&#243;n"/><Relationship Id="rId13" Type="http://schemas.openxmlformats.org/officeDocument/2006/relationships/hyperlink" Target="#'06. PETH'!A1"/><Relationship Id="rId3" Type="http://schemas.openxmlformats.org/officeDocument/2006/relationships/hyperlink" Target="#'13.PSPI'!A1"/><Relationship Id="rId7" Type="http://schemas.openxmlformats.org/officeDocument/2006/relationships/hyperlink" Target="#'09. PSST'!&#193;rea_de_impresi&#243;n"/><Relationship Id="rId12" Type="http://schemas.openxmlformats.org/officeDocument/2006/relationships/hyperlink" Target="#'01. INSTITUCIONAL'!A1"/><Relationship Id="rId17" Type="http://schemas.openxmlformats.org/officeDocument/2006/relationships/image" Target="../media/image2.jpeg"/><Relationship Id="rId2" Type="http://schemas.openxmlformats.org/officeDocument/2006/relationships/hyperlink" Target="#'01. SECTORIAL'!A1"/><Relationship Id="rId16" Type="http://schemas.openxmlformats.org/officeDocument/2006/relationships/image" Target="../media/image1.png"/><Relationship Id="rId1" Type="http://schemas.openxmlformats.org/officeDocument/2006/relationships/hyperlink" Target="#'01. INSTITUCIONAL'!&#193;rea_de_impresi&#243;n"/><Relationship Id="rId6" Type="http://schemas.openxmlformats.org/officeDocument/2006/relationships/hyperlink" Target="#'10 PTEP'!A1"/><Relationship Id="rId11" Type="http://schemas.openxmlformats.org/officeDocument/2006/relationships/hyperlink" Target="#'02. PINAR'!A1"/><Relationship Id="rId5" Type="http://schemas.openxmlformats.org/officeDocument/2006/relationships/hyperlink" Target="#'10.PETI'!A1"/><Relationship Id="rId15" Type="http://schemas.openxmlformats.org/officeDocument/2006/relationships/hyperlink" Target="#'08. PII'!&#193;rea_de_impresi&#243;n"/><Relationship Id="rId10" Type="http://schemas.openxmlformats.org/officeDocument/2006/relationships/hyperlink" Target="#'03. PAA'!A1"/><Relationship Id="rId4" Type="http://schemas.openxmlformats.org/officeDocument/2006/relationships/hyperlink" Target="#'12. PTRSPI'!A1"/><Relationship Id="rId9" Type="http://schemas.openxmlformats.org/officeDocument/2006/relationships/hyperlink" Target="#'06. PETH'!&#193;rea_de_impresi&#243;n"/><Relationship Id="rId14" Type="http://schemas.openxmlformats.org/officeDocument/2006/relationships/hyperlink" Target="#'06. PIC'!A1"/></Relationships>
</file>

<file path=xl/drawings/_rels/drawing10.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7.png"/><Relationship Id="rId1" Type="http://schemas.openxmlformats.org/officeDocument/2006/relationships/hyperlink" Target="#INICIO!A1"/><Relationship Id="rId4" Type="http://schemas.openxmlformats.org/officeDocument/2006/relationships/image" Target="../media/image14.jpeg"/></Relationships>
</file>

<file path=xl/drawings/_rels/drawing1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7.png"/><Relationship Id="rId1" Type="http://schemas.openxmlformats.org/officeDocument/2006/relationships/hyperlink" Target="#INICIO!A1"/><Relationship Id="rId4" Type="http://schemas.openxmlformats.org/officeDocument/2006/relationships/image" Target="../media/image10.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7.png"/><Relationship Id="rId1" Type="http://schemas.openxmlformats.org/officeDocument/2006/relationships/hyperlink" Target="#INICIO!A1"/><Relationship Id="rId4" Type="http://schemas.openxmlformats.org/officeDocument/2006/relationships/image" Target="../media/image15.jpeg"/></Relationships>
</file>

<file path=xl/drawings/_rels/drawing13.xml.rels><?xml version="1.0" encoding="UTF-8" standalone="yes"?>
<Relationships xmlns="http://schemas.openxmlformats.org/package/2006/relationships"><Relationship Id="rId3" Type="http://schemas.openxmlformats.org/officeDocument/2006/relationships/hyperlink" Target="#INICIO!A1"/><Relationship Id="rId2" Type="http://schemas.openxmlformats.org/officeDocument/2006/relationships/image" Target="../media/image16.jpeg"/><Relationship Id="rId1" Type="http://schemas.openxmlformats.org/officeDocument/2006/relationships/image" Target="../media/image1.png"/><Relationship Id="rId4" Type="http://schemas.openxmlformats.org/officeDocument/2006/relationships/image" Target="../media/image7.png"/></Relationships>
</file>

<file path=xl/drawings/_rels/drawing1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7.png"/><Relationship Id="rId1" Type="http://schemas.openxmlformats.org/officeDocument/2006/relationships/hyperlink" Target="#INICIO!A1"/><Relationship Id="rId4" Type="http://schemas.openxmlformats.org/officeDocument/2006/relationships/image" Target="../media/image17.jpeg"/></Relationships>
</file>

<file path=xl/drawings/_rels/drawing1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7.png"/><Relationship Id="rId1" Type="http://schemas.openxmlformats.org/officeDocument/2006/relationships/hyperlink" Target="#INICIO!A1"/><Relationship Id="rId4" Type="http://schemas.openxmlformats.org/officeDocument/2006/relationships/image" Target="../media/image18.jpe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7.png"/><Relationship Id="rId1" Type="http://schemas.openxmlformats.org/officeDocument/2006/relationships/hyperlink" Target="#INICIO!A1"/><Relationship Id="rId4" Type="http://schemas.openxmlformats.org/officeDocument/2006/relationships/image" Target="../media/image8.jpeg"/></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7.png"/><Relationship Id="rId1" Type="http://schemas.openxmlformats.org/officeDocument/2006/relationships/hyperlink" Target="#INICIO!A1"/><Relationship Id="rId4" Type="http://schemas.openxmlformats.org/officeDocument/2006/relationships/image" Target="../media/image9.jpeg"/></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7.png"/><Relationship Id="rId1" Type="http://schemas.openxmlformats.org/officeDocument/2006/relationships/hyperlink" Target="#INICIO!A1"/><Relationship Id="rId4" Type="http://schemas.openxmlformats.org/officeDocument/2006/relationships/image" Target="../media/image10.jpeg"/></Relationships>
</file>

<file path=xl/drawings/_rels/drawing7.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7.png"/><Relationship Id="rId1" Type="http://schemas.openxmlformats.org/officeDocument/2006/relationships/hyperlink" Target="#INICIO!A1"/><Relationship Id="rId4" Type="http://schemas.openxmlformats.org/officeDocument/2006/relationships/image" Target="../media/image11.jpeg"/></Relationships>
</file>

<file path=xl/drawings/_rels/drawing8.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7.png"/><Relationship Id="rId1" Type="http://schemas.openxmlformats.org/officeDocument/2006/relationships/hyperlink" Target="#INICIO!A1"/><Relationship Id="rId4" Type="http://schemas.openxmlformats.org/officeDocument/2006/relationships/image" Target="../media/image12.jpeg"/></Relationships>
</file>

<file path=xl/drawings/_rels/drawing9.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7.png"/><Relationship Id="rId1" Type="http://schemas.openxmlformats.org/officeDocument/2006/relationships/hyperlink" Target="#INICIO!A1"/><Relationship Id="rId4" Type="http://schemas.openxmlformats.org/officeDocument/2006/relationships/image" Target="../media/image1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6</xdr:col>
      <xdr:colOff>533400</xdr:colOff>
      <xdr:row>5</xdr:row>
      <xdr:rowOff>123825</xdr:rowOff>
    </xdr:from>
    <xdr:to>
      <xdr:col>9</xdr:col>
      <xdr:colOff>590550</xdr:colOff>
      <xdr:row>18</xdr:row>
      <xdr:rowOff>76200</xdr:rowOff>
    </xdr:to>
    <xdr:sp macro="" textlink="">
      <xdr:nvSpPr>
        <xdr:cNvPr id="56" name="Lágrima 63">
          <a:extLst>
            <a:ext uri="{FF2B5EF4-FFF2-40B4-BE49-F238E27FC236}">
              <a16:creationId xmlns:a16="http://schemas.microsoft.com/office/drawing/2014/main" id="{00000000-0008-0000-0000-000040000000}"/>
            </a:ext>
          </a:extLst>
        </xdr:cNvPr>
        <xdr:cNvSpPr/>
      </xdr:nvSpPr>
      <xdr:spPr>
        <a:xfrm rot="19034445">
          <a:off x="5295900" y="904875"/>
          <a:ext cx="2343150" cy="2390775"/>
        </a:xfrm>
        <a:prstGeom prst="teardrop">
          <a:avLst/>
        </a:prstGeom>
        <a:solidFill>
          <a:srgbClr val="532963"/>
        </a:solidFill>
        <a:ln>
          <a:solidFill>
            <a:srgbClr val="532963"/>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1pPr>
          <a:lvl2pPr marR="0" lvl="1"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2pPr>
          <a:lvl3pPr marR="0" lvl="2"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3pPr>
          <a:lvl4pPr marR="0" lvl="3"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4pPr>
          <a:lvl5pPr marR="0" lvl="4"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5pPr>
          <a:lvl6pPr marR="0" lvl="5"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6pPr>
          <a:lvl7pPr marR="0" lvl="6"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7pPr>
          <a:lvl8pPr marR="0" lvl="7"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8pPr>
          <a:lvl9pPr marR="0" lvl="8"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4</xdr:col>
      <xdr:colOff>368300</xdr:colOff>
      <xdr:row>21</xdr:row>
      <xdr:rowOff>88900</xdr:rowOff>
    </xdr:from>
    <xdr:to>
      <xdr:col>11</xdr:col>
      <xdr:colOff>396875</xdr:colOff>
      <xdr:row>45</xdr:row>
      <xdr:rowOff>184150</xdr:rowOff>
    </xdr:to>
    <xdr:sp macro="" textlink="">
      <xdr:nvSpPr>
        <xdr:cNvPr id="2" name="TextBox 121">
          <a:extLst>
            <a:ext uri="{FF2B5EF4-FFF2-40B4-BE49-F238E27FC236}">
              <a16:creationId xmlns:a16="http://schemas.microsoft.com/office/drawing/2014/main" id="{00000000-0008-0000-0000-000002000000}"/>
            </a:ext>
          </a:extLst>
        </xdr:cNvPr>
        <xdr:cNvSpPr txBox="1"/>
      </xdr:nvSpPr>
      <xdr:spPr>
        <a:xfrm>
          <a:off x="3568700" y="3911600"/>
          <a:ext cx="5629275" cy="4514850"/>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5200" b="1" kern="0">
              <a:solidFill>
                <a:srgbClr val="532963"/>
              </a:solidFill>
              <a:latin typeface="Arial" pitchFamily="34" charset="0"/>
              <a:cs typeface="Arial" pitchFamily="34" charset="0"/>
            </a:rPr>
            <a:t>PLAN</a:t>
          </a:r>
          <a:endParaRPr lang="en-US" sz="5200" b="1" kern="0" baseline="0">
            <a:solidFill>
              <a:srgbClr val="532963"/>
            </a:solidFill>
            <a:latin typeface="Arial" pitchFamily="34" charset="0"/>
            <a:cs typeface="Arial" pitchFamily="34" charset="0"/>
          </a:endParaRPr>
        </a:p>
        <a:p>
          <a:pPr algn="ctr"/>
          <a:r>
            <a:rPr lang="en-US" sz="5200" b="1" kern="0" baseline="0">
              <a:solidFill>
                <a:srgbClr val="532963"/>
              </a:solidFill>
              <a:latin typeface="Arial" pitchFamily="34" charset="0"/>
              <a:cs typeface="Arial" pitchFamily="34" charset="0"/>
            </a:rPr>
            <a:t>INTEGRADO DE ACCIÓN ANUAL</a:t>
          </a:r>
        </a:p>
        <a:p>
          <a:pPr algn="ctr"/>
          <a:r>
            <a:rPr lang="en-US" sz="5200" b="1" kern="0" baseline="0">
              <a:solidFill>
                <a:srgbClr val="532963"/>
              </a:solidFill>
              <a:latin typeface="Arial" pitchFamily="34" charset="0"/>
              <a:cs typeface="Arial" pitchFamily="34" charset="0"/>
            </a:rPr>
            <a:t>[PIAA]</a:t>
          </a:r>
        </a:p>
        <a:p>
          <a:pPr algn="ctr"/>
          <a:endParaRPr lang="en-US" sz="5200" b="1" kern="0" baseline="0">
            <a:solidFill>
              <a:srgbClr val="532963"/>
            </a:solidFill>
            <a:latin typeface="Arial" pitchFamily="34" charset="0"/>
            <a:cs typeface="Arial" pitchFamily="34" charset="0"/>
          </a:endParaRPr>
        </a:p>
        <a:p>
          <a:pPr algn="ctr"/>
          <a:endParaRPr lang="en-US" sz="5200" b="1" kern="0" baseline="0">
            <a:solidFill>
              <a:sysClr val="windowText" lastClr="000000"/>
            </a:solidFill>
            <a:latin typeface="Arial" pitchFamily="34" charset="0"/>
            <a:cs typeface="Arial" pitchFamily="34" charset="0"/>
          </a:endParaRPr>
        </a:p>
        <a:p>
          <a:pPr algn="ctr"/>
          <a:endParaRPr lang="en-US" sz="5200" b="1" kern="0" baseline="0">
            <a:solidFill>
              <a:srgbClr val="E63992"/>
            </a:solidFill>
            <a:latin typeface="Arial" pitchFamily="34" charset="0"/>
            <a:cs typeface="Arial" pitchFamily="34" charset="0"/>
          </a:endParaRPr>
        </a:p>
        <a:p>
          <a:pPr algn="ctr"/>
          <a:r>
            <a:rPr lang="en-US" sz="5200" b="1" kern="0" baseline="0">
              <a:solidFill>
                <a:srgbClr val="E63992"/>
              </a:solidFill>
              <a:latin typeface="Arial" pitchFamily="34" charset="0"/>
              <a:cs typeface="Arial" pitchFamily="34" charset="0"/>
            </a:rPr>
            <a:t>2026</a:t>
          </a:r>
          <a:endParaRPr lang="en-US" sz="5200" b="1" kern="0">
            <a:solidFill>
              <a:srgbClr val="E63992"/>
            </a:solidFill>
            <a:latin typeface="Arial" pitchFamily="34" charset="0"/>
            <a:cs typeface="Arial" pitchFamily="34" charset="0"/>
          </a:endParaRPr>
        </a:p>
      </xdr:txBody>
    </xdr:sp>
    <xdr:clientData/>
  </xdr:twoCellAnchor>
  <xdr:twoCellAnchor>
    <xdr:from>
      <xdr:col>9</xdr:col>
      <xdr:colOff>416976</xdr:colOff>
      <xdr:row>7</xdr:row>
      <xdr:rowOff>138475</xdr:rowOff>
    </xdr:from>
    <xdr:to>
      <xdr:col>12</xdr:col>
      <xdr:colOff>413071</xdr:colOff>
      <xdr:row>20</xdr:row>
      <xdr:rowOff>75754</xdr:rowOff>
    </xdr:to>
    <xdr:sp macro="" textlink="">
      <xdr:nvSpPr>
        <xdr:cNvPr id="5" name="Lágrima 4">
          <a:extLst>
            <a:ext uri="{FF2B5EF4-FFF2-40B4-BE49-F238E27FC236}">
              <a16:creationId xmlns:a16="http://schemas.microsoft.com/office/drawing/2014/main" id="{00000000-0008-0000-0000-000005000000}"/>
            </a:ext>
          </a:extLst>
        </xdr:cNvPr>
        <xdr:cNvSpPr/>
      </xdr:nvSpPr>
      <xdr:spPr>
        <a:xfrm rot="20924410">
          <a:off x="7617876" y="1300525"/>
          <a:ext cx="2396395" cy="2413779"/>
        </a:xfrm>
        <a:prstGeom prst="teardrop">
          <a:avLst/>
        </a:prstGeom>
        <a:solidFill>
          <a:srgbClr val="95E069"/>
        </a:solidFill>
        <a:ln>
          <a:solidFill>
            <a:srgbClr val="95E069"/>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10</xdr:col>
      <xdr:colOff>324949</xdr:colOff>
      <xdr:row>51</xdr:row>
      <xdr:rowOff>163507</xdr:rowOff>
    </xdr:from>
    <xdr:to>
      <xdr:col>13</xdr:col>
      <xdr:colOff>410395</xdr:colOff>
      <xdr:row>65</xdr:row>
      <xdr:rowOff>75447</xdr:rowOff>
    </xdr:to>
    <xdr:sp macro="" textlink="">
      <xdr:nvSpPr>
        <xdr:cNvPr id="6" name="Lágrima 137">
          <a:extLst>
            <a:ext uri="{FF2B5EF4-FFF2-40B4-BE49-F238E27FC236}">
              <a16:creationId xmlns:a16="http://schemas.microsoft.com/office/drawing/2014/main" id="{00000000-0008-0000-0000-000006000000}"/>
            </a:ext>
          </a:extLst>
        </xdr:cNvPr>
        <xdr:cNvSpPr/>
      </xdr:nvSpPr>
      <xdr:spPr>
        <a:xfrm rot="5888503">
          <a:off x="8415877" y="9420779"/>
          <a:ext cx="2305890" cy="2485746"/>
        </a:xfrm>
        <a:prstGeom prst="teardrop">
          <a:avLst/>
        </a:prstGeom>
        <a:solidFill>
          <a:srgbClr val="9B4CBA"/>
        </a:solidFill>
        <a:ln>
          <a:solidFill>
            <a:srgbClr val="9B4CBA"/>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2</xdr:col>
      <xdr:colOff>127038</xdr:colOff>
      <xdr:row>52</xdr:row>
      <xdr:rowOff>116970</xdr:rowOff>
    </xdr:from>
    <xdr:to>
      <xdr:col>5</xdr:col>
      <xdr:colOff>99470</xdr:colOff>
      <xdr:row>66</xdr:row>
      <xdr:rowOff>138916</xdr:rowOff>
    </xdr:to>
    <xdr:sp macro="" textlink="">
      <xdr:nvSpPr>
        <xdr:cNvPr id="7" name="Lágrima 6">
          <a:extLst>
            <a:ext uri="{FF2B5EF4-FFF2-40B4-BE49-F238E27FC236}">
              <a16:creationId xmlns:a16="http://schemas.microsoft.com/office/drawing/2014/main" id="{00000000-0008-0000-0000-000007000000}"/>
            </a:ext>
          </a:extLst>
        </xdr:cNvPr>
        <xdr:cNvSpPr/>
      </xdr:nvSpPr>
      <xdr:spPr>
        <a:xfrm rot="10073442">
          <a:off x="1727238" y="9648320"/>
          <a:ext cx="2372732" cy="2415896"/>
        </a:xfrm>
        <a:prstGeom prst="teardrop">
          <a:avLst/>
        </a:prstGeom>
        <a:solidFill>
          <a:srgbClr val="95E069"/>
        </a:solidFill>
        <a:ln>
          <a:solidFill>
            <a:srgbClr val="95E069"/>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1</xdr:col>
      <xdr:colOff>165020</xdr:colOff>
      <xdr:row>16</xdr:row>
      <xdr:rowOff>620</xdr:rowOff>
    </xdr:from>
    <xdr:to>
      <xdr:col>4</xdr:col>
      <xdr:colOff>250466</xdr:colOff>
      <xdr:row>28</xdr:row>
      <xdr:rowOff>24743</xdr:rowOff>
    </xdr:to>
    <xdr:sp macro="" textlink="">
      <xdr:nvSpPr>
        <xdr:cNvPr id="8" name="Lágrima 7">
          <a:extLst>
            <a:ext uri="{FF2B5EF4-FFF2-40B4-BE49-F238E27FC236}">
              <a16:creationId xmlns:a16="http://schemas.microsoft.com/office/drawing/2014/main" id="{00000000-0008-0000-0000-000008000000}"/>
            </a:ext>
          </a:extLst>
        </xdr:cNvPr>
        <xdr:cNvSpPr/>
      </xdr:nvSpPr>
      <xdr:spPr>
        <a:xfrm rot="16200000">
          <a:off x="1049756" y="2735384"/>
          <a:ext cx="2316473" cy="2485746"/>
        </a:xfrm>
        <a:prstGeom prst="teardrop">
          <a:avLst/>
        </a:prstGeom>
        <a:solidFill>
          <a:srgbClr val="C3FF9C"/>
        </a:solidFill>
        <a:ln>
          <a:solidFill>
            <a:srgbClr val="C3FF9C"/>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0</xdr:col>
      <xdr:colOff>543963</xdr:colOff>
      <xdr:row>27</xdr:row>
      <xdr:rowOff>171446</xdr:rowOff>
    </xdr:from>
    <xdr:to>
      <xdr:col>3</xdr:col>
      <xdr:colOff>532103</xdr:colOff>
      <xdr:row>41</xdr:row>
      <xdr:rowOff>13976</xdr:rowOff>
    </xdr:to>
    <xdr:sp macro="" textlink="">
      <xdr:nvSpPr>
        <xdr:cNvPr id="9" name="Lágrima 8">
          <a:extLst>
            <a:ext uri="{FF2B5EF4-FFF2-40B4-BE49-F238E27FC236}">
              <a16:creationId xmlns:a16="http://schemas.microsoft.com/office/drawing/2014/main" id="{00000000-0008-0000-0000-000009000000}"/>
            </a:ext>
          </a:extLst>
        </xdr:cNvPr>
        <xdr:cNvSpPr/>
      </xdr:nvSpPr>
      <xdr:spPr>
        <a:xfrm rot="13197227">
          <a:off x="543963" y="5099046"/>
          <a:ext cx="2388440" cy="2420630"/>
        </a:xfrm>
        <a:prstGeom prst="teardrop">
          <a:avLst/>
        </a:prstGeom>
        <a:solidFill>
          <a:srgbClr val="9B4CBA"/>
        </a:solidFill>
        <a:ln>
          <a:solidFill>
            <a:srgbClr val="9B4CBA"/>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11</xdr:col>
      <xdr:colOff>661142</xdr:colOff>
      <xdr:row>16</xdr:row>
      <xdr:rowOff>35979</xdr:rowOff>
    </xdr:from>
    <xdr:to>
      <xdr:col>14</xdr:col>
      <xdr:colOff>634999</xdr:colOff>
      <xdr:row>28</xdr:row>
      <xdr:rowOff>162979</xdr:rowOff>
    </xdr:to>
    <xdr:sp macro="" textlink="">
      <xdr:nvSpPr>
        <xdr:cNvPr id="10" name="Lágrima 141">
          <a:extLst>
            <a:ext uri="{FF2B5EF4-FFF2-40B4-BE49-F238E27FC236}">
              <a16:creationId xmlns:a16="http://schemas.microsoft.com/office/drawing/2014/main" id="{00000000-0008-0000-0000-00000A000000}"/>
            </a:ext>
          </a:extLst>
        </xdr:cNvPr>
        <xdr:cNvSpPr/>
      </xdr:nvSpPr>
      <xdr:spPr>
        <a:xfrm>
          <a:off x="9462242" y="2855379"/>
          <a:ext cx="2374157" cy="2419350"/>
        </a:xfrm>
        <a:prstGeom prst="teardrop">
          <a:avLst/>
        </a:prstGeom>
        <a:solidFill>
          <a:srgbClr val="E63992"/>
        </a:solidFill>
        <a:ln>
          <a:solidFill>
            <a:srgbClr val="E6399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12</xdr:col>
      <xdr:colOff>263953</xdr:colOff>
      <xdr:row>28</xdr:row>
      <xdr:rowOff>59842</xdr:rowOff>
    </xdr:from>
    <xdr:to>
      <xdr:col>15</xdr:col>
      <xdr:colOff>349399</xdr:colOff>
      <xdr:row>40</xdr:row>
      <xdr:rowOff>141815</xdr:rowOff>
    </xdr:to>
    <xdr:sp macro="" textlink="">
      <xdr:nvSpPr>
        <xdr:cNvPr id="11" name="Lágrima 10">
          <a:extLst>
            <a:ext uri="{FF2B5EF4-FFF2-40B4-BE49-F238E27FC236}">
              <a16:creationId xmlns:a16="http://schemas.microsoft.com/office/drawing/2014/main" id="{00000000-0008-0000-0000-00000B000000}"/>
            </a:ext>
          </a:extLst>
        </xdr:cNvPr>
        <xdr:cNvSpPr/>
      </xdr:nvSpPr>
      <xdr:spPr>
        <a:xfrm rot="2716324">
          <a:off x="9962139" y="5074606"/>
          <a:ext cx="2291773" cy="2485746"/>
        </a:xfrm>
        <a:prstGeom prst="teardrop">
          <a:avLst/>
        </a:prstGeom>
        <a:solidFill>
          <a:srgbClr val="C3FF9C"/>
        </a:solidFill>
        <a:ln>
          <a:solidFill>
            <a:srgbClr val="C3FF9C"/>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3</xdr:col>
      <xdr:colOff>522724</xdr:colOff>
      <xdr:row>8</xdr:row>
      <xdr:rowOff>102023</xdr:rowOff>
    </xdr:from>
    <xdr:to>
      <xdr:col>6</xdr:col>
      <xdr:colOff>608170</xdr:colOff>
      <xdr:row>20</xdr:row>
      <xdr:rowOff>119796</xdr:rowOff>
    </xdr:to>
    <xdr:sp macro="" textlink="">
      <xdr:nvSpPr>
        <xdr:cNvPr id="12" name="Lágrima 11">
          <a:extLst>
            <a:ext uri="{FF2B5EF4-FFF2-40B4-BE49-F238E27FC236}">
              <a16:creationId xmlns:a16="http://schemas.microsoft.com/office/drawing/2014/main" id="{00000000-0008-0000-0000-00000C000000}"/>
            </a:ext>
          </a:extLst>
        </xdr:cNvPr>
        <xdr:cNvSpPr/>
      </xdr:nvSpPr>
      <xdr:spPr>
        <a:xfrm rot="17063044">
          <a:off x="3010835" y="1360412"/>
          <a:ext cx="2310123" cy="2485746"/>
        </a:xfrm>
        <a:prstGeom prst="teardrop">
          <a:avLst/>
        </a:prstGeom>
        <a:solidFill>
          <a:srgbClr val="E63992"/>
        </a:solidFill>
        <a:ln>
          <a:solidFill>
            <a:srgbClr val="E6399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1</xdr:col>
      <xdr:colOff>454578</xdr:colOff>
      <xdr:row>40</xdr:row>
      <xdr:rowOff>34204</xdr:rowOff>
    </xdr:from>
    <xdr:to>
      <xdr:col>4</xdr:col>
      <xdr:colOff>416970</xdr:colOff>
      <xdr:row>53</xdr:row>
      <xdr:rowOff>56150</xdr:rowOff>
    </xdr:to>
    <xdr:sp macro="" textlink="">
      <xdr:nvSpPr>
        <xdr:cNvPr id="13" name="Lágrima 12">
          <a:extLst>
            <a:ext uri="{FF2B5EF4-FFF2-40B4-BE49-F238E27FC236}">
              <a16:creationId xmlns:a16="http://schemas.microsoft.com/office/drawing/2014/main" id="{00000000-0008-0000-0000-00000D000000}"/>
            </a:ext>
          </a:extLst>
        </xdr:cNvPr>
        <xdr:cNvSpPr/>
      </xdr:nvSpPr>
      <xdr:spPr>
        <a:xfrm rot="11835076">
          <a:off x="1254678" y="7355754"/>
          <a:ext cx="2362692" cy="2415896"/>
        </a:xfrm>
        <a:prstGeom prst="teardrop">
          <a:avLst/>
        </a:prstGeom>
        <a:solidFill>
          <a:srgbClr val="E63992"/>
        </a:solidFill>
        <a:ln>
          <a:solidFill>
            <a:srgbClr val="E6399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11</xdr:col>
      <xdr:colOff>544250</xdr:colOff>
      <xdr:row>40</xdr:row>
      <xdr:rowOff>86030</xdr:rowOff>
    </xdr:from>
    <xdr:to>
      <xdr:col>14</xdr:col>
      <xdr:colOff>629696</xdr:colOff>
      <xdr:row>53</xdr:row>
      <xdr:rowOff>4320</xdr:rowOff>
    </xdr:to>
    <xdr:sp macro="" textlink="">
      <xdr:nvSpPr>
        <xdr:cNvPr id="14" name="Lágrima 13">
          <a:extLst>
            <a:ext uri="{FF2B5EF4-FFF2-40B4-BE49-F238E27FC236}">
              <a16:creationId xmlns:a16="http://schemas.microsoft.com/office/drawing/2014/main" id="{00000000-0008-0000-0000-00000E000000}"/>
            </a:ext>
          </a:extLst>
        </xdr:cNvPr>
        <xdr:cNvSpPr/>
      </xdr:nvSpPr>
      <xdr:spPr>
        <a:xfrm rot="5400000">
          <a:off x="9432103" y="7320827"/>
          <a:ext cx="2312240" cy="2485746"/>
        </a:xfrm>
        <a:prstGeom prst="teardrop">
          <a:avLst/>
        </a:prstGeom>
        <a:solidFill>
          <a:srgbClr val="532963"/>
        </a:solidFill>
        <a:ln>
          <a:solidFill>
            <a:srgbClr val="532963"/>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7</xdr:col>
      <xdr:colOff>646536</xdr:colOff>
      <xdr:row>57</xdr:row>
      <xdr:rowOff>71847</xdr:rowOff>
    </xdr:from>
    <xdr:to>
      <xdr:col>10</xdr:col>
      <xdr:colOff>731982</xdr:colOff>
      <xdr:row>70</xdr:row>
      <xdr:rowOff>8939</xdr:rowOff>
    </xdr:to>
    <xdr:sp macro="" textlink="">
      <xdr:nvSpPr>
        <xdr:cNvPr id="15" name="Lágrima 14">
          <a:extLst>
            <a:ext uri="{FF2B5EF4-FFF2-40B4-BE49-F238E27FC236}">
              <a16:creationId xmlns:a16="http://schemas.microsoft.com/office/drawing/2014/main" id="{00000000-0008-0000-0000-00000F000000}"/>
            </a:ext>
          </a:extLst>
        </xdr:cNvPr>
        <xdr:cNvSpPr/>
      </xdr:nvSpPr>
      <xdr:spPr>
        <a:xfrm rot="7274512">
          <a:off x="6324588" y="10262445"/>
          <a:ext cx="2331042" cy="2485746"/>
        </a:xfrm>
        <a:prstGeom prst="teardrop">
          <a:avLst/>
        </a:prstGeom>
        <a:solidFill>
          <a:srgbClr val="C3FF9C"/>
        </a:solidFill>
        <a:ln>
          <a:solidFill>
            <a:srgbClr val="C3FF9C"/>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7</xdr:col>
      <xdr:colOff>216996</xdr:colOff>
      <xdr:row>10</xdr:row>
      <xdr:rowOff>114300</xdr:rowOff>
    </xdr:from>
    <xdr:to>
      <xdr:col>8</xdr:col>
      <xdr:colOff>678038</xdr:colOff>
      <xdr:row>14</xdr:row>
      <xdr:rowOff>42542</xdr:rowOff>
    </xdr:to>
    <xdr:sp macro="" textlink="">
      <xdr:nvSpPr>
        <xdr:cNvPr id="16" name="TextBox 121">
          <a:hlinkClick xmlns:r="http://schemas.openxmlformats.org/officeDocument/2006/relationships" r:id="rId1"/>
          <a:extLst>
            <a:ext uri="{FF2B5EF4-FFF2-40B4-BE49-F238E27FC236}">
              <a16:creationId xmlns:a16="http://schemas.microsoft.com/office/drawing/2014/main" id="{00000000-0008-0000-0000-000010000000}"/>
            </a:ext>
          </a:extLst>
        </xdr:cNvPr>
        <xdr:cNvSpPr txBox="1"/>
      </xdr:nvSpPr>
      <xdr:spPr bwMode="auto">
        <a:xfrm>
          <a:off x="5817696" y="1828800"/>
          <a:ext cx="1261142" cy="664842"/>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000" b="1" kern="0">
              <a:solidFill>
                <a:schemeClr val="bg1"/>
              </a:solidFill>
              <a:latin typeface="Arial" pitchFamily="34" charset="0"/>
              <a:cs typeface="Arial" pitchFamily="34" charset="0"/>
            </a:rPr>
            <a:t>Plan de Acción Anual</a:t>
          </a:r>
        </a:p>
      </xdr:txBody>
    </xdr:sp>
    <xdr:clientData/>
  </xdr:twoCellAnchor>
  <xdr:twoCellAnchor>
    <xdr:from>
      <xdr:col>7</xdr:col>
      <xdr:colOff>370808</xdr:colOff>
      <xdr:row>10</xdr:row>
      <xdr:rowOff>38100</xdr:rowOff>
    </xdr:from>
    <xdr:to>
      <xdr:col>8</xdr:col>
      <xdr:colOff>515682</xdr:colOff>
      <xdr:row>10</xdr:row>
      <xdr:rowOff>38100</xdr:rowOff>
    </xdr:to>
    <xdr:cxnSp macro="">
      <xdr:nvCxnSpPr>
        <xdr:cNvPr id="17" name="Straight Connector 72">
          <a:extLst>
            <a:ext uri="{FF2B5EF4-FFF2-40B4-BE49-F238E27FC236}">
              <a16:creationId xmlns:a16="http://schemas.microsoft.com/office/drawing/2014/main" id="{00000000-0008-0000-0000-000011000000}"/>
            </a:ext>
          </a:extLst>
        </xdr:cNvPr>
        <xdr:cNvCxnSpPr/>
      </xdr:nvCxnSpPr>
      <xdr:spPr bwMode="auto">
        <a:xfrm>
          <a:off x="5971508" y="1752600"/>
          <a:ext cx="944974"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465352</xdr:colOff>
      <xdr:row>6</xdr:row>
      <xdr:rowOff>40214</xdr:rowOff>
    </xdr:from>
    <xdr:to>
      <xdr:col>8</xdr:col>
      <xdr:colOff>533399</xdr:colOff>
      <xdr:row>8</xdr:row>
      <xdr:rowOff>165100</xdr:rowOff>
    </xdr:to>
    <xdr:sp macro="" textlink="">
      <xdr:nvSpPr>
        <xdr:cNvPr id="18" name="TextBox 70">
          <a:extLst>
            <a:ext uri="{FF2B5EF4-FFF2-40B4-BE49-F238E27FC236}">
              <a16:creationId xmlns:a16="http://schemas.microsoft.com/office/drawing/2014/main" id="{00000000-0008-0000-0000-000012000000}"/>
            </a:ext>
          </a:extLst>
        </xdr:cNvPr>
        <xdr:cNvSpPr txBox="1"/>
      </xdr:nvSpPr>
      <xdr:spPr bwMode="auto">
        <a:xfrm>
          <a:off x="6066052" y="1018114"/>
          <a:ext cx="868147" cy="493186"/>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01</a:t>
          </a:r>
        </a:p>
      </xdr:txBody>
    </xdr:sp>
    <xdr:clientData/>
  </xdr:twoCellAnchor>
  <xdr:twoCellAnchor>
    <xdr:from>
      <xdr:col>9</xdr:col>
      <xdr:colOff>795994</xdr:colOff>
      <xdr:row>13</xdr:row>
      <xdr:rowOff>30602</xdr:rowOff>
    </xdr:from>
    <xdr:to>
      <xdr:col>12</xdr:col>
      <xdr:colOff>241300</xdr:colOff>
      <xdr:row>16</xdr:row>
      <xdr:rowOff>149344</xdr:rowOff>
    </xdr:to>
    <xdr:sp macro="" textlink="">
      <xdr:nvSpPr>
        <xdr:cNvPr id="19" name="TextBox 121">
          <a:hlinkClick xmlns:r="http://schemas.openxmlformats.org/officeDocument/2006/relationships" r:id="rId2"/>
          <a:extLst>
            <a:ext uri="{FF2B5EF4-FFF2-40B4-BE49-F238E27FC236}">
              <a16:creationId xmlns:a16="http://schemas.microsoft.com/office/drawing/2014/main" id="{00000000-0008-0000-0000-000013000000}"/>
            </a:ext>
          </a:extLst>
        </xdr:cNvPr>
        <xdr:cNvSpPr txBox="1"/>
      </xdr:nvSpPr>
      <xdr:spPr bwMode="auto">
        <a:xfrm>
          <a:off x="7996894" y="2297552"/>
          <a:ext cx="1845606" cy="671192"/>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000" b="1" kern="0">
              <a:solidFill>
                <a:schemeClr val="bg1"/>
              </a:solidFill>
              <a:latin typeface="Arial" pitchFamily="34" charset="0"/>
              <a:cs typeface="Arial" pitchFamily="34" charset="0"/>
            </a:rPr>
            <a:t>Plan</a:t>
          </a:r>
          <a:r>
            <a:rPr lang="en-US" sz="2000" b="1" kern="0" baseline="0">
              <a:solidFill>
                <a:schemeClr val="bg1"/>
              </a:solidFill>
              <a:latin typeface="Arial" pitchFamily="34" charset="0"/>
              <a:cs typeface="Arial" pitchFamily="34" charset="0"/>
            </a:rPr>
            <a:t> Sectorial</a:t>
          </a:r>
          <a:endParaRPr lang="en-US" sz="2000" b="1" kern="0">
            <a:solidFill>
              <a:schemeClr val="bg1"/>
            </a:solidFill>
            <a:latin typeface="Arial" pitchFamily="34" charset="0"/>
            <a:cs typeface="Arial" pitchFamily="34" charset="0"/>
          </a:endParaRPr>
        </a:p>
      </xdr:txBody>
    </xdr:sp>
    <xdr:clientData/>
  </xdr:twoCellAnchor>
  <xdr:twoCellAnchor>
    <xdr:from>
      <xdr:col>4</xdr:col>
      <xdr:colOff>28752</xdr:colOff>
      <xdr:row>12</xdr:row>
      <xdr:rowOff>128607</xdr:rowOff>
    </xdr:from>
    <xdr:to>
      <xdr:col>6</xdr:col>
      <xdr:colOff>301625</xdr:colOff>
      <xdr:row>16</xdr:row>
      <xdr:rowOff>63734</xdr:rowOff>
    </xdr:to>
    <xdr:sp macro="" textlink="">
      <xdr:nvSpPr>
        <xdr:cNvPr id="20" name="TextBox 121">
          <a:hlinkClick xmlns:r="http://schemas.openxmlformats.org/officeDocument/2006/relationships" r:id="rId3"/>
          <a:extLst>
            <a:ext uri="{FF2B5EF4-FFF2-40B4-BE49-F238E27FC236}">
              <a16:creationId xmlns:a16="http://schemas.microsoft.com/office/drawing/2014/main" id="{00000000-0008-0000-0000-000014000000}"/>
            </a:ext>
          </a:extLst>
        </xdr:cNvPr>
        <xdr:cNvSpPr txBox="1"/>
      </xdr:nvSpPr>
      <xdr:spPr bwMode="auto">
        <a:xfrm>
          <a:off x="3229152" y="2211407"/>
          <a:ext cx="1873073" cy="671727"/>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marL="0" marR="0" lvl="0" indent="0" algn="ctr" defTabSz="1218987" rtl="0" eaLnBrk="1" fontAlgn="auto" latinLnBrk="0" hangingPunct="1">
            <a:lnSpc>
              <a:spcPct val="100000"/>
            </a:lnSpc>
            <a:spcBef>
              <a:spcPts val="0"/>
            </a:spcBef>
            <a:spcAft>
              <a:spcPts val="0"/>
            </a:spcAft>
            <a:buClrTx/>
            <a:buSzTx/>
            <a:buFontTx/>
            <a:buNone/>
            <a:tabLst/>
            <a:defRPr/>
          </a:pPr>
          <a:r>
            <a:rPr lang="en-US" sz="1800" b="1" kern="0" noProof="0">
              <a:solidFill>
                <a:schemeClr val="bg1"/>
              </a:solidFill>
              <a:latin typeface="Arial" pitchFamily="34" charset="0"/>
              <a:ea typeface="+mn-ea"/>
              <a:cs typeface="Arial" pitchFamily="34" charset="0"/>
            </a:rPr>
            <a:t>Plan de Seguridad y Privacidad de la Información </a:t>
          </a:r>
        </a:p>
      </xdr:txBody>
    </xdr:sp>
    <xdr:clientData/>
  </xdr:twoCellAnchor>
  <xdr:twoCellAnchor>
    <xdr:from>
      <xdr:col>1</xdr:col>
      <xdr:colOff>269938</xdr:colOff>
      <xdr:row>18</xdr:row>
      <xdr:rowOff>130481</xdr:rowOff>
    </xdr:from>
    <xdr:to>
      <xdr:col>4</xdr:col>
      <xdr:colOff>142875</xdr:colOff>
      <xdr:row>22</xdr:row>
      <xdr:rowOff>58723</xdr:rowOff>
    </xdr:to>
    <xdr:sp macro="" textlink="">
      <xdr:nvSpPr>
        <xdr:cNvPr id="21" name="TextBox 121">
          <a:hlinkClick xmlns:r="http://schemas.openxmlformats.org/officeDocument/2006/relationships" r:id="rId4"/>
          <a:extLst>
            <a:ext uri="{FF2B5EF4-FFF2-40B4-BE49-F238E27FC236}">
              <a16:creationId xmlns:a16="http://schemas.microsoft.com/office/drawing/2014/main" id="{00000000-0008-0000-0000-000015000000}"/>
            </a:ext>
          </a:extLst>
        </xdr:cNvPr>
        <xdr:cNvSpPr txBox="1"/>
      </xdr:nvSpPr>
      <xdr:spPr bwMode="auto">
        <a:xfrm>
          <a:off x="1070038" y="3400731"/>
          <a:ext cx="2273237" cy="664842"/>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marL="0" marR="0" lvl="0" indent="0" algn="ctr" defTabSz="1218987" rtl="0" eaLnBrk="1" fontAlgn="auto" latinLnBrk="0" hangingPunct="1">
            <a:lnSpc>
              <a:spcPct val="100000"/>
            </a:lnSpc>
            <a:spcBef>
              <a:spcPts val="0"/>
            </a:spcBef>
            <a:spcAft>
              <a:spcPts val="0"/>
            </a:spcAft>
            <a:buClrTx/>
            <a:buSzTx/>
            <a:buFontTx/>
            <a:buNone/>
            <a:tabLst/>
            <a:defRPr/>
          </a:pPr>
          <a:r>
            <a:rPr lang="en-US" sz="1800" b="1" kern="0" noProof="0">
              <a:solidFill>
                <a:schemeClr val="bg1"/>
              </a:solidFill>
              <a:latin typeface="Arial" pitchFamily="34" charset="0"/>
              <a:ea typeface="+mn-ea"/>
              <a:cs typeface="Arial" pitchFamily="34" charset="0"/>
            </a:rPr>
            <a:t>Plan de Tratamiento de Riesgos de Seguridad y Privacidad de la Información</a:t>
          </a:r>
        </a:p>
      </xdr:txBody>
    </xdr:sp>
    <xdr:clientData/>
  </xdr:twoCellAnchor>
  <xdr:twoCellAnchor>
    <xdr:from>
      <xdr:col>1</xdr:col>
      <xdr:colOff>15479</xdr:colOff>
      <xdr:row>33</xdr:row>
      <xdr:rowOff>68397</xdr:rowOff>
    </xdr:from>
    <xdr:to>
      <xdr:col>3</xdr:col>
      <xdr:colOff>145361</xdr:colOff>
      <xdr:row>36</xdr:row>
      <xdr:rowOff>180253</xdr:rowOff>
    </xdr:to>
    <xdr:sp macro="" textlink="">
      <xdr:nvSpPr>
        <xdr:cNvPr id="22" name="TextBox 121">
          <a:hlinkClick xmlns:r="http://schemas.openxmlformats.org/officeDocument/2006/relationships" r:id="rId5"/>
          <a:extLst>
            <a:ext uri="{FF2B5EF4-FFF2-40B4-BE49-F238E27FC236}">
              <a16:creationId xmlns:a16="http://schemas.microsoft.com/office/drawing/2014/main" id="{00000000-0008-0000-0000-000016000000}"/>
            </a:ext>
          </a:extLst>
        </xdr:cNvPr>
        <xdr:cNvSpPr txBox="1"/>
      </xdr:nvSpPr>
      <xdr:spPr bwMode="auto">
        <a:xfrm>
          <a:off x="815579" y="6100897"/>
          <a:ext cx="1730082" cy="664306"/>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000" b="1" kern="0">
              <a:solidFill>
                <a:schemeClr val="bg1"/>
              </a:solidFill>
              <a:latin typeface="Arial" pitchFamily="34" charset="0"/>
              <a:cs typeface="Arial" pitchFamily="34" charset="0"/>
            </a:rPr>
            <a:t>Plan Estratégico</a:t>
          </a:r>
          <a:r>
            <a:rPr lang="en-US" sz="2000" b="1" kern="0" baseline="0">
              <a:solidFill>
                <a:schemeClr val="bg1"/>
              </a:solidFill>
              <a:latin typeface="Arial" pitchFamily="34" charset="0"/>
              <a:cs typeface="Arial" pitchFamily="34" charset="0"/>
            </a:rPr>
            <a:t> de TIC</a:t>
          </a:r>
          <a:endParaRPr lang="en-US" sz="2000" b="1" kern="0">
            <a:solidFill>
              <a:schemeClr val="bg1"/>
            </a:solidFill>
            <a:latin typeface="Arial" pitchFamily="34" charset="0"/>
            <a:cs typeface="Arial" pitchFamily="34" charset="0"/>
          </a:endParaRPr>
        </a:p>
      </xdr:txBody>
    </xdr:sp>
    <xdr:clientData/>
  </xdr:twoCellAnchor>
  <xdr:twoCellAnchor>
    <xdr:from>
      <xdr:col>1</xdr:col>
      <xdr:colOff>293809</xdr:colOff>
      <xdr:row>45</xdr:row>
      <xdr:rowOff>80943</xdr:rowOff>
    </xdr:from>
    <xdr:to>
      <xdr:col>4</xdr:col>
      <xdr:colOff>382530</xdr:colOff>
      <xdr:row>49</xdr:row>
      <xdr:rowOff>9185</xdr:rowOff>
    </xdr:to>
    <xdr:sp macro="" textlink="">
      <xdr:nvSpPr>
        <xdr:cNvPr id="23" name="TextBox 121">
          <a:hlinkClick xmlns:r="http://schemas.openxmlformats.org/officeDocument/2006/relationships" r:id="rId6"/>
          <a:extLst>
            <a:ext uri="{FF2B5EF4-FFF2-40B4-BE49-F238E27FC236}">
              <a16:creationId xmlns:a16="http://schemas.microsoft.com/office/drawing/2014/main" id="{00000000-0008-0000-0000-000017000000}"/>
            </a:ext>
          </a:extLst>
        </xdr:cNvPr>
        <xdr:cNvSpPr txBox="1"/>
      </xdr:nvSpPr>
      <xdr:spPr bwMode="auto">
        <a:xfrm>
          <a:off x="1093909" y="8323243"/>
          <a:ext cx="2489021" cy="664842"/>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000" b="1" kern="0">
              <a:solidFill>
                <a:schemeClr val="bg1"/>
              </a:solidFill>
              <a:latin typeface="Arial" pitchFamily="34" charset="0"/>
              <a:cs typeface="Arial" pitchFamily="34" charset="0"/>
            </a:rPr>
            <a:t>Programa de Transparencia y Ética</a:t>
          </a:r>
          <a:r>
            <a:rPr lang="en-US" sz="2000" b="1" kern="0" baseline="0">
              <a:solidFill>
                <a:schemeClr val="bg1"/>
              </a:solidFill>
              <a:latin typeface="Arial" pitchFamily="34" charset="0"/>
              <a:cs typeface="Arial" pitchFamily="34" charset="0"/>
            </a:rPr>
            <a:t> Pública</a:t>
          </a:r>
          <a:endParaRPr lang="en-US" sz="2000" b="1" kern="0">
            <a:solidFill>
              <a:schemeClr val="bg1"/>
            </a:solidFill>
            <a:latin typeface="Arial" pitchFamily="34" charset="0"/>
            <a:cs typeface="Arial" pitchFamily="34" charset="0"/>
          </a:endParaRPr>
        </a:p>
      </xdr:txBody>
    </xdr:sp>
    <xdr:clientData/>
  </xdr:twoCellAnchor>
  <xdr:twoCellAnchor>
    <xdr:from>
      <xdr:col>2</xdr:col>
      <xdr:colOff>53222</xdr:colOff>
      <xdr:row>58</xdr:row>
      <xdr:rowOff>60898</xdr:rowOff>
    </xdr:from>
    <xdr:to>
      <xdr:col>5</xdr:col>
      <xdr:colOff>137711</xdr:colOff>
      <xdr:row>61</xdr:row>
      <xdr:rowOff>172754</xdr:rowOff>
    </xdr:to>
    <xdr:sp macro="" textlink="">
      <xdr:nvSpPr>
        <xdr:cNvPr id="24" name="TextBox 121">
          <a:hlinkClick xmlns:r="http://schemas.openxmlformats.org/officeDocument/2006/relationships" r:id="rId7"/>
          <a:extLst>
            <a:ext uri="{FF2B5EF4-FFF2-40B4-BE49-F238E27FC236}">
              <a16:creationId xmlns:a16="http://schemas.microsoft.com/office/drawing/2014/main" id="{00000000-0008-0000-0000-000018000000}"/>
            </a:ext>
          </a:extLst>
        </xdr:cNvPr>
        <xdr:cNvSpPr txBox="1"/>
      </xdr:nvSpPr>
      <xdr:spPr bwMode="auto">
        <a:xfrm>
          <a:off x="1653422" y="10512998"/>
          <a:ext cx="2484789" cy="664306"/>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000" b="1" kern="0">
              <a:solidFill>
                <a:schemeClr val="bg1"/>
              </a:solidFill>
              <a:latin typeface="Arial" pitchFamily="34" charset="0"/>
              <a:cs typeface="Arial" pitchFamily="34" charset="0"/>
            </a:rPr>
            <a:t>Plan de Trabajo Anual en Seguridad y Salud en el Trabajo</a:t>
          </a:r>
        </a:p>
      </xdr:txBody>
    </xdr:sp>
    <xdr:clientData/>
  </xdr:twoCellAnchor>
  <xdr:twoCellAnchor>
    <xdr:from>
      <xdr:col>8</xdr:col>
      <xdr:colOff>97239</xdr:colOff>
      <xdr:row>63</xdr:row>
      <xdr:rowOff>69366</xdr:rowOff>
    </xdr:from>
    <xdr:to>
      <xdr:col>10</xdr:col>
      <xdr:colOff>596746</xdr:colOff>
      <xdr:row>66</xdr:row>
      <xdr:rowOff>181223</xdr:rowOff>
    </xdr:to>
    <xdr:sp macro="" textlink="">
      <xdr:nvSpPr>
        <xdr:cNvPr id="25" name="TextBox 121">
          <a:hlinkClick xmlns:r="http://schemas.openxmlformats.org/officeDocument/2006/relationships" r:id="rId8"/>
          <a:extLst>
            <a:ext uri="{FF2B5EF4-FFF2-40B4-BE49-F238E27FC236}">
              <a16:creationId xmlns:a16="http://schemas.microsoft.com/office/drawing/2014/main" id="{00000000-0008-0000-0000-000019000000}"/>
            </a:ext>
          </a:extLst>
        </xdr:cNvPr>
        <xdr:cNvSpPr txBox="1"/>
      </xdr:nvSpPr>
      <xdr:spPr bwMode="auto">
        <a:xfrm>
          <a:off x="6498039" y="11442216"/>
          <a:ext cx="2099707" cy="664307"/>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000" b="1" kern="0">
              <a:solidFill>
                <a:schemeClr val="bg1"/>
              </a:solidFill>
              <a:latin typeface="Arial" pitchFamily="34" charset="0"/>
              <a:cs typeface="Arial" pitchFamily="34" charset="0"/>
            </a:rPr>
            <a:t>Plan Institucional de Capacitación</a:t>
          </a:r>
        </a:p>
      </xdr:txBody>
    </xdr:sp>
    <xdr:clientData/>
  </xdr:twoCellAnchor>
  <xdr:twoCellAnchor>
    <xdr:from>
      <xdr:col>10</xdr:col>
      <xdr:colOff>653539</xdr:colOff>
      <xdr:row>57</xdr:row>
      <xdr:rowOff>122411</xdr:rowOff>
    </xdr:from>
    <xdr:to>
      <xdr:col>13</xdr:col>
      <xdr:colOff>84157</xdr:colOff>
      <xdr:row>61</xdr:row>
      <xdr:rowOff>57539</xdr:rowOff>
    </xdr:to>
    <xdr:sp macro="" textlink="">
      <xdr:nvSpPr>
        <xdr:cNvPr id="26" name="TextBox 121">
          <a:hlinkClick xmlns:r="http://schemas.openxmlformats.org/officeDocument/2006/relationships" r:id="rId9"/>
          <a:extLst>
            <a:ext uri="{FF2B5EF4-FFF2-40B4-BE49-F238E27FC236}">
              <a16:creationId xmlns:a16="http://schemas.microsoft.com/office/drawing/2014/main" id="{00000000-0008-0000-0000-00001A000000}"/>
            </a:ext>
          </a:extLst>
        </xdr:cNvPr>
        <xdr:cNvSpPr txBox="1"/>
      </xdr:nvSpPr>
      <xdr:spPr bwMode="auto">
        <a:xfrm>
          <a:off x="8654539" y="10390361"/>
          <a:ext cx="1830918" cy="671728"/>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000" b="1" kern="0">
              <a:solidFill>
                <a:schemeClr val="bg1"/>
              </a:solidFill>
              <a:latin typeface="Arial" pitchFamily="34" charset="0"/>
              <a:cs typeface="Arial" pitchFamily="34" charset="0"/>
            </a:rPr>
            <a:t>Plan Estratégico de Talento</a:t>
          </a:r>
          <a:r>
            <a:rPr lang="en-US" sz="2000" b="1" kern="0" baseline="0">
              <a:solidFill>
                <a:schemeClr val="bg1"/>
              </a:solidFill>
              <a:latin typeface="Arial" pitchFamily="34" charset="0"/>
              <a:cs typeface="Arial" pitchFamily="34" charset="0"/>
            </a:rPr>
            <a:t> Humano</a:t>
          </a:r>
          <a:endParaRPr lang="en-US" sz="2000" b="1" kern="0">
            <a:solidFill>
              <a:schemeClr val="bg1"/>
            </a:solidFill>
            <a:latin typeface="Arial" pitchFamily="34" charset="0"/>
            <a:cs typeface="Arial" pitchFamily="34" charset="0"/>
          </a:endParaRPr>
        </a:p>
      </xdr:txBody>
    </xdr:sp>
    <xdr:clientData/>
  </xdr:twoCellAnchor>
  <xdr:twoCellAnchor>
    <xdr:from>
      <xdr:col>11</xdr:col>
      <xdr:colOff>657364</xdr:colOff>
      <xdr:row>45</xdr:row>
      <xdr:rowOff>183155</xdr:rowOff>
    </xdr:from>
    <xdr:to>
      <xdr:col>14</xdr:col>
      <xdr:colOff>657951</xdr:colOff>
      <xdr:row>49</xdr:row>
      <xdr:rowOff>111397</xdr:rowOff>
    </xdr:to>
    <xdr:sp macro="" textlink="">
      <xdr:nvSpPr>
        <xdr:cNvPr id="27" name="TextBox 121">
          <a:hlinkClick xmlns:r="http://schemas.openxmlformats.org/officeDocument/2006/relationships" r:id="rId10"/>
          <a:extLst>
            <a:ext uri="{FF2B5EF4-FFF2-40B4-BE49-F238E27FC236}">
              <a16:creationId xmlns:a16="http://schemas.microsoft.com/office/drawing/2014/main" id="{00000000-0008-0000-0000-00001B000000}"/>
            </a:ext>
          </a:extLst>
        </xdr:cNvPr>
        <xdr:cNvSpPr txBox="1"/>
      </xdr:nvSpPr>
      <xdr:spPr bwMode="auto">
        <a:xfrm>
          <a:off x="9458464" y="8425455"/>
          <a:ext cx="2400887" cy="664842"/>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000" b="1" kern="0">
              <a:solidFill>
                <a:schemeClr val="bg1"/>
              </a:solidFill>
              <a:latin typeface="Arial" pitchFamily="34" charset="0"/>
              <a:cs typeface="Arial" pitchFamily="34" charset="0"/>
            </a:rPr>
            <a:t>Plan Anual</a:t>
          </a:r>
          <a:r>
            <a:rPr lang="en-US" sz="2000" b="1" kern="0" baseline="0">
              <a:solidFill>
                <a:schemeClr val="bg1"/>
              </a:solidFill>
              <a:latin typeface="Arial" pitchFamily="34" charset="0"/>
              <a:cs typeface="Arial" pitchFamily="34" charset="0"/>
            </a:rPr>
            <a:t> de Adquisiciones</a:t>
          </a:r>
          <a:endParaRPr lang="en-US" sz="2000" b="1" kern="0">
            <a:solidFill>
              <a:schemeClr val="bg1"/>
            </a:solidFill>
            <a:latin typeface="Arial" pitchFamily="34" charset="0"/>
            <a:cs typeface="Arial" pitchFamily="34" charset="0"/>
          </a:endParaRPr>
        </a:p>
      </xdr:txBody>
    </xdr:sp>
    <xdr:clientData/>
  </xdr:twoCellAnchor>
  <xdr:twoCellAnchor>
    <xdr:from>
      <xdr:col>12</xdr:col>
      <xdr:colOff>704850</xdr:colOff>
      <xdr:row>33</xdr:row>
      <xdr:rowOff>95250</xdr:rowOff>
    </xdr:from>
    <xdr:to>
      <xdr:col>15</xdr:col>
      <xdr:colOff>114300</xdr:colOff>
      <xdr:row>37</xdr:row>
      <xdr:rowOff>28575</xdr:rowOff>
    </xdr:to>
    <xdr:sp macro="" textlink="">
      <xdr:nvSpPr>
        <xdr:cNvPr id="4" name="TextBox 121">
          <a:hlinkClick xmlns:r="http://schemas.openxmlformats.org/officeDocument/2006/relationships" r:id="rId11"/>
          <a:extLst>
            <a:ext uri="{FF2B5EF4-FFF2-40B4-BE49-F238E27FC236}">
              <a16:creationId xmlns:a16="http://schemas.microsoft.com/office/drawing/2014/main" id="{00000000-0008-0000-0000-00001C000000}"/>
            </a:ext>
            <a:ext uri="{147F2762-F138-4A5C-976F-8EAC2B608ADB}">
              <a16:predDERef xmlns:a16="http://schemas.microsoft.com/office/drawing/2014/main" pred="{00000000-0008-0000-0000-00001B000000}"/>
            </a:ext>
          </a:extLst>
        </xdr:cNvPr>
        <xdr:cNvSpPr txBox="1"/>
      </xdr:nvSpPr>
      <xdr:spPr bwMode="auto">
        <a:xfrm>
          <a:off x="10039350" y="6029325"/>
          <a:ext cx="1695450" cy="657225"/>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000" b="1" kern="0">
              <a:solidFill>
                <a:schemeClr val="bg1"/>
              </a:solidFill>
              <a:latin typeface="Arial" pitchFamily="34" charset="0"/>
              <a:cs typeface="Arial" pitchFamily="34" charset="0"/>
            </a:rPr>
            <a:t>Plan</a:t>
          </a:r>
          <a:r>
            <a:rPr lang="en-US" sz="2000" b="1" kern="0" baseline="0">
              <a:solidFill>
                <a:schemeClr val="bg1"/>
              </a:solidFill>
              <a:latin typeface="Arial" pitchFamily="34" charset="0"/>
              <a:cs typeface="Arial" pitchFamily="34" charset="0"/>
            </a:rPr>
            <a:t> Institucional de Archivo</a:t>
          </a:r>
          <a:endParaRPr lang="en-US" sz="2000" b="1" kern="0">
            <a:solidFill>
              <a:schemeClr val="bg1"/>
            </a:solidFill>
            <a:latin typeface="Arial" pitchFamily="34" charset="0"/>
            <a:cs typeface="Arial" pitchFamily="34" charset="0"/>
          </a:endParaRPr>
        </a:p>
      </xdr:txBody>
    </xdr:sp>
    <xdr:clientData/>
  </xdr:twoCellAnchor>
  <xdr:twoCellAnchor>
    <xdr:from>
      <xdr:col>12</xdr:col>
      <xdr:colOff>111418</xdr:colOff>
      <xdr:row>20</xdr:row>
      <xdr:rowOff>139700</xdr:rowOff>
    </xdr:from>
    <xdr:to>
      <xdr:col>14</xdr:col>
      <xdr:colOff>451385</xdr:colOff>
      <xdr:row>24</xdr:row>
      <xdr:rowOff>67942</xdr:rowOff>
    </xdr:to>
    <xdr:sp macro="" textlink="">
      <xdr:nvSpPr>
        <xdr:cNvPr id="29" name="TextBox 121">
          <a:hlinkClick xmlns:r="http://schemas.openxmlformats.org/officeDocument/2006/relationships" r:id="rId12"/>
          <a:extLst>
            <a:ext uri="{FF2B5EF4-FFF2-40B4-BE49-F238E27FC236}">
              <a16:creationId xmlns:a16="http://schemas.microsoft.com/office/drawing/2014/main" id="{00000000-0008-0000-0000-00001D000000}"/>
            </a:ext>
          </a:extLst>
        </xdr:cNvPr>
        <xdr:cNvSpPr txBox="1"/>
      </xdr:nvSpPr>
      <xdr:spPr bwMode="auto">
        <a:xfrm>
          <a:off x="9712618" y="3778250"/>
          <a:ext cx="1940167" cy="664842"/>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000" b="1" kern="0">
              <a:solidFill>
                <a:schemeClr val="bg1"/>
              </a:solidFill>
              <a:latin typeface="Arial" pitchFamily="34" charset="0"/>
              <a:cs typeface="Arial" pitchFamily="34" charset="0"/>
            </a:rPr>
            <a:t>Plan Institucional</a:t>
          </a:r>
        </a:p>
      </xdr:txBody>
    </xdr:sp>
    <xdr:clientData/>
  </xdr:twoCellAnchor>
  <xdr:twoCellAnchor>
    <xdr:from>
      <xdr:col>10</xdr:col>
      <xdr:colOff>320008</xdr:colOff>
      <xdr:row>12</xdr:row>
      <xdr:rowOff>127000</xdr:rowOff>
    </xdr:from>
    <xdr:to>
      <xdr:col>11</xdr:col>
      <xdr:colOff>464882</xdr:colOff>
      <xdr:row>12</xdr:row>
      <xdr:rowOff>127000</xdr:rowOff>
    </xdr:to>
    <xdr:cxnSp macro="">
      <xdr:nvCxnSpPr>
        <xdr:cNvPr id="30" name="Straight Connector 72">
          <a:extLst>
            <a:ext uri="{FF2B5EF4-FFF2-40B4-BE49-F238E27FC236}">
              <a16:creationId xmlns:a16="http://schemas.microsoft.com/office/drawing/2014/main" id="{00000000-0008-0000-0000-00001E000000}"/>
            </a:ext>
          </a:extLst>
        </xdr:cNvPr>
        <xdr:cNvCxnSpPr/>
      </xdr:nvCxnSpPr>
      <xdr:spPr bwMode="auto">
        <a:xfrm>
          <a:off x="8321008" y="2209800"/>
          <a:ext cx="944974"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635059</xdr:colOff>
      <xdr:row>20</xdr:row>
      <xdr:rowOff>112004</xdr:rowOff>
    </xdr:from>
    <xdr:to>
      <xdr:col>13</xdr:col>
      <xdr:colOff>779933</xdr:colOff>
      <xdr:row>20</xdr:row>
      <xdr:rowOff>112004</xdr:rowOff>
    </xdr:to>
    <xdr:cxnSp macro="">
      <xdr:nvCxnSpPr>
        <xdr:cNvPr id="31" name="Straight Connector 72">
          <a:extLst>
            <a:ext uri="{FF2B5EF4-FFF2-40B4-BE49-F238E27FC236}">
              <a16:creationId xmlns:a16="http://schemas.microsoft.com/office/drawing/2014/main" id="{00000000-0008-0000-0000-00001F000000}"/>
            </a:ext>
          </a:extLst>
        </xdr:cNvPr>
        <xdr:cNvCxnSpPr/>
      </xdr:nvCxnSpPr>
      <xdr:spPr bwMode="auto">
        <a:xfrm>
          <a:off x="10236259" y="3750554"/>
          <a:ext cx="944974"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279460</xdr:colOff>
      <xdr:row>33</xdr:row>
      <xdr:rowOff>66255</xdr:rowOff>
    </xdr:from>
    <xdr:to>
      <xdr:col>14</xdr:col>
      <xdr:colOff>424334</xdr:colOff>
      <xdr:row>33</xdr:row>
      <xdr:rowOff>66255</xdr:rowOff>
    </xdr:to>
    <xdr:cxnSp macro="">
      <xdr:nvCxnSpPr>
        <xdr:cNvPr id="32" name="Straight Connector 72">
          <a:extLst>
            <a:ext uri="{FF2B5EF4-FFF2-40B4-BE49-F238E27FC236}">
              <a16:creationId xmlns:a16="http://schemas.microsoft.com/office/drawing/2014/main" id="{00000000-0008-0000-0000-000020000000}"/>
            </a:ext>
          </a:extLst>
        </xdr:cNvPr>
        <xdr:cNvCxnSpPr/>
      </xdr:nvCxnSpPr>
      <xdr:spPr bwMode="auto">
        <a:xfrm>
          <a:off x="10680760" y="6098755"/>
          <a:ext cx="944974"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563910</xdr:colOff>
      <xdr:row>45</xdr:row>
      <xdr:rowOff>145056</xdr:rowOff>
    </xdr:from>
    <xdr:to>
      <xdr:col>13</xdr:col>
      <xdr:colOff>708784</xdr:colOff>
      <xdr:row>45</xdr:row>
      <xdr:rowOff>145056</xdr:rowOff>
    </xdr:to>
    <xdr:cxnSp macro="">
      <xdr:nvCxnSpPr>
        <xdr:cNvPr id="33" name="Straight Connector 72">
          <a:extLst>
            <a:ext uri="{FF2B5EF4-FFF2-40B4-BE49-F238E27FC236}">
              <a16:creationId xmlns:a16="http://schemas.microsoft.com/office/drawing/2014/main" id="{00000000-0008-0000-0000-000021000000}"/>
            </a:ext>
          </a:extLst>
        </xdr:cNvPr>
        <xdr:cNvCxnSpPr/>
      </xdr:nvCxnSpPr>
      <xdr:spPr bwMode="auto">
        <a:xfrm>
          <a:off x="10165110" y="8387356"/>
          <a:ext cx="944974"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273440</xdr:colOff>
      <xdr:row>57</xdr:row>
      <xdr:rowOff>97367</xdr:rowOff>
    </xdr:from>
    <xdr:to>
      <xdr:col>12</xdr:col>
      <xdr:colOff>418315</xdr:colOff>
      <xdr:row>57</xdr:row>
      <xdr:rowOff>97367</xdr:rowOff>
    </xdr:to>
    <xdr:cxnSp macro="">
      <xdr:nvCxnSpPr>
        <xdr:cNvPr id="34" name="Straight Connector 72">
          <a:hlinkClick xmlns:r="http://schemas.openxmlformats.org/officeDocument/2006/relationships" r:id="rId13"/>
          <a:extLst>
            <a:ext uri="{FF2B5EF4-FFF2-40B4-BE49-F238E27FC236}">
              <a16:creationId xmlns:a16="http://schemas.microsoft.com/office/drawing/2014/main" id="{00000000-0008-0000-0000-000022000000}"/>
            </a:ext>
          </a:extLst>
        </xdr:cNvPr>
        <xdr:cNvCxnSpPr/>
      </xdr:nvCxnSpPr>
      <xdr:spPr bwMode="auto">
        <a:xfrm>
          <a:off x="9074540" y="10365317"/>
          <a:ext cx="944975"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671170</xdr:colOff>
      <xdr:row>63</xdr:row>
      <xdr:rowOff>65438</xdr:rowOff>
    </xdr:from>
    <xdr:to>
      <xdr:col>10</xdr:col>
      <xdr:colOff>12731</xdr:colOff>
      <xdr:row>63</xdr:row>
      <xdr:rowOff>65438</xdr:rowOff>
    </xdr:to>
    <xdr:cxnSp macro="">
      <xdr:nvCxnSpPr>
        <xdr:cNvPr id="35" name="Straight Connector 72">
          <a:hlinkClick xmlns:r="http://schemas.openxmlformats.org/officeDocument/2006/relationships" r:id="rId14"/>
          <a:extLst>
            <a:ext uri="{FF2B5EF4-FFF2-40B4-BE49-F238E27FC236}">
              <a16:creationId xmlns:a16="http://schemas.microsoft.com/office/drawing/2014/main" id="{00000000-0008-0000-0000-000023000000}"/>
            </a:ext>
          </a:extLst>
        </xdr:cNvPr>
        <xdr:cNvCxnSpPr/>
      </xdr:nvCxnSpPr>
      <xdr:spPr bwMode="auto">
        <a:xfrm>
          <a:off x="7071970" y="11438288"/>
          <a:ext cx="941761"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13932</xdr:colOff>
      <xdr:row>58</xdr:row>
      <xdr:rowOff>52433</xdr:rowOff>
    </xdr:from>
    <xdr:to>
      <xdr:col>4</xdr:col>
      <xdr:colOff>158807</xdr:colOff>
      <xdr:row>58</xdr:row>
      <xdr:rowOff>52433</xdr:rowOff>
    </xdr:to>
    <xdr:cxnSp macro="">
      <xdr:nvCxnSpPr>
        <xdr:cNvPr id="36" name="Straight Connector 72">
          <a:extLst>
            <a:ext uri="{FF2B5EF4-FFF2-40B4-BE49-F238E27FC236}">
              <a16:creationId xmlns:a16="http://schemas.microsoft.com/office/drawing/2014/main" id="{00000000-0008-0000-0000-000024000000}"/>
            </a:ext>
          </a:extLst>
        </xdr:cNvPr>
        <xdr:cNvCxnSpPr/>
      </xdr:nvCxnSpPr>
      <xdr:spPr bwMode="auto">
        <a:xfrm>
          <a:off x="2414232" y="10504533"/>
          <a:ext cx="944975"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269208</xdr:colOff>
      <xdr:row>45</xdr:row>
      <xdr:rowOff>38100</xdr:rowOff>
    </xdr:from>
    <xdr:to>
      <xdr:col>3</xdr:col>
      <xdr:colOff>414082</xdr:colOff>
      <xdr:row>45</xdr:row>
      <xdr:rowOff>38100</xdr:rowOff>
    </xdr:to>
    <xdr:cxnSp macro="">
      <xdr:nvCxnSpPr>
        <xdr:cNvPr id="37" name="Straight Connector 72">
          <a:extLst>
            <a:ext uri="{FF2B5EF4-FFF2-40B4-BE49-F238E27FC236}">
              <a16:creationId xmlns:a16="http://schemas.microsoft.com/office/drawing/2014/main" id="{00000000-0008-0000-0000-000025000000}"/>
            </a:ext>
          </a:extLst>
        </xdr:cNvPr>
        <xdr:cNvCxnSpPr/>
      </xdr:nvCxnSpPr>
      <xdr:spPr bwMode="auto">
        <a:xfrm>
          <a:off x="1869408" y="8280400"/>
          <a:ext cx="944974"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383508</xdr:colOff>
      <xdr:row>33</xdr:row>
      <xdr:rowOff>81402</xdr:rowOff>
    </xdr:from>
    <xdr:to>
      <xdr:col>2</xdr:col>
      <xdr:colOff>528382</xdr:colOff>
      <xdr:row>33</xdr:row>
      <xdr:rowOff>81402</xdr:rowOff>
    </xdr:to>
    <xdr:cxnSp macro="">
      <xdr:nvCxnSpPr>
        <xdr:cNvPr id="38" name="Straight Connector 72">
          <a:extLst>
            <a:ext uri="{FF2B5EF4-FFF2-40B4-BE49-F238E27FC236}">
              <a16:creationId xmlns:a16="http://schemas.microsoft.com/office/drawing/2014/main" id="{00000000-0008-0000-0000-000026000000}"/>
            </a:ext>
          </a:extLst>
        </xdr:cNvPr>
        <xdr:cNvCxnSpPr/>
      </xdr:nvCxnSpPr>
      <xdr:spPr bwMode="auto">
        <a:xfrm>
          <a:off x="1183608" y="6113902"/>
          <a:ext cx="944974"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139913</xdr:colOff>
      <xdr:row>18</xdr:row>
      <xdr:rowOff>158061</xdr:rowOff>
    </xdr:from>
    <xdr:to>
      <xdr:col>3</xdr:col>
      <xdr:colOff>284787</xdr:colOff>
      <xdr:row>18</xdr:row>
      <xdr:rowOff>158061</xdr:rowOff>
    </xdr:to>
    <xdr:cxnSp macro="">
      <xdr:nvCxnSpPr>
        <xdr:cNvPr id="39" name="Straight Connector 72">
          <a:extLst>
            <a:ext uri="{FF2B5EF4-FFF2-40B4-BE49-F238E27FC236}">
              <a16:creationId xmlns:a16="http://schemas.microsoft.com/office/drawing/2014/main" id="{00000000-0008-0000-0000-000027000000}"/>
            </a:ext>
          </a:extLst>
        </xdr:cNvPr>
        <xdr:cNvCxnSpPr/>
      </xdr:nvCxnSpPr>
      <xdr:spPr bwMode="auto">
        <a:xfrm>
          <a:off x="1740113" y="3428311"/>
          <a:ext cx="944974"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510508</xdr:colOff>
      <xdr:row>12</xdr:row>
      <xdr:rowOff>101600</xdr:rowOff>
    </xdr:from>
    <xdr:to>
      <xdr:col>5</xdr:col>
      <xdr:colOff>655382</xdr:colOff>
      <xdr:row>12</xdr:row>
      <xdr:rowOff>101600</xdr:rowOff>
    </xdr:to>
    <xdr:cxnSp macro="">
      <xdr:nvCxnSpPr>
        <xdr:cNvPr id="40" name="Straight Connector 72">
          <a:extLst>
            <a:ext uri="{FF2B5EF4-FFF2-40B4-BE49-F238E27FC236}">
              <a16:creationId xmlns:a16="http://schemas.microsoft.com/office/drawing/2014/main" id="{00000000-0008-0000-0000-000028000000}"/>
            </a:ext>
          </a:extLst>
        </xdr:cNvPr>
        <xdr:cNvCxnSpPr/>
      </xdr:nvCxnSpPr>
      <xdr:spPr bwMode="auto">
        <a:xfrm>
          <a:off x="3710908" y="2184400"/>
          <a:ext cx="944974"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452652</xdr:colOff>
      <xdr:row>9</xdr:row>
      <xdr:rowOff>2114</xdr:rowOff>
    </xdr:from>
    <xdr:to>
      <xdr:col>11</xdr:col>
      <xdr:colOff>520699</xdr:colOff>
      <xdr:row>11</xdr:row>
      <xdr:rowOff>127000</xdr:rowOff>
    </xdr:to>
    <xdr:sp macro="" textlink="">
      <xdr:nvSpPr>
        <xdr:cNvPr id="41" name="TextBox 70">
          <a:extLst>
            <a:ext uri="{FF2B5EF4-FFF2-40B4-BE49-F238E27FC236}">
              <a16:creationId xmlns:a16="http://schemas.microsoft.com/office/drawing/2014/main" id="{00000000-0008-0000-0000-000029000000}"/>
            </a:ext>
          </a:extLst>
        </xdr:cNvPr>
        <xdr:cNvSpPr txBox="1"/>
      </xdr:nvSpPr>
      <xdr:spPr bwMode="auto">
        <a:xfrm>
          <a:off x="8453652" y="1532464"/>
          <a:ext cx="868147" cy="493186"/>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02</a:t>
          </a:r>
        </a:p>
      </xdr:txBody>
    </xdr:sp>
    <xdr:clientData/>
  </xdr:twoCellAnchor>
  <xdr:twoCellAnchor>
    <xdr:from>
      <xdr:col>12</xdr:col>
      <xdr:colOff>691350</xdr:colOff>
      <xdr:row>17</xdr:row>
      <xdr:rowOff>75866</xdr:rowOff>
    </xdr:from>
    <xdr:to>
      <xdr:col>13</xdr:col>
      <xdr:colOff>759397</xdr:colOff>
      <xdr:row>19</xdr:row>
      <xdr:rowOff>124552</xdr:rowOff>
    </xdr:to>
    <xdr:sp macro="" textlink="">
      <xdr:nvSpPr>
        <xdr:cNvPr id="42" name="TextBox 70">
          <a:extLst>
            <a:ext uri="{FF2B5EF4-FFF2-40B4-BE49-F238E27FC236}">
              <a16:creationId xmlns:a16="http://schemas.microsoft.com/office/drawing/2014/main" id="{00000000-0008-0000-0000-00002A000000}"/>
            </a:ext>
          </a:extLst>
        </xdr:cNvPr>
        <xdr:cNvSpPr txBox="1"/>
      </xdr:nvSpPr>
      <xdr:spPr bwMode="auto">
        <a:xfrm>
          <a:off x="10292550" y="3079416"/>
          <a:ext cx="868147" cy="499536"/>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03</a:t>
          </a:r>
        </a:p>
      </xdr:txBody>
    </xdr:sp>
    <xdr:clientData/>
  </xdr:twoCellAnchor>
  <xdr:twoCellAnchor>
    <xdr:from>
      <xdr:col>13</xdr:col>
      <xdr:colOff>363752</xdr:colOff>
      <xdr:row>29</xdr:row>
      <xdr:rowOff>141814</xdr:rowOff>
    </xdr:from>
    <xdr:to>
      <xdr:col>14</xdr:col>
      <xdr:colOff>431799</xdr:colOff>
      <xdr:row>32</xdr:row>
      <xdr:rowOff>76200</xdr:rowOff>
    </xdr:to>
    <xdr:sp macro="" textlink="">
      <xdr:nvSpPr>
        <xdr:cNvPr id="43" name="TextBox 70">
          <a:extLst>
            <a:ext uri="{FF2B5EF4-FFF2-40B4-BE49-F238E27FC236}">
              <a16:creationId xmlns:a16="http://schemas.microsoft.com/office/drawing/2014/main" id="{00000000-0008-0000-0000-00002B000000}"/>
            </a:ext>
          </a:extLst>
        </xdr:cNvPr>
        <xdr:cNvSpPr txBox="1"/>
      </xdr:nvSpPr>
      <xdr:spPr bwMode="auto">
        <a:xfrm>
          <a:off x="10765052" y="5437714"/>
          <a:ext cx="868147" cy="486836"/>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04</a:t>
          </a:r>
        </a:p>
      </xdr:txBody>
    </xdr:sp>
    <xdr:clientData/>
  </xdr:twoCellAnchor>
  <xdr:twoCellAnchor>
    <xdr:from>
      <xdr:col>12</xdr:col>
      <xdr:colOff>656006</xdr:colOff>
      <xdr:row>42</xdr:row>
      <xdr:rowOff>11600</xdr:rowOff>
    </xdr:from>
    <xdr:to>
      <xdr:col>13</xdr:col>
      <xdr:colOff>724053</xdr:colOff>
      <xdr:row>44</xdr:row>
      <xdr:rowOff>129601</xdr:rowOff>
    </xdr:to>
    <xdr:sp macro="" textlink="">
      <xdr:nvSpPr>
        <xdr:cNvPr id="44" name="TextBox 70">
          <a:extLst>
            <a:ext uri="{FF2B5EF4-FFF2-40B4-BE49-F238E27FC236}">
              <a16:creationId xmlns:a16="http://schemas.microsoft.com/office/drawing/2014/main" id="{00000000-0008-0000-0000-00002C000000}"/>
            </a:ext>
          </a:extLst>
        </xdr:cNvPr>
        <xdr:cNvSpPr txBox="1"/>
      </xdr:nvSpPr>
      <xdr:spPr bwMode="auto">
        <a:xfrm>
          <a:off x="10257206" y="7701450"/>
          <a:ext cx="868147" cy="486301"/>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05</a:t>
          </a:r>
        </a:p>
      </xdr:txBody>
    </xdr:sp>
    <xdr:clientData/>
  </xdr:twoCellAnchor>
  <xdr:twoCellAnchor>
    <xdr:from>
      <xdr:col>11</xdr:col>
      <xdr:colOff>376452</xdr:colOff>
      <xdr:row>53</xdr:row>
      <xdr:rowOff>14814</xdr:rowOff>
    </xdr:from>
    <xdr:to>
      <xdr:col>12</xdr:col>
      <xdr:colOff>444500</xdr:colOff>
      <xdr:row>55</xdr:row>
      <xdr:rowOff>139700</xdr:rowOff>
    </xdr:to>
    <xdr:sp macro="" textlink="">
      <xdr:nvSpPr>
        <xdr:cNvPr id="45" name="TextBox 70">
          <a:extLst>
            <a:ext uri="{FF2B5EF4-FFF2-40B4-BE49-F238E27FC236}">
              <a16:creationId xmlns:a16="http://schemas.microsoft.com/office/drawing/2014/main" id="{00000000-0008-0000-0000-00002D000000}"/>
            </a:ext>
          </a:extLst>
        </xdr:cNvPr>
        <xdr:cNvSpPr txBox="1"/>
      </xdr:nvSpPr>
      <xdr:spPr bwMode="auto">
        <a:xfrm>
          <a:off x="9177552" y="9730314"/>
          <a:ext cx="868148" cy="493186"/>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06</a:t>
          </a:r>
        </a:p>
      </xdr:txBody>
    </xdr:sp>
    <xdr:clientData/>
  </xdr:twoCellAnchor>
  <xdr:twoCellAnchor>
    <xdr:from>
      <xdr:col>8</xdr:col>
      <xdr:colOff>773211</xdr:colOff>
      <xdr:row>59</xdr:row>
      <xdr:rowOff>148802</xdr:rowOff>
    </xdr:from>
    <xdr:to>
      <xdr:col>10</xdr:col>
      <xdr:colOff>37945</xdr:colOff>
      <xdr:row>62</xdr:row>
      <xdr:rowOff>83188</xdr:rowOff>
    </xdr:to>
    <xdr:sp macro="" textlink="">
      <xdr:nvSpPr>
        <xdr:cNvPr id="46" name="TextBox 70">
          <a:extLst>
            <a:ext uri="{FF2B5EF4-FFF2-40B4-BE49-F238E27FC236}">
              <a16:creationId xmlns:a16="http://schemas.microsoft.com/office/drawing/2014/main" id="{00000000-0008-0000-0000-00002E000000}"/>
            </a:ext>
          </a:extLst>
        </xdr:cNvPr>
        <xdr:cNvSpPr txBox="1"/>
      </xdr:nvSpPr>
      <xdr:spPr bwMode="auto">
        <a:xfrm>
          <a:off x="7174011" y="10785052"/>
          <a:ext cx="864934" cy="486836"/>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07</a:t>
          </a:r>
        </a:p>
      </xdr:txBody>
    </xdr:sp>
    <xdr:clientData/>
  </xdr:twoCellAnchor>
  <xdr:twoCellAnchor>
    <xdr:from>
      <xdr:col>3</xdr:col>
      <xdr:colOff>87004</xdr:colOff>
      <xdr:row>53</xdr:row>
      <xdr:rowOff>129929</xdr:rowOff>
    </xdr:from>
    <xdr:to>
      <xdr:col>4</xdr:col>
      <xdr:colOff>155052</xdr:colOff>
      <xdr:row>57</xdr:row>
      <xdr:rowOff>64315</xdr:rowOff>
    </xdr:to>
    <xdr:sp macro="" textlink="">
      <xdr:nvSpPr>
        <xdr:cNvPr id="47" name="TextBox 70">
          <a:extLst>
            <a:ext uri="{FF2B5EF4-FFF2-40B4-BE49-F238E27FC236}">
              <a16:creationId xmlns:a16="http://schemas.microsoft.com/office/drawing/2014/main" id="{00000000-0008-0000-0000-00002F000000}"/>
            </a:ext>
          </a:extLst>
        </xdr:cNvPr>
        <xdr:cNvSpPr txBox="1"/>
      </xdr:nvSpPr>
      <xdr:spPr bwMode="auto">
        <a:xfrm>
          <a:off x="2487304" y="9845429"/>
          <a:ext cx="868148" cy="486836"/>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09</a:t>
          </a:r>
        </a:p>
      </xdr:txBody>
    </xdr:sp>
    <xdr:clientData/>
  </xdr:twoCellAnchor>
  <xdr:twoCellAnchor>
    <xdr:from>
      <xdr:col>2</xdr:col>
      <xdr:colOff>376452</xdr:colOff>
      <xdr:row>41</xdr:row>
      <xdr:rowOff>116414</xdr:rowOff>
    </xdr:from>
    <xdr:to>
      <xdr:col>3</xdr:col>
      <xdr:colOff>444499</xdr:colOff>
      <xdr:row>44</xdr:row>
      <xdr:rowOff>50800</xdr:rowOff>
    </xdr:to>
    <xdr:sp macro="" textlink="">
      <xdr:nvSpPr>
        <xdr:cNvPr id="48" name="TextBox 70">
          <a:extLst>
            <a:ext uri="{FF2B5EF4-FFF2-40B4-BE49-F238E27FC236}">
              <a16:creationId xmlns:a16="http://schemas.microsoft.com/office/drawing/2014/main" id="{00000000-0008-0000-0000-000030000000}"/>
            </a:ext>
          </a:extLst>
        </xdr:cNvPr>
        <xdr:cNvSpPr txBox="1"/>
      </xdr:nvSpPr>
      <xdr:spPr bwMode="auto">
        <a:xfrm>
          <a:off x="1976652" y="7622114"/>
          <a:ext cx="868147" cy="486836"/>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10</a:t>
          </a:r>
        </a:p>
      </xdr:txBody>
    </xdr:sp>
    <xdr:clientData/>
  </xdr:twoCellAnchor>
  <xdr:twoCellAnchor>
    <xdr:from>
      <xdr:col>1</xdr:col>
      <xdr:colOff>503452</xdr:colOff>
      <xdr:row>30</xdr:row>
      <xdr:rowOff>2114</xdr:rowOff>
    </xdr:from>
    <xdr:to>
      <xdr:col>2</xdr:col>
      <xdr:colOff>571499</xdr:colOff>
      <xdr:row>32</xdr:row>
      <xdr:rowOff>127000</xdr:rowOff>
    </xdr:to>
    <xdr:sp macro="" textlink="">
      <xdr:nvSpPr>
        <xdr:cNvPr id="49" name="TextBox 70">
          <a:extLst>
            <a:ext uri="{FF2B5EF4-FFF2-40B4-BE49-F238E27FC236}">
              <a16:creationId xmlns:a16="http://schemas.microsoft.com/office/drawing/2014/main" id="{00000000-0008-0000-0000-000031000000}"/>
            </a:ext>
          </a:extLst>
        </xdr:cNvPr>
        <xdr:cNvSpPr txBox="1"/>
      </xdr:nvSpPr>
      <xdr:spPr bwMode="auto">
        <a:xfrm>
          <a:off x="1303552" y="5482164"/>
          <a:ext cx="868147" cy="493186"/>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11</a:t>
          </a:r>
        </a:p>
      </xdr:txBody>
    </xdr:sp>
    <xdr:clientData/>
  </xdr:twoCellAnchor>
  <xdr:twoCellAnchor>
    <xdr:from>
      <xdr:col>2</xdr:col>
      <xdr:colOff>168049</xdr:colOff>
      <xdr:row>15</xdr:row>
      <xdr:rowOff>132174</xdr:rowOff>
    </xdr:from>
    <xdr:to>
      <xdr:col>3</xdr:col>
      <xdr:colOff>236096</xdr:colOff>
      <xdr:row>17</xdr:row>
      <xdr:rowOff>265016</xdr:rowOff>
    </xdr:to>
    <xdr:sp macro="" textlink="">
      <xdr:nvSpPr>
        <xdr:cNvPr id="50" name="TextBox 70">
          <a:extLst>
            <a:ext uri="{FF2B5EF4-FFF2-40B4-BE49-F238E27FC236}">
              <a16:creationId xmlns:a16="http://schemas.microsoft.com/office/drawing/2014/main" id="{00000000-0008-0000-0000-000032000000}"/>
            </a:ext>
          </a:extLst>
        </xdr:cNvPr>
        <xdr:cNvSpPr txBox="1"/>
      </xdr:nvSpPr>
      <xdr:spPr bwMode="auto">
        <a:xfrm>
          <a:off x="1768249" y="2767424"/>
          <a:ext cx="868147" cy="501142"/>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12</a:t>
          </a:r>
        </a:p>
      </xdr:txBody>
    </xdr:sp>
    <xdr:clientData/>
  </xdr:twoCellAnchor>
  <xdr:twoCellAnchor>
    <xdr:from>
      <xdr:col>4</xdr:col>
      <xdr:colOff>579652</xdr:colOff>
      <xdr:row>9</xdr:row>
      <xdr:rowOff>40214</xdr:rowOff>
    </xdr:from>
    <xdr:to>
      <xdr:col>5</xdr:col>
      <xdr:colOff>647699</xdr:colOff>
      <xdr:row>11</xdr:row>
      <xdr:rowOff>165100</xdr:rowOff>
    </xdr:to>
    <xdr:sp macro="" textlink="">
      <xdr:nvSpPr>
        <xdr:cNvPr id="51" name="TextBox 70">
          <a:extLst>
            <a:ext uri="{FF2B5EF4-FFF2-40B4-BE49-F238E27FC236}">
              <a16:creationId xmlns:a16="http://schemas.microsoft.com/office/drawing/2014/main" id="{00000000-0008-0000-0000-000033000000}"/>
            </a:ext>
          </a:extLst>
        </xdr:cNvPr>
        <xdr:cNvSpPr txBox="1"/>
      </xdr:nvSpPr>
      <xdr:spPr bwMode="auto">
        <a:xfrm>
          <a:off x="3780052" y="1570564"/>
          <a:ext cx="868147" cy="493186"/>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13</a:t>
          </a:r>
        </a:p>
      </xdr:txBody>
    </xdr:sp>
    <xdr:clientData/>
  </xdr:twoCellAnchor>
  <xdr:twoCellAnchor>
    <xdr:from>
      <xdr:col>4</xdr:col>
      <xdr:colOff>777859</xdr:colOff>
      <xdr:row>57</xdr:row>
      <xdr:rowOff>65402</xdr:rowOff>
    </xdr:from>
    <xdr:to>
      <xdr:col>7</xdr:col>
      <xdr:colOff>778451</xdr:colOff>
      <xdr:row>70</xdr:row>
      <xdr:rowOff>87348</xdr:rowOff>
    </xdr:to>
    <xdr:sp macro="" textlink="">
      <xdr:nvSpPr>
        <xdr:cNvPr id="52" name="Lágrima 184">
          <a:extLst>
            <a:ext uri="{FF2B5EF4-FFF2-40B4-BE49-F238E27FC236}">
              <a16:creationId xmlns:a16="http://schemas.microsoft.com/office/drawing/2014/main" id="{00000000-0008-0000-0000-000034000000}"/>
            </a:ext>
          </a:extLst>
        </xdr:cNvPr>
        <xdr:cNvSpPr/>
      </xdr:nvSpPr>
      <xdr:spPr>
        <a:xfrm rot="9157431">
          <a:off x="3978259" y="10333352"/>
          <a:ext cx="2400892" cy="2415896"/>
        </a:xfrm>
        <a:prstGeom prst="teardrop">
          <a:avLst/>
        </a:prstGeom>
        <a:solidFill>
          <a:srgbClr val="532963"/>
        </a:solidFill>
        <a:ln>
          <a:solidFill>
            <a:srgbClr val="532963"/>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6</xdr:col>
      <xdr:colOff>17537</xdr:colOff>
      <xdr:row>59</xdr:row>
      <xdr:rowOff>167570</xdr:rowOff>
    </xdr:from>
    <xdr:to>
      <xdr:col>7</xdr:col>
      <xdr:colOff>85585</xdr:colOff>
      <xdr:row>62</xdr:row>
      <xdr:rowOff>101956</xdr:rowOff>
    </xdr:to>
    <xdr:sp macro="" textlink="">
      <xdr:nvSpPr>
        <xdr:cNvPr id="53" name="TextBox 70">
          <a:extLst>
            <a:ext uri="{FF2B5EF4-FFF2-40B4-BE49-F238E27FC236}">
              <a16:creationId xmlns:a16="http://schemas.microsoft.com/office/drawing/2014/main" id="{00000000-0008-0000-0000-000035000000}"/>
            </a:ext>
          </a:extLst>
        </xdr:cNvPr>
        <xdr:cNvSpPr txBox="1"/>
      </xdr:nvSpPr>
      <xdr:spPr bwMode="auto">
        <a:xfrm>
          <a:off x="4818137" y="10803820"/>
          <a:ext cx="868148" cy="486836"/>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08</a:t>
          </a:r>
        </a:p>
      </xdr:txBody>
    </xdr:sp>
    <xdr:clientData/>
  </xdr:twoCellAnchor>
  <xdr:twoCellAnchor>
    <xdr:from>
      <xdr:col>5</xdr:col>
      <xdr:colOff>701875</xdr:colOff>
      <xdr:row>63</xdr:row>
      <xdr:rowOff>67121</xdr:rowOff>
    </xdr:from>
    <xdr:to>
      <xdr:col>7</xdr:col>
      <xdr:colOff>43436</xdr:colOff>
      <xdr:row>63</xdr:row>
      <xdr:rowOff>67121</xdr:rowOff>
    </xdr:to>
    <xdr:cxnSp macro="">
      <xdr:nvCxnSpPr>
        <xdr:cNvPr id="54" name="Straight Connector 72">
          <a:extLst>
            <a:ext uri="{FF2B5EF4-FFF2-40B4-BE49-F238E27FC236}">
              <a16:creationId xmlns:a16="http://schemas.microsoft.com/office/drawing/2014/main" id="{00000000-0008-0000-0000-000036000000}"/>
            </a:ext>
          </a:extLst>
        </xdr:cNvPr>
        <xdr:cNvCxnSpPr/>
      </xdr:nvCxnSpPr>
      <xdr:spPr bwMode="auto">
        <a:xfrm>
          <a:off x="4702375" y="11439971"/>
          <a:ext cx="941761"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167369</xdr:colOff>
      <xdr:row>63</xdr:row>
      <xdr:rowOff>75586</xdr:rowOff>
    </xdr:from>
    <xdr:to>
      <xdr:col>7</xdr:col>
      <xdr:colOff>566144</xdr:colOff>
      <xdr:row>67</xdr:row>
      <xdr:rowOff>3828</xdr:rowOff>
    </xdr:to>
    <xdr:sp macro="" textlink="">
      <xdr:nvSpPr>
        <xdr:cNvPr id="55" name="TextBox 121">
          <a:hlinkClick xmlns:r="http://schemas.openxmlformats.org/officeDocument/2006/relationships" r:id="rId15"/>
          <a:extLst>
            <a:ext uri="{FF2B5EF4-FFF2-40B4-BE49-F238E27FC236}">
              <a16:creationId xmlns:a16="http://schemas.microsoft.com/office/drawing/2014/main" id="{00000000-0008-0000-0000-000037000000}"/>
            </a:ext>
          </a:extLst>
        </xdr:cNvPr>
        <xdr:cNvSpPr txBox="1"/>
      </xdr:nvSpPr>
      <xdr:spPr bwMode="auto">
        <a:xfrm>
          <a:off x="4167869" y="11448436"/>
          <a:ext cx="1998975" cy="664842"/>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000" b="1" kern="0">
              <a:solidFill>
                <a:schemeClr val="bg1"/>
              </a:solidFill>
              <a:latin typeface="Arial" pitchFamily="34" charset="0"/>
              <a:cs typeface="Arial" pitchFamily="34" charset="0"/>
            </a:rPr>
            <a:t>Plan de Incentivos Institucionales</a:t>
          </a:r>
        </a:p>
      </xdr:txBody>
    </xdr:sp>
    <xdr:clientData/>
  </xdr:twoCellAnchor>
  <xdr:twoCellAnchor>
    <xdr:from>
      <xdr:col>16384</xdr:col>
      <xdr:colOff>333762</xdr:colOff>
      <xdr:row>12</xdr:row>
      <xdr:rowOff>128297</xdr:rowOff>
    </xdr:from>
    <xdr:to>
      <xdr:col>16384</xdr:col>
      <xdr:colOff>913273</xdr:colOff>
      <xdr:row>14</xdr:row>
      <xdr:rowOff>12576</xdr:rowOff>
    </xdr:to>
    <xdr:sp macro="" textlink="">
      <xdr:nvSpPr>
        <xdr:cNvPr id="59" name="Rectángulo redondeado 20">
          <a:extLst>
            <a:ext uri="{FF2B5EF4-FFF2-40B4-BE49-F238E27FC236}">
              <a16:creationId xmlns:a16="http://schemas.microsoft.com/office/drawing/2014/main" id="{00000000-0008-0000-0000-00003B000000}"/>
            </a:ext>
          </a:extLst>
        </xdr:cNvPr>
        <xdr:cNvSpPr/>
      </xdr:nvSpPr>
      <xdr:spPr>
        <a:xfrm>
          <a:off x="13144197" y="2157536"/>
          <a:ext cx="579511" cy="243192"/>
        </a:xfrm>
        <a:prstGeom prst="roundRect">
          <a:avLst/>
        </a:prstGeom>
        <a:solidFill>
          <a:srgbClr val="E6399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1pPr>
          <a:lvl2pPr marR="0" lvl="1"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2pPr>
          <a:lvl3pPr marR="0" lvl="2"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3pPr>
          <a:lvl4pPr marR="0" lvl="3"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4pPr>
          <a:lvl5pPr marR="0" lvl="4"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5pPr>
          <a:lvl6pPr marR="0" lvl="5"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6pPr>
          <a:lvl7pPr marR="0" lvl="6"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7pPr>
          <a:lvl8pPr marR="0" lvl="7"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8pPr>
          <a:lvl9pPr marR="0" lvl="8"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9pPr>
        </a:lstStyle>
        <a:p>
          <a:pPr algn="ctr"/>
          <a:endParaRPr lang="es-CO"/>
        </a:p>
      </xdr:txBody>
    </xdr:sp>
    <xdr:clientData/>
  </xdr:twoCellAnchor>
  <xdr:twoCellAnchor>
    <xdr:from>
      <xdr:col>16384</xdr:col>
      <xdr:colOff>144352</xdr:colOff>
      <xdr:row>17</xdr:row>
      <xdr:rowOff>17048</xdr:rowOff>
    </xdr:from>
    <xdr:to>
      <xdr:col>16384</xdr:col>
      <xdr:colOff>723863</xdr:colOff>
      <xdr:row>17</xdr:row>
      <xdr:rowOff>260240</xdr:rowOff>
    </xdr:to>
    <xdr:sp macro="" textlink="">
      <xdr:nvSpPr>
        <xdr:cNvPr id="63" name="Rectángulo redondeado 24">
          <a:extLst>
            <a:ext uri="{FF2B5EF4-FFF2-40B4-BE49-F238E27FC236}">
              <a16:creationId xmlns:a16="http://schemas.microsoft.com/office/drawing/2014/main" id="{00000000-0008-0000-0000-00003F000000}"/>
            </a:ext>
          </a:extLst>
        </xdr:cNvPr>
        <xdr:cNvSpPr/>
      </xdr:nvSpPr>
      <xdr:spPr>
        <a:xfrm>
          <a:off x="12954787" y="2943570"/>
          <a:ext cx="579511" cy="243192"/>
        </a:xfrm>
        <a:prstGeom prst="roundRect">
          <a:avLst/>
        </a:prstGeom>
        <a:solidFill>
          <a:srgbClr val="C3FF9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1pPr>
          <a:lvl2pPr marR="0" lvl="1"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2pPr>
          <a:lvl3pPr marR="0" lvl="2"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3pPr>
          <a:lvl4pPr marR="0" lvl="3"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4pPr>
          <a:lvl5pPr marR="0" lvl="4"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5pPr>
          <a:lvl6pPr marR="0" lvl="5"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6pPr>
          <a:lvl7pPr marR="0" lvl="6"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7pPr>
          <a:lvl8pPr marR="0" lvl="7"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8pPr>
          <a:lvl9pPr marR="0" lvl="8"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9pPr>
        </a:lstStyle>
        <a:p>
          <a:pPr algn="ctr"/>
          <a:endParaRPr lang="es-CO"/>
        </a:p>
      </xdr:txBody>
    </xdr:sp>
    <xdr:clientData/>
  </xdr:twoCellAnchor>
  <xdr:twoCellAnchor editAs="oneCell">
    <xdr:from>
      <xdr:col>0</xdr:col>
      <xdr:colOff>293686</xdr:colOff>
      <xdr:row>1</xdr:row>
      <xdr:rowOff>111124</xdr:rowOff>
    </xdr:from>
    <xdr:to>
      <xdr:col>2</xdr:col>
      <xdr:colOff>725239</xdr:colOff>
      <xdr:row>10</xdr:row>
      <xdr:rowOff>69849</xdr:rowOff>
    </xdr:to>
    <xdr:pic>
      <xdr:nvPicPr>
        <xdr:cNvPr id="3" name="Imagen 2" descr="Logo Image Minhacienda w-100">
          <a:extLst>
            <a:ext uri="{FF2B5EF4-FFF2-40B4-BE49-F238E27FC236}">
              <a16:creationId xmlns:a16="http://schemas.microsoft.com/office/drawing/2014/main" id="{600FBCCC-F5E4-B5D6-5E31-6EC84C37802B}"/>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293686" y="166687"/>
          <a:ext cx="2273053" cy="15954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428625</xdr:colOff>
      <xdr:row>38</xdr:row>
      <xdr:rowOff>55562</xdr:rowOff>
    </xdr:from>
    <xdr:to>
      <xdr:col>10</xdr:col>
      <xdr:colOff>477874</xdr:colOff>
      <xdr:row>49</xdr:row>
      <xdr:rowOff>134937</xdr:rowOff>
    </xdr:to>
    <xdr:pic>
      <xdr:nvPicPr>
        <xdr:cNvPr id="57" name="Imagen 56" descr="Logotipo, nombre de la empresa&#10;&#10;Descripción generada automáticamente">
          <a:extLst>
            <a:ext uri="{FF2B5EF4-FFF2-40B4-BE49-F238E27FC236}">
              <a16:creationId xmlns:a16="http://schemas.microsoft.com/office/drawing/2014/main" id="{45948CDD-8C5C-49AA-A08A-6210FC71E811}"/>
            </a:ext>
          </a:extLst>
        </xdr:cNvPr>
        <xdr:cNvPicPr>
          <a:picLocks noChangeAspect="1"/>
        </xdr:cNvPicPr>
      </xdr:nvPicPr>
      <xdr:blipFill>
        <a:blip xmlns:r="http://schemas.openxmlformats.org/officeDocument/2006/relationships" r:embed="rId17"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638675" y="7237412"/>
          <a:ext cx="4049749" cy="21748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290594</xdr:colOff>
      <xdr:row>0</xdr:row>
      <xdr:rowOff>32287</xdr:rowOff>
    </xdr:from>
    <xdr:to>
      <xdr:col>2</xdr:col>
      <xdr:colOff>1873332</xdr:colOff>
      <xdr:row>10</xdr:row>
      <xdr:rowOff>20990</xdr:rowOff>
    </xdr:to>
    <xdr:pic>
      <xdr:nvPicPr>
        <xdr:cNvPr id="3" name="Imagen 2">
          <a:hlinkClick xmlns:r="http://schemas.openxmlformats.org/officeDocument/2006/relationships" r:id="rId1"/>
          <a:extLst>
            <a:ext uri="{FF2B5EF4-FFF2-40B4-BE49-F238E27FC236}">
              <a16:creationId xmlns:a16="http://schemas.microsoft.com/office/drawing/2014/main" id="{2ECB222B-2846-4522-8E99-6129B2613745}"/>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3018941" y="32287"/>
          <a:ext cx="1589088" cy="1199508"/>
        </a:xfrm>
        <a:prstGeom prst="rect">
          <a:avLst/>
        </a:prstGeom>
      </xdr:spPr>
    </xdr:pic>
    <xdr:clientData/>
  </xdr:twoCellAnchor>
  <xdr:twoCellAnchor editAs="oneCell">
    <xdr:from>
      <xdr:col>0</xdr:col>
      <xdr:colOff>172204</xdr:colOff>
      <xdr:row>1</xdr:row>
      <xdr:rowOff>63500</xdr:rowOff>
    </xdr:from>
    <xdr:to>
      <xdr:col>1</xdr:col>
      <xdr:colOff>639285</xdr:colOff>
      <xdr:row>2</xdr:row>
      <xdr:rowOff>578851</xdr:rowOff>
    </xdr:to>
    <xdr:pic>
      <xdr:nvPicPr>
        <xdr:cNvPr id="5" name="Imagen 4" descr="Logo Image Minhacienda w-100">
          <a:extLst>
            <a:ext uri="{FF2B5EF4-FFF2-40B4-BE49-F238E27FC236}">
              <a16:creationId xmlns:a16="http://schemas.microsoft.com/office/drawing/2014/main" id="{6D7C1172-3C9C-47E7-A3F8-8E4B2B8CE99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2204" y="257229"/>
          <a:ext cx="1069793" cy="7800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812273</xdr:colOff>
      <xdr:row>1</xdr:row>
      <xdr:rowOff>45358</xdr:rowOff>
    </xdr:from>
    <xdr:to>
      <xdr:col>2</xdr:col>
      <xdr:colOff>198902</xdr:colOff>
      <xdr:row>2</xdr:row>
      <xdr:rowOff>560844</xdr:rowOff>
    </xdr:to>
    <xdr:pic>
      <xdr:nvPicPr>
        <xdr:cNvPr id="6" name="Imagen 5" descr="Logotipo, nombre de la empresa&#10;&#10;Descripción generada automáticamente">
          <a:extLst>
            <a:ext uri="{FF2B5EF4-FFF2-40B4-BE49-F238E27FC236}">
              <a16:creationId xmlns:a16="http://schemas.microsoft.com/office/drawing/2014/main" id="{60540E06-E076-4EC6-ABE5-BFE71A7885C5}"/>
            </a:ext>
          </a:extLst>
        </xdr:cNvPr>
        <xdr:cNvPicPr>
          <a:picLocks noChangeAspect="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414985" y="239087"/>
          <a:ext cx="1523996" cy="780141"/>
        </a:xfrm>
        <a:prstGeom prst="rect">
          <a:avLst/>
        </a:prstGeom>
      </xdr:spPr>
    </xdr:pic>
    <xdr:clientData/>
  </xdr:twoCellAnchor>
  <xdr:twoCellAnchor>
    <xdr:from>
      <xdr:col>1</xdr:col>
      <xdr:colOff>721561</xdr:colOff>
      <xdr:row>1</xdr:row>
      <xdr:rowOff>-1</xdr:rowOff>
    </xdr:from>
    <xdr:to>
      <xdr:col>1</xdr:col>
      <xdr:colOff>721561</xdr:colOff>
      <xdr:row>2</xdr:row>
      <xdr:rowOff>612551</xdr:rowOff>
    </xdr:to>
    <xdr:cxnSp macro="">
      <xdr:nvCxnSpPr>
        <xdr:cNvPr id="7" name="Conector recto 6">
          <a:extLst>
            <a:ext uri="{FF2B5EF4-FFF2-40B4-BE49-F238E27FC236}">
              <a16:creationId xmlns:a16="http://schemas.microsoft.com/office/drawing/2014/main" id="{3A72C09B-7126-46E3-AEB5-184AA163F111}"/>
            </a:ext>
          </a:extLst>
        </xdr:cNvPr>
        <xdr:cNvCxnSpPr/>
      </xdr:nvCxnSpPr>
      <xdr:spPr>
        <a:xfrm>
          <a:off x="1324273" y="193728"/>
          <a:ext cx="0" cy="870857"/>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0</xdr:row>
      <xdr:rowOff>0</xdr:rowOff>
    </xdr:from>
    <xdr:to>
      <xdr:col>20</xdr:col>
      <xdr:colOff>57150</xdr:colOff>
      <xdr:row>27</xdr:row>
      <xdr:rowOff>0</xdr:rowOff>
    </xdr:to>
    <xdr:sp macro="" textlink="">
      <xdr:nvSpPr>
        <xdr:cNvPr id="2" name="AutoShape 3">
          <a:extLst>
            <a:ext uri="{FF2B5EF4-FFF2-40B4-BE49-F238E27FC236}">
              <a16:creationId xmlns:a16="http://schemas.microsoft.com/office/drawing/2014/main" id="{00000000-0008-0000-0A00-000002000000}"/>
            </a:ext>
          </a:extLst>
        </xdr:cNvPr>
        <xdr:cNvSpPr>
          <a:spLocks noChangeArrowheads="1"/>
        </xdr:cNvSpPr>
      </xdr:nvSpPr>
      <xdr:spPr bwMode="auto">
        <a:xfrm>
          <a:off x="501650" y="0"/>
          <a:ext cx="26720800" cy="10261600"/>
        </a:xfrm>
        <a:custGeom>
          <a:avLst/>
          <a:gdLst/>
          <a:ahLst/>
          <a:cxnLst/>
          <a:rect l="0" t="0" r="0" b="0"/>
          <a:pathLst/>
        </a:custGeom>
        <a:solidFill>
          <a:srgbClr val="FFFFFF"/>
        </a:solidFill>
        <a:ln w="9525">
          <a:solidFill>
            <a:srgbClr val="000000"/>
          </a:solidFill>
          <a:round/>
          <a:headEnd/>
          <a:tailEnd/>
        </a:ln>
      </xdr:spPr>
    </xdr:sp>
    <xdr:clientData fLocksWithSheet="0"/>
  </xdr:twoCellAnchor>
  <xdr:twoCellAnchor editAs="oneCell">
    <xdr:from>
      <xdr:col>2</xdr:col>
      <xdr:colOff>315936</xdr:colOff>
      <xdr:row>0</xdr:row>
      <xdr:rowOff>52175</xdr:rowOff>
    </xdr:from>
    <xdr:to>
      <xdr:col>2</xdr:col>
      <xdr:colOff>1901849</xdr:colOff>
      <xdr:row>3</xdr:row>
      <xdr:rowOff>0</xdr:rowOff>
    </xdr:to>
    <xdr:pic>
      <xdr:nvPicPr>
        <xdr:cNvPr id="4" name="Imagen 3">
          <a:hlinkClick xmlns:r="http://schemas.openxmlformats.org/officeDocument/2006/relationships" r:id="rId1"/>
          <a:extLst>
            <a:ext uri="{FF2B5EF4-FFF2-40B4-BE49-F238E27FC236}">
              <a16:creationId xmlns:a16="http://schemas.microsoft.com/office/drawing/2014/main" id="{DBDD4257-A6E2-4286-97E8-CEC32645A939}"/>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2818026" y="52175"/>
          <a:ext cx="1585913" cy="1170437"/>
        </a:xfrm>
        <a:prstGeom prst="rect">
          <a:avLst/>
        </a:prstGeom>
      </xdr:spPr>
    </xdr:pic>
    <xdr:clientData/>
  </xdr:twoCellAnchor>
  <xdr:twoCellAnchor editAs="oneCell">
    <xdr:from>
      <xdr:col>0</xdr:col>
      <xdr:colOff>94776</xdr:colOff>
      <xdr:row>1</xdr:row>
      <xdr:rowOff>54023</xdr:rowOff>
    </xdr:from>
    <xdr:to>
      <xdr:col>1</xdr:col>
      <xdr:colOff>659128</xdr:colOff>
      <xdr:row>2</xdr:row>
      <xdr:rowOff>578133</xdr:rowOff>
    </xdr:to>
    <xdr:pic>
      <xdr:nvPicPr>
        <xdr:cNvPr id="6" name="Imagen 5" descr="Logo Image Minhacienda w-100">
          <a:extLst>
            <a:ext uri="{FF2B5EF4-FFF2-40B4-BE49-F238E27FC236}">
              <a16:creationId xmlns:a16="http://schemas.microsoft.com/office/drawing/2014/main" id="{9377C5CB-2989-4566-AA11-4FE3BDDB385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4776" y="243575"/>
          <a:ext cx="1069793" cy="7800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825766</xdr:colOff>
      <xdr:row>1</xdr:row>
      <xdr:rowOff>35881</xdr:rowOff>
    </xdr:from>
    <xdr:to>
      <xdr:col>2</xdr:col>
      <xdr:colOff>359463</xdr:colOff>
      <xdr:row>2</xdr:row>
      <xdr:rowOff>560126</xdr:rowOff>
    </xdr:to>
    <xdr:pic>
      <xdr:nvPicPr>
        <xdr:cNvPr id="7" name="Imagen 6" descr="Logotipo, nombre de la empresa&#10;&#10;Descripción generada automáticamente">
          <a:extLst>
            <a:ext uri="{FF2B5EF4-FFF2-40B4-BE49-F238E27FC236}">
              <a16:creationId xmlns:a16="http://schemas.microsoft.com/office/drawing/2014/main" id="{1E7B484A-6868-43F9-A9E9-46B9A35D5A3B}"/>
            </a:ext>
          </a:extLst>
        </xdr:cNvPr>
        <xdr:cNvPicPr>
          <a:picLocks noChangeAspect="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337557" y="225433"/>
          <a:ext cx="1523996" cy="780141"/>
        </a:xfrm>
        <a:prstGeom prst="rect">
          <a:avLst/>
        </a:prstGeom>
      </xdr:spPr>
    </xdr:pic>
    <xdr:clientData/>
  </xdr:twoCellAnchor>
  <xdr:twoCellAnchor>
    <xdr:from>
      <xdr:col>1</xdr:col>
      <xdr:colOff>735054</xdr:colOff>
      <xdr:row>0</xdr:row>
      <xdr:rowOff>180074</xdr:rowOff>
    </xdr:from>
    <xdr:to>
      <xdr:col>1</xdr:col>
      <xdr:colOff>735054</xdr:colOff>
      <xdr:row>2</xdr:row>
      <xdr:rowOff>605483</xdr:rowOff>
    </xdr:to>
    <xdr:cxnSp macro="">
      <xdr:nvCxnSpPr>
        <xdr:cNvPr id="8" name="Conector recto 7">
          <a:extLst>
            <a:ext uri="{FF2B5EF4-FFF2-40B4-BE49-F238E27FC236}">
              <a16:creationId xmlns:a16="http://schemas.microsoft.com/office/drawing/2014/main" id="{D44C6072-7CEE-41D7-9B3D-9607105EE40B}"/>
            </a:ext>
          </a:extLst>
        </xdr:cNvPr>
        <xdr:cNvCxnSpPr/>
      </xdr:nvCxnSpPr>
      <xdr:spPr>
        <a:xfrm>
          <a:off x="1246845" y="180074"/>
          <a:ext cx="0" cy="870857"/>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46463</xdr:colOff>
      <xdr:row>13</xdr:row>
      <xdr:rowOff>15487</xdr:rowOff>
    </xdr:from>
    <xdr:to>
      <xdr:col>31</xdr:col>
      <xdr:colOff>0</xdr:colOff>
      <xdr:row>32</xdr:row>
      <xdr:rowOff>139390</xdr:rowOff>
    </xdr:to>
    <xdr:sp macro="" textlink="">
      <xdr:nvSpPr>
        <xdr:cNvPr id="5" name="TextBox 121">
          <a:extLst>
            <a:ext uri="{FF2B5EF4-FFF2-40B4-BE49-F238E27FC236}">
              <a16:creationId xmlns:a16="http://schemas.microsoft.com/office/drawing/2014/main" id="{00000000-0008-0000-0B00-000005000000}"/>
            </a:ext>
          </a:extLst>
        </xdr:cNvPr>
        <xdr:cNvSpPr txBox="1"/>
      </xdr:nvSpPr>
      <xdr:spPr>
        <a:xfrm>
          <a:off x="6428213" y="2574537"/>
          <a:ext cx="42353725" cy="4587953"/>
        </a:xfrm>
        <a:prstGeom prst="rect">
          <a:avLst/>
        </a:prstGeom>
        <a:noFill/>
        <a:ln>
          <a:solidFill>
            <a:schemeClr val="bg1"/>
          </a:solidFill>
        </a:ln>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endParaRPr lang="en-US" sz="4000" kern="0">
            <a:solidFill>
              <a:schemeClr val="tx1">
                <a:lumMod val="50000"/>
                <a:lumOff val="50000"/>
              </a:schemeClr>
            </a:solidFill>
            <a:latin typeface="Arial" pitchFamily="34" charset="0"/>
            <a:cs typeface="Arial" pitchFamily="34" charset="0"/>
          </a:endParaRPr>
        </a:p>
        <a:p>
          <a:pPr algn="ctr"/>
          <a:r>
            <a:rPr lang="en-US" sz="4000" kern="0">
              <a:solidFill>
                <a:schemeClr val="tx1">
                  <a:lumMod val="50000"/>
                  <a:lumOff val="50000"/>
                </a:schemeClr>
              </a:solidFill>
              <a:latin typeface="Arial" pitchFamily="34" charset="0"/>
              <a:cs typeface="Arial" pitchFamily="34" charset="0"/>
            </a:rPr>
            <a:t>Componentes </a:t>
          </a:r>
          <a:r>
            <a:rPr lang="en-US" sz="4000" kern="0" baseline="0">
              <a:solidFill>
                <a:schemeClr val="tx1">
                  <a:lumMod val="50000"/>
                  <a:lumOff val="50000"/>
                </a:schemeClr>
              </a:solidFill>
              <a:latin typeface="Arial" pitchFamily="34" charset="0"/>
              <a:cs typeface="Arial" pitchFamily="34" charset="0"/>
            </a:rPr>
            <a:t>Plan Anticorrupción y de Atención al Ciudadano</a:t>
          </a:r>
        </a:p>
        <a:p>
          <a:pPr algn="ctr"/>
          <a:endParaRPr lang="en-US" sz="4000" kern="0" baseline="0">
            <a:solidFill>
              <a:schemeClr val="tx1">
                <a:lumMod val="50000"/>
                <a:lumOff val="50000"/>
              </a:schemeClr>
            </a:solidFill>
            <a:latin typeface="Arial" pitchFamily="34" charset="0"/>
            <a:cs typeface="Arial" pitchFamily="34" charset="0"/>
          </a:endParaRPr>
        </a:p>
        <a:p>
          <a:pPr algn="ctr"/>
          <a:r>
            <a:rPr lang="en-US" sz="4000" b="1" kern="0" baseline="0">
              <a:solidFill>
                <a:schemeClr val="tx1">
                  <a:lumMod val="50000"/>
                  <a:lumOff val="50000"/>
                </a:schemeClr>
              </a:solidFill>
              <a:latin typeface="Arial" pitchFamily="34" charset="0"/>
              <a:cs typeface="Arial" pitchFamily="34" charset="0"/>
            </a:rPr>
            <a:t>Nota 1: </a:t>
          </a:r>
          <a:r>
            <a:rPr lang="en-US" sz="4000" b="0" kern="0" baseline="0">
              <a:solidFill>
                <a:schemeClr val="tx1">
                  <a:lumMod val="50000"/>
                  <a:lumOff val="50000"/>
                </a:schemeClr>
              </a:solidFill>
              <a:latin typeface="Arial" pitchFamily="34" charset="0"/>
              <a:cs typeface="Arial" pitchFamily="34" charset="0"/>
            </a:rPr>
            <a:t>El cronograma de actividades del Plan Anticorrupción y de Atención al Ciudadano se encuentra inmerso en el Plan de Acción Anual de la Entidad dando cumplimiento al Decreto 612 de 2018. Las actividades programadas del Plan Anticorrupción y de Atención al Ciudadano, contemplan los siguientes componentes.</a:t>
          </a:r>
        </a:p>
        <a:p>
          <a:pPr algn="ctr"/>
          <a:endParaRPr lang="en-US" sz="4000" b="1" kern="0" baseline="0">
            <a:solidFill>
              <a:schemeClr val="tx1">
                <a:lumMod val="50000"/>
                <a:lumOff val="50000"/>
              </a:schemeClr>
            </a:solidFill>
            <a:latin typeface="Arial" pitchFamily="34" charset="0"/>
            <a:cs typeface="Arial" pitchFamily="34" charset="0"/>
          </a:endParaRPr>
        </a:p>
        <a:p>
          <a:pPr algn="ctr"/>
          <a:r>
            <a:rPr lang="en-US" sz="4000" b="1" kern="0" baseline="0">
              <a:solidFill>
                <a:schemeClr val="tx1">
                  <a:lumMod val="50000"/>
                  <a:lumOff val="50000"/>
                </a:schemeClr>
              </a:solidFill>
              <a:latin typeface="Arial" pitchFamily="34" charset="0"/>
              <a:cs typeface="Arial" pitchFamily="34" charset="0"/>
            </a:rPr>
            <a:t>Nota: </a:t>
          </a:r>
          <a:r>
            <a:rPr lang="en-US" sz="4000" kern="0" baseline="0">
              <a:solidFill>
                <a:schemeClr val="tx1">
                  <a:lumMod val="50000"/>
                  <a:lumOff val="50000"/>
                </a:schemeClr>
              </a:solidFill>
              <a:latin typeface="Arial" pitchFamily="34" charset="0"/>
              <a:cs typeface="Arial" pitchFamily="34" charset="0"/>
            </a:rPr>
            <a:t>el componente 02. Racionalización de Trámites no aplica a La Previsora.</a:t>
          </a:r>
        </a:p>
      </xdr:txBody>
    </xdr:sp>
    <xdr:clientData/>
  </xdr:twoCellAnchor>
  <xdr:twoCellAnchor editAs="oneCell">
    <xdr:from>
      <xdr:col>4</xdr:col>
      <xdr:colOff>2709334</xdr:colOff>
      <xdr:row>1</xdr:row>
      <xdr:rowOff>102659</xdr:rowOff>
    </xdr:from>
    <xdr:to>
      <xdr:col>5</xdr:col>
      <xdr:colOff>48683</xdr:colOff>
      <xdr:row>9</xdr:row>
      <xdr:rowOff>0</xdr:rowOff>
    </xdr:to>
    <xdr:pic>
      <xdr:nvPicPr>
        <xdr:cNvPr id="3" name="Imagen 2">
          <a:hlinkClick xmlns:r="http://schemas.openxmlformats.org/officeDocument/2006/relationships" r:id="rId1"/>
          <a:extLst>
            <a:ext uri="{FF2B5EF4-FFF2-40B4-BE49-F238E27FC236}">
              <a16:creationId xmlns:a16="http://schemas.microsoft.com/office/drawing/2014/main" id="{B9E045A7-C884-480D-BF5F-D7DD13B60CC7}"/>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3513667" y="102659"/>
          <a:ext cx="1911349" cy="1430083"/>
        </a:xfrm>
        <a:prstGeom prst="rect">
          <a:avLst/>
        </a:prstGeom>
      </xdr:spPr>
    </xdr:pic>
    <xdr:clientData/>
  </xdr:twoCellAnchor>
  <xdr:twoCellAnchor editAs="oneCell">
    <xdr:from>
      <xdr:col>3</xdr:col>
      <xdr:colOff>268112</xdr:colOff>
      <xdr:row>3</xdr:row>
      <xdr:rowOff>21168</xdr:rowOff>
    </xdr:from>
    <xdr:to>
      <xdr:col>4</xdr:col>
      <xdr:colOff>533572</xdr:colOff>
      <xdr:row>7</xdr:row>
      <xdr:rowOff>67396</xdr:rowOff>
    </xdr:to>
    <xdr:pic>
      <xdr:nvPicPr>
        <xdr:cNvPr id="4" name="Imagen 3" descr="Logo Image Minhacienda w-100">
          <a:extLst>
            <a:ext uri="{FF2B5EF4-FFF2-40B4-BE49-F238E27FC236}">
              <a16:creationId xmlns:a16="http://schemas.microsoft.com/office/drawing/2014/main" id="{88D1E72A-86F0-41DE-AA15-59497530DBF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68112" y="388057"/>
          <a:ext cx="1069793" cy="7800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706560</xdr:colOff>
      <xdr:row>3</xdr:row>
      <xdr:rowOff>3026</xdr:rowOff>
    </xdr:from>
    <xdr:to>
      <xdr:col>4</xdr:col>
      <xdr:colOff>2230556</xdr:colOff>
      <xdr:row>7</xdr:row>
      <xdr:rowOff>49389</xdr:rowOff>
    </xdr:to>
    <xdr:pic>
      <xdr:nvPicPr>
        <xdr:cNvPr id="7" name="Imagen 6" descr="Logotipo, nombre de la empresa&#10;&#10;Descripción generada automáticamente">
          <a:extLst>
            <a:ext uri="{FF2B5EF4-FFF2-40B4-BE49-F238E27FC236}">
              <a16:creationId xmlns:a16="http://schemas.microsoft.com/office/drawing/2014/main" id="{918176BA-B293-4DF1-8414-81C873015661}"/>
            </a:ext>
          </a:extLst>
        </xdr:cNvPr>
        <xdr:cNvPicPr>
          <a:picLocks noChangeAspect="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510893" y="369915"/>
          <a:ext cx="1523996" cy="780141"/>
        </a:xfrm>
        <a:prstGeom prst="rect">
          <a:avLst/>
        </a:prstGeom>
      </xdr:spPr>
    </xdr:pic>
    <xdr:clientData/>
  </xdr:twoCellAnchor>
  <xdr:twoCellAnchor>
    <xdr:from>
      <xdr:col>4</xdr:col>
      <xdr:colOff>615848</xdr:colOff>
      <xdr:row>2</xdr:row>
      <xdr:rowOff>141112</xdr:rowOff>
    </xdr:from>
    <xdr:to>
      <xdr:col>4</xdr:col>
      <xdr:colOff>615848</xdr:colOff>
      <xdr:row>7</xdr:row>
      <xdr:rowOff>94746</xdr:rowOff>
    </xdr:to>
    <xdr:cxnSp macro="">
      <xdr:nvCxnSpPr>
        <xdr:cNvPr id="8" name="Conector recto 7">
          <a:extLst>
            <a:ext uri="{FF2B5EF4-FFF2-40B4-BE49-F238E27FC236}">
              <a16:creationId xmlns:a16="http://schemas.microsoft.com/office/drawing/2014/main" id="{B2DE352C-0AFC-43BD-A8C7-49C393643A4D}"/>
            </a:ext>
          </a:extLst>
        </xdr:cNvPr>
        <xdr:cNvCxnSpPr/>
      </xdr:nvCxnSpPr>
      <xdr:spPr>
        <a:xfrm>
          <a:off x="1420181" y="324556"/>
          <a:ext cx="0" cy="870857"/>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0</xdr:row>
      <xdr:rowOff>0</xdr:rowOff>
    </xdr:from>
    <xdr:to>
      <xdr:col>19</xdr:col>
      <xdr:colOff>57150</xdr:colOff>
      <xdr:row>23</xdr:row>
      <xdr:rowOff>0</xdr:rowOff>
    </xdr:to>
    <xdr:sp macro="" textlink="">
      <xdr:nvSpPr>
        <xdr:cNvPr id="2" name="AutoShape 3">
          <a:extLst>
            <a:ext uri="{FF2B5EF4-FFF2-40B4-BE49-F238E27FC236}">
              <a16:creationId xmlns:a16="http://schemas.microsoft.com/office/drawing/2014/main" id="{72CA333C-7A3E-46B6-8869-96CF53BFF850}"/>
            </a:ext>
          </a:extLst>
        </xdr:cNvPr>
        <xdr:cNvSpPr>
          <a:spLocks noChangeArrowheads="1"/>
        </xdr:cNvSpPr>
      </xdr:nvSpPr>
      <xdr:spPr bwMode="auto">
        <a:xfrm>
          <a:off x="508000" y="0"/>
          <a:ext cx="27813000" cy="11347450"/>
        </a:xfrm>
        <a:custGeom>
          <a:avLst/>
          <a:gdLst/>
          <a:ahLst/>
          <a:cxnLst/>
          <a:rect l="0" t="0" r="0" b="0"/>
          <a:pathLst/>
        </a:custGeom>
        <a:solidFill>
          <a:srgbClr val="FFFFFF"/>
        </a:solidFill>
        <a:ln w="9525">
          <a:solidFill>
            <a:srgbClr val="000000"/>
          </a:solidFill>
          <a:round/>
          <a:headEnd/>
          <a:tailEnd/>
        </a:ln>
      </xdr:spPr>
    </xdr:sp>
    <xdr:clientData fLocksWithSheet="0"/>
  </xdr:twoCellAnchor>
  <xdr:twoCellAnchor editAs="oneCell">
    <xdr:from>
      <xdr:col>0</xdr:col>
      <xdr:colOff>114300</xdr:colOff>
      <xdr:row>0</xdr:row>
      <xdr:rowOff>184856</xdr:rowOff>
    </xdr:from>
    <xdr:to>
      <xdr:col>1</xdr:col>
      <xdr:colOff>684560</xdr:colOff>
      <xdr:row>2</xdr:row>
      <xdr:rowOff>545409</xdr:rowOff>
    </xdr:to>
    <xdr:pic>
      <xdr:nvPicPr>
        <xdr:cNvPr id="5" name="Imagen 4" descr="Logo Image Minhacienda w-100">
          <a:extLst>
            <a:ext uri="{FF2B5EF4-FFF2-40B4-BE49-F238E27FC236}">
              <a16:creationId xmlns:a16="http://schemas.microsoft.com/office/drawing/2014/main" id="{D1AAC488-6437-4DCC-A7D8-AD1264F31A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184856"/>
          <a:ext cx="1078260" cy="8082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857548</xdr:colOff>
      <xdr:row>0</xdr:row>
      <xdr:rowOff>166714</xdr:rowOff>
    </xdr:from>
    <xdr:to>
      <xdr:col>2</xdr:col>
      <xdr:colOff>390819</xdr:colOff>
      <xdr:row>2</xdr:row>
      <xdr:rowOff>530577</xdr:rowOff>
    </xdr:to>
    <xdr:pic>
      <xdr:nvPicPr>
        <xdr:cNvPr id="6" name="Imagen 5" descr="Logotipo, nombre de la empresa&#10;&#10;Descripción generada automáticamente">
          <a:extLst>
            <a:ext uri="{FF2B5EF4-FFF2-40B4-BE49-F238E27FC236}">
              <a16:creationId xmlns:a16="http://schemas.microsoft.com/office/drawing/2014/main" id="{40ED2429-FF39-4DB9-B7ED-B4841DD61F32}"/>
            </a:ext>
          </a:extLst>
        </xdr:cNvPr>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365548" y="166714"/>
          <a:ext cx="1523996" cy="808363"/>
        </a:xfrm>
        <a:prstGeom prst="rect">
          <a:avLst/>
        </a:prstGeom>
      </xdr:spPr>
    </xdr:pic>
    <xdr:clientData/>
  </xdr:twoCellAnchor>
  <xdr:twoCellAnchor>
    <xdr:from>
      <xdr:col>1</xdr:col>
      <xdr:colOff>766836</xdr:colOff>
      <xdr:row>0</xdr:row>
      <xdr:rowOff>114300</xdr:rowOff>
    </xdr:from>
    <xdr:to>
      <xdr:col>1</xdr:col>
      <xdr:colOff>766836</xdr:colOff>
      <xdr:row>2</xdr:row>
      <xdr:rowOff>575934</xdr:rowOff>
    </xdr:to>
    <xdr:cxnSp macro="">
      <xdr:nvCxnSpPr>
        <xdr:cNvPr id="7" name="Conector recto 6">
          <a:extLst>
            <a:ext uri="{FF2B5EF4-FFF2-40B4-BE49-F238E27FC236}">
              <a16:creationId xmlns:a16="http://schemas.microsoft.com/office/drawing/2014/main" id="{B8C4C461-3CCC-4B11-874A-3D35E86306D9}"/>
            </a:ext>
          </a:extLst>
        </xdr:cNvPr>
        <xdr:cNvCxnSpPr/>
      </xdr:nvCxnSpPr>
      <xdr:spPr>
        <a:xfrm>
          <a:off x="1274836" y="114300"/>
          <a:ext cx="0" cy="906134"/>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editAs="oneCell">
    <xdr:from>
      <xdr:col>2</xdr:col>
      <xdr:colOff>444500</xdr:colOff>
      <xdr:row>0</xdr:row>
      <xdr:rowOff>38100</xdr:rowOff>
    </xdr:from>
    <xdr:to>
      <xdr:col>3</xdr:col>
      <xdr:colOff>39688</xdr:colOff>
      <xdr:row>3</xdr:row>
      <xdr:rowOff>0</xdr:rowOff>
    </xdr:to>
    <xdr:pic>
      <xdr:nvPicPr>
        <xdr:cNvPr id="12" name="Imagen 11">
          <a:hlinkClick xmlns:r="http://schemas.openxmlformats.org/officeDocument/2006/relationships" r:id="rId3"/>
          <a:extLst>
            <a:ext uri="{FF2B5EF4-FFF2-40B4-BE49-F238E27FC236}">
              <a16:creationId xmlns:a16="http://schemas.microsoft.com/office/drawing/2014/main" id="{8640B5CA-DCDA-4330-BD79-A6F2C1063A0F}"/>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2946400" y="38100"/>
          <a:ext cx="1589088" cy="118143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0</xdr:row>
      <xdr:rowOff>0</xdr:rowOff>
    </xdr:from>
    <xdr:to>
      <xdr:col>17</xdr:col>
      <xdr:colOff>57150</xdr:colOff>
      <xdr:row>19</xdr:row>
      <xdr:rowOff>0</xdr:rowOff>
    </xdr:to>
    <xdr:sp macro="" textlink="">
      <xdr:nvSpPr>
        <xdr:cNvPr id="2" name="AutoShape 3">
          <a:extLst>
            <a:ext uri="{FF2B5EF4-FFF2-40B4-BE49-F238E27FC236}">
              <a16:creationId xmlns:a16="http://schemas.microsoft.com/office/drawing/2014/main" id="{00000000-0008-0000-0D00-000002000000}"/>
            </a:ext>
          </a:extLst>
        </xdr:cNvPr>
        <xdr:cNvSpPr>
          <a:spLocks noChangeArrowheads="1"/>
        </xdr:cNvSpPr>
      </xdr:nvSpPr>
      <xdr:spPr bwMode="auto">
        <a:xfrm>
          <a:off x="501650" y="0"/>
          <a:ext cx="26720800" cy="10261600"/>
        </a:xfrm>
        <a:custGeom>
          <a:avLst/>
          <a:gdLst/>
          <a:ahLst/>
          <a:cxnLst/>
          <a:rect l="0" t="0" r="0" b="0"/>
          <a:pathLst/>
        </a:custGeom>
        <a:solidFill>
          <a:srgbClr val="FFFFFF"/>
        </a:solidFill>
        <a:ln w="9525">
          <a:solidFill>
            <a:srgbClr val="000000"/>
          </a:solidFill>
          <a:round/>
          <a:headEnd/>
          <a:tailEnd/>
        </a:ln>
      </xdr:spPr>
    </xdr:sp>
    <xdr:clientData fLocksWithSheet="0"/>
  </xdr:twoCellAnchor>
  <xdr:twoCellAnchor editAs="oneCell">
    <xdr:from>
      <xdr:col>2</xdr:col>
      <xdr:colOff>354013</xdr:colOff>
      <xdr:row>0</xdr:row>
      <xdr:rowOff>39688</xdr:rowOff>
    </xdr:from>
    <xdr:to>
      <xdr:col>2</xdr:col>
      <xdr:colOff>1901826</xdr:colOff>
      <xdr:row>3</xdr:row>
      <xdr:rowOff>0</xdr:rowOff>
    </xdr:to>
    <xdr:pic>
      <xdr:nvPicPr>
        <xdr:cNvPr id="4" name="Imagen 3">
          <a:hlinkClick xmlns:r="http://schemas.openxmlformats.org/officeDocument/2006/relationships" r:id="rId1"/>
          <a:extLst>
            <a:ext uri="{FF2B5EF4-FFF2-40B4-BE49-F238E27FC236}">
              <a16:creationId xmlns:a16="http://schemas.microsoft.com/office/drawing/2014/main" id="{F7EA23C3-76FC-4715-8A8E-86C3A6E4FFFE}"/>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2841096" y="39688"/>
          <a:ext cx="1595438" cy="1187449"/>
        </a:xfrm>
        <a:prstGeom prst="rect">
          <a:avLst/>
        </a:prstGeom>
      </xdr:spPr>
    </xdr:pic>
    <xdr:clientData/>
  </xdr:twoCellAnchor>
  <xdr:twoCellAnchor editAs="oneCell">
    <xdr:from>
      <xdr:col>0</xdr:col>
      <xdr:colOff>88194</xdr:colOff>
      <xdr:row>1</xdr:row>
      <xdr:rowOff>37042</xdr:rowOff>
    </xdr:from>
    <xdr:to>
      <xdr:col>1</xdr:col>
      <xdr:colOff>646459</xdr:colOff>
      <xdr:row>2</xdr:row>
      <xdr:rowOff>561284</xdr:rowOff>
    </xdr:to>
    <xdr:pic>
      <xdr:nvPicPr>
        <xdr:cNvPr id="6" name="Imagen 5" descr="Logo Image Minhacienda w-100">
          <a:extLst>
            <a:ext uri="{FF2B5EF4-FFF2-40B4-BE49-F238E27FC236}">
              <a16:creationId xmlns:a16="http://schemas.microsoft.com/office/drawing/2014/main" id="{2D96C8C6-FF60-4A57-A17B-2A4C9BA0F9B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8194" y="231070"/>
          <a:ext cx="1069793" cy="7800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819447</xdr:colOff>
      <xdr:row>1</xdr:row>
      <xdr:rowOff>18900</xdr:rowOff>
    </xdr:from>
    <xdr:to>
      <xdr:col>2</xdr:col>
      <xdr:colOff>350249</xdr:colOff>
      <xdr:row>2</xdr:row>
      <xdr:rowOff>543277</xdr:rowOff>
    </xdr:to>
    <xdr:pic>
      <xdr:nvPicPr>
        <xdr:cNvPr id="7" name="Imagen 6" descr="Logotipo, nombre de la empresa&#10;&#10;Descripción generada automáticamente">
          <a:extLst>
            <a:ext uri="{FF2B5EF4-FFF2-40B4-BE49-F238E27FC236}">
              <a16:creationId xmlns:a16="http://schemas.microsoft.com/office/drawing/2014/main" id="{7385ACEF-D7F4-44A3-BC09-00B81AAA9894}"/>
            </a:ext>
          </a:extLst>
        </xdr:cNvPr>
        <xdr:cNvPicPr>
          <a:picLocks noChangeAspect="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330975" y="212928"/>
          <a:ext cx="1523996" cy="780141"/>
        </a:xfrm>
        <a:prstGeom prst="rect">
          <a:avLst/>
        </a:prstGeom>
      </xdr:spPr>
    </xdr:pic>
    <xdr:clientData/>
  </xdr:twoCellAnchor>
  <xdr:twoCellAnchor>
    <xdr:from>
      <xdr:col>1</xdr:col>
      <xdr:colOff>728735</xdr:colOff>
      <xdr:row>0</xdr:row>
      <xdr:rowOff>167569</xdr:rowOff>
    </xdr:from>
    <xdr:to>
      <xdr:col>1</xdr:col>
      <xdr:colOff>728735</xdr:colOff>
      <xdr:row>2</xdr:row>
      <xdr:rowOff>588634</xdr:rowOff>
    </xdr:to>
    <xdr:cxnSp macro="">
      <xdr:nvCxnSpPr>
        <xdr:cNvPr id="8" name="Conector recto 7">
          <a:extLst>
            <a:ext uri="{FF2B5EF4-FFF2-40B4-BE49-F238E27FC236}">
              <a16:creationId xmlns:a16="http://schemas.microsoft.com/office/drawing/2014/main" id="{339568CB-C686-4275-9FC4-420DEF5A4D45}"/>
            </a:ext>
          </a:extLst>
        </xdr:cNvPr>
        <xdr:cNvCxnSpPr/>
      </xdr:nvCxnSpPr>
      <xdr:spPr>
        <a:xfrm>
          <a:off x="1240263" y="167569"/>
          <a:ext cx="0" cy="870857"/>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0</xdr:row>
      <xdr:rowOff>0</xdr:rowOff>
    </xdr:from>
    <xdr:to>
      <xdr:col>18</xdr:col>
      <xdr:colOff>57150</xdr:colOff>
      <xdr:row>21</xdr:row>
      <xdr:rowOff>0</xdr:rowOff>
    </xdr:to>
    <xdr:sp macro="" textlink="">
      <xdr:nvSpPr>
        <xdr:cNvPr id="2" name="AutoShape 3">
          <a:extLst>
            <a:ext uri="{FF2B5EF4-FFF2-40B4-BE49-F238E27FC236}">
              <a16:creationId xmlns:a16="http://schemas.microsoft.com/office/drawing/2014/main" id="{00000000-0008-0000-0F00-000002000000}"/>
            </a:ext>
          </a:extLst>
        </xdr:cNvPr>
        <xdr:cNvSpPr>
          <a:spLocks noChangeArrowheads="1"/>
        </xdr:cNvSpPr>
      </xdr:nvSpPr>
      <xdr:spPr bwMode="auto">
        <a:xfrm>
          <a:off x="501650" y="0"/>
          <a:ext cx="26720800" cy="10261600"/>
        </a:xfrm>
        <a:custGeom>
          <a:avLst/>
          <a:gdLst/>
          <a:ahLst/>
          <a:cxnLst/>
          <a:rect l="0" t="0" r="0" b="0"/>
          <a:pathLst/>
        </a:custGeom>
        <a:solidFill>
          <a:srgbClr val="FFFFFF"/>
        </a:solidFill>
        <a:ln w="9525">
          <a:solidFill>
            <a:srgbClr val="000000"/>
          </a:solidFill>
          <a:round/>
          <a:headEnd/>
          <a:tailEnd/>
        </a:ln>
      </xdr:spPr>
    </xdr:sp>
    <xdr:clientData fLocksWithSheet="0"/>
  </xdr:twoCellAnchor>
  <xdr:twoCellAnchor editAs="oneCell">
    <xdr:from>
      <xdr:col>2</xdr:col>
      <xdr:colOff>395674</xdr:colOff>
      <xdr:row>0</xdr:row>
      <xdr:rowOff>67363</xdr:rowOff>
    </xdr:from>
    <xdr:to>
      <xdr:col>2</xdr:col>
      <xdr:colOff>1902212</xdr:colOff>
      <xdr:row>10</xdr:row>
      <xdr:rowOff>25744</xdr:rowOff>
    </xdr:to>
    <xdr:pic>
      <xdr:nvPicPr>
        <xdr:cNvPr id="4" name="Imagen 3">
          <a:hlinkClick xmlns:r="http://schemas.openxmlformats.org/officeDocument/2006/relationships" r:id="rId1"/>
          <a:extLst>
            <a:ext uri="{FF2B5EF4-FFF2-40B4-BE49-F238E27FC236}">
              <a16:creationId xmlns:a16="http://schemas.microsoft.com/office/drawing/2014/main" id="{0A3A6387-4726-4113-B5B1-F4A36A2C66E8}"/>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2892769" y="67363"/>
          <a:ext cx="1573213" cy="1171488"/>
        </a:xfrm>
        <a:prstGeom prst="rect">
          <a:avLst/>
        </a:prstGeom>
      </xdr:spPr>
    </xdr:pic>
    <xdr:clientData/>
  </xdr:twoCellAnchor>
  <xdr:twoCellAnchor editAs="oneCell">
    <xdr:from>
      <xdr:col>0</xdr:col>
      <xdr:colOff>111554</xdr:colOff>
      <xdr:row>1</xdr:row>
      <xdr:rowOff>46339</xdr:rowOff>
    </xdr:from>
    <xdr:to>
      <xdr:col>1</xdr:col>
      <xdr:colOff>678238</xdr:colOff>
      <xdr:row>2</xdr:row>
      <xdr:rowOff>568913</xdr:rowOff>
    </xdr:to>
    <xdr:pic>
      <xdr:nvPicPr>
        <xdr:cNvPr id="6" name="Imagen 5" descr="Logo Image Minhacienda w-100">
          <a:extLst>
            <a:ext uri="{FF2B5EF4-FFF2-40B4-BE49-F238E27FC236}">
              <a16:creationId xmlns:a16="http://schemas.microsoft.com/office/drawing/2014/main" id="{B2307E68-04CB-4D9A-AA10-9B157BEA11B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1554" y="235123"/>
          <a:ext cx="1069793" cy="7800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848051</xdr:colOff>
      <xdr:row>1</xdr:row>
      <xdr:rowOff>28197</xdr:rowOff>
    </xdr:from>
    <xdr:to>
      <xdr:col>2</xdr:col>
      <xdr:colOff>381236</xdr:colOff>
      <xdr:row>2</xdr:row>
      <xdr:rowOff>550906</xdr:rowOff>
    </xdr:to>
    <xdr:pic>
      <xdr:nvPicPr>
        <xdr:cNvPr id="7" name="Imagen 6" descr="Logotipo, nombre de la empresa&#10;&#10;Descripción generada automáticamente">
          <a:extLst>
            <a:ext uri="{FF2B5EF4-FFF2-40B4-BE49-F238E27FC236}">
              <a16:creationId xmlns:a16="http://schemas.microsoft.com/office/drawing/2014/main" id="{C7D6F84E-C4FF-4156-B55B-0B017A95C98A}"/>
            </a:ext>
          </a:extLst>
        </xdr:cNvPr>
        <xdr:cNvPicPr>
          <a:picLocks noChangeAspect="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354335" y="216981"/>
          <a:ext cx="1523996" cy="780141"/>
        </a:xfrm>
        <a:prstGeom prst="rect">
          <a:avLst/>
        </a:prstGeom>
      </xdr:spPr>
    </xdr:pic>
    <xdr:clientData/>
  </xdr:twoCellAnchor>
  <xdr:twoCellAnchor>
    <xdr:from>
      <xdr:col>1</xdr:col>
      <xdr:colOff>757339</xdr:colOff>
      <xdr:row>0</xdr:row>
      <xdr:rowOff>171622</xdr:rowOff>
    </xdr:from>
    <xdr:to>
      <xdr:col>1</xdr:col>
      <xdr:colOff>757339</xdr:colOff>
      <xdr:row>2</xdr:row>
      <xdr:rowOff>596263</xdr:rowOff>
    </xdr:to>
    <xdr:cxnSp macro="">
      <xdr:nvCxnSpPr>
        <xdr:cNvPr id="8" name="Conector recto 7">
          <a:extLst>
            <a:ext uri="{FF2B5EF4-FFF2-40B4-BE49-F238E27FC236}">
              <a16:creationId xmlns:a16="http://schemas.microsoft.com/office/drawing/2014/main" id="{E9F2B299-9916-4508-8D76-636CBB57A7CE}"/>
            </a:ext>
          </a:extLst>
        </xdr:cNvPr>
        <xdr:cNvCxnSpPr/>
      </xdr:nvCxnSpPr>
      <xdr:spPr>
        <a:xfrm>
          <a:off x="1263623" y="171622"/>
          <a:ext cx="0" cy="870857"/>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66675</xdr:colOff>
      <xdr:row>3</xdr:row>
      <xdr:rowOff>66675</xdr:rowOff>
    </xdr:from>
    <xdr:to>
      <xdr:col>11</xdr:col>
      <xdr:colOff>734580</xdr:colOff>
      <xdr:row>21</xdr:row>
      <xdr:rowOff>134578</xdr:rowOff>
    </xdr:to>
    <xdr:graphicFrame macro="">
      <xdr:nvGraphicFramePr>
        <xdr:cNvPr id="7" name="Chart 1">
          <a:extLst>
            <a:ext uri="{FF2B5EF4-FFF2-40B4-BE49-F238E27FC236}">
              <a16:creationId xmlns:a16="http://schemas.microsoft.com/office/drawing/2014/main" id="{00000000-0008-0000-0100-000007000000}"/>
            </a:ext>
            <a:ext uri="{147F2762-F138-4A5C-976F-8EAC2B608ADB}">
              <a16:predDERef xmlns:a16="http://schemas.microsoft.com/office/drawing/2014/main" pred="{19BFF141-A2FB-6E12-71F0-B44A151EB7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43296</xdr:colOff>
      <xdr:row>3</xdr:row>
      <xdr:rowOff>57727</xdr:rowOff>
    </xdr:from>
    <xdr:to>
      <xdr:col>23</xdr:col>
      <xdr:colOff>711201</xdr:colOff>
      <xdr:row>21</xdr:row>
      <xdr:rowOff>125630</xdr:rowOff>
    </xdr:to>
    <xdr:graphicFrame macro="">
      <xdr:nvGraphicFramePr>
        <xdr:cNvPr id="8" name="Chart 1">
          <a:extLst>
            <a:ext uri="{FF2B5EF4-FFF2-40B4-BE49-F238E27FC236}">
              <a16:creationId xmlns:a16="http://schemas.microsoft.com/office/drawing/2014/main" id="{00000000-0008-0000-0100-000008000000}"/>
            </a:ext>
            <a:ext uri="{147F2762-F138-4A5C-976F-8EAC2B608ADB}">
              <a16:predDERef xmlns:a16="http://schemas.microsoft.com/office/drawing/2014/main" pred="{19BFF141-A2FB-6E12-71F0-B44A151EB7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24</xdr:col>
      <xdr:colOff>183573</xdr:colOff>
      <xdr:row>3</xdr:row>
      <xdr:rowOff>25688</xdr:rowOff>
    </xdr:from>
    <xdr:to>
      <xdr:col>30</xdr:col>
      <xdr:colOff>50513</xdr:colOff>
      <xdr:row>21</xdr:row>
      <xdr:rowOff>96766</xdr:rowOff>
    </xdr:to>
    <xdr:graphicFrame macro="">
      <xdr:nvGraphicFramePr>
        <xdr:cNvPr id="9" name="Chart 1">
          <a:extLst>
            <a:ext uri="{FF2B5EF4-FFF2-40B4-BE49-F238E27FC236}">
              <a16:creationId xmlns:a16="http://schemas.microsoft.com/office/drawing/2014/main" id="{00000000-0008-0000-0100-000009000000}"/>
            </a:ext>
            <a:ext uri="{147F2762-F138-4A5C-976F-8EAC2B608ADB}">
              <a16:predDERef xmlns:a16="http://schemas.microsoft.com/office/drawing/2014/main" pred="{19BFF141-A2FB-6E12-71F0-B44A151EB7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43296</xdr:colOff>
      <xdr:row>3</xdr:row>
      <xdr:rowOff>57727</xdr:rowOff>
    </xdr:from>
    <xdr:to>
      <xdr:col>17</xdr:col>
      <xdr:colOff>711201</xdr:colOff>
      <xdr:row>21</xdr:row>
      <xdr:rowOff>125630</xdr:rowOff>
    </xdr:to>
    <xdr:graphicFrame macro="">
      <xdr:nvGraphicFramePr>
        <xdr:cNvPr id="10" name="Chart 1">
          <a:extLst>
            <a:ext uri="{FF2B5EF4-FFF2-40B4-BE49-F238E27FC236}">
              <a16:creationId xmlns:a16="http://schemas.microsoft.com/office/drawing/2014/main" id="{00000000-0008-0000-0100-00000A000000}"/>
            </a:ext>
            <a:ext uri="{147F2762-F138-4A5C-976F-8EAC2B608ADB}">
              <a16:predDERef xmlns:a16="http://schemas.microsoft.com/office/drawing/2014/main" pred="{19BFF141-A2FB-6E12-71F0-B44A151EB7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75767</xdr:colOff>
      <xdr:row>3</xdr:row>
      <xdr:rowOff>97415</xdr:rowOff>
    </xdr:from>
    <xdr:to>
      <xdr:col>5</xdr:col>
      <xdr:colOff>695902</xdr:colOff>
      <xdr:row>21</xdr:row>
      <xdr:rowOff>68118</xdr:rowOff>
    </xdr:to>
    <xdr:graphicFrame macro="">
      <xdr:nvGraphicFramePr>
        <xdr:cNvPr id="2" name="Gráfico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152683</xdr:rowOff>
    </xdr:from>
    <xdr:to>
      <xdr:col>3</xdr:col>
      <xdr:colOff>4586</xdr:colOff>
      <xdr:row>3</xdr:row>
      <xdr:rowOff>136810</xdr:rowOff>
    </xdr:to>
    <xdr:pic>
      <xdr:nvPicPr>
        <xdr:cNvPr id="56" name="Imagen 55">
          <a:extLst>
            <a:ext uri="{FF2B5EF4-FFF2-40B4-BE49-F238E27FC236}">
              <a16:creationId xmlns:a16="http://schemas.microsoft.com/office/drawing/2014/main" id="{00000000-0008-0000-0200-000038000000}"/>
            </a:ext>
          </a:extLst>
        </xdr:cNvPr>
        <xdr:cNvPicPr>
          <a:picLocks noChangeAspect="1"/>
        </xdr:cNvPicPr>
      </xdr:nvPicPr>
      <xdr:blipFill>
        <a:blip xmlns:r="http://schemas.openxmlformats.org/officeDocument/2006/relationships" r:embed="rId1"/>
        <a:stretch>
          <a:fillRect/>
        </a:stretch>
      </xdr:blipFill>
      <xdr:spPr>
        <a:xfrm>
          <a:off x="0" y="214634"/>
          <a:ext cx="2386843" cy="402298"/>
        </a:xfrm>
        <a:prstGeom prst="rect">
          <a:avLst/>
        </a:prstGeom>
      </xdr:spPr>
    </xdr:pic>
    <xdr:clientData/>
  </xdr:twoCellAnchor>
  <xdr:oneCellAnchor>
    <xdr:from>
      <xdr:col>0</xdr:col>
      <xdr:colOff>15488</xdr:colOff>
      <xdr:row>3</xdr:row>
      <xdr:rowOff>198544</xdr:rowOff>
    </xdr:from>
    <xdr:ext cx="2341611" cy="388056"/>
    <xdr:pic>
      <xdr:nvPicPr>
        <xdr:cNvPr id="57" name="Imagen 56">
          <a:extLst>
            <a:ext uri="{FF2B5EF4-FFF2-40B4-BE49-F238E27FC236}">
              <a16:creationId xmlns:a16="http://schemas.microsoft.com/office/drawing/2014/main" id="{00000000-0008-0000-0200-000039000000}"/>
            </a:ext>
            <a:ext uri="{147F2762-F138-4A5C-976F-8EAC2B608ADB}">
              <a16:predDERef xmlns:a16="http://schemas.microsoft.com/office/drawing/2014/main" pred="{BFFBD358-C249-41C3-9EE2-CA8A3AE1E10C}"/>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139" t="33191" r="1194" b="32311"/>
        <a:stretch/>
      </xdr:blipFill>
      <xdr:spPr>
        <a:xfrm>
          <a:off x="15488" y="678666"/>
          <a:ext cx="2341611" cy="388056"/>
        </a:xfrm>
        <a:prstGeom prst="rect">
          <a:avLst/>
        </a:prstGeom>
      </xdr:spPr>
    </xdr:pic>
    <xdr:clientData/>
  </xdr:oneCellAnchor>
  <xdr:twoCellAnchor editAs="oneCell">
    <xdr:from>
      <xdr:col>0</xdr:col>
      <xdr:colOff>696951</xdr:colOff>
      <xdr:row>6</xdr:row>
      <xdr:rowOff>665720</xdr:rowOff>
    </xdr:from>
    <xdr:to>
      <xdr:col>14</xdr:col>
      <xdr:colOff>696951</xdr:colOff>
      <xdr:row>71</xdr:row>
      <xdr:rowOff>44446</xdr:rowOff>
    </xdr:to>
    <xdr:pic>
      <xdr:nvPicPr>
        <xdr:cNvPr id="58" name="Imagen 57">
          <a:extLst>
            <a:ext uri="{FF2B5EF4-FFF2-40B4-BE49-F238E27FC236}">
              <a16:creationId xmlns:a16="http://schemas.microsoft.com/office/drawing/2014/main" id="{00000000-0008-0000-0200-00003A00000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96951" y="1889257"/>
          <a:ext cx="11275122" cy="119238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0</xdr:rowOff>
    </xdr:from>
    <xdr:to>
      <xdr:col>17</xdr:col>
      <xdr:colOff>57150</xdr:colOff>
      <xdr:row>29</xdr:row>
      <xdr:rowOff>0</xdr:rowOff>
    </xdr:to>
    <xdr:sp macro="" textlink="">
      <xdr:nvSpPr>
        <xdr:cNvPr id="3" name="AutoShape 3">
          <a:extLst>
            <a:ext uri="{FF2B5EF4-FFF2-40B4-BE49-F238E27FC236}">
              <a16:creationId xmlns:a16="http://schemas.microsoft.com/office/drawing/2014/main" id="{00000000-0008-0000-0300-000003000000}"/>
            </a:ext>
          </a:extLst>
        </xdr:cNvPr>
        <xdr:cNvSpPr>
          <a:spLocks noChangeArrowheads="1"/>
        </xdr:cNvSpPr>
      </xdr:nvSpPr>
      <xdr:spPr bwMode="auto">
        <a:xfrm>
          <a:off x="0" y="0"/>
          <a:ext cx="13335000" cy="8534400"/>
        </a:xfrm>
        <a:custGeom>
          <a:avLst/>
          <a:gdLst/>
          <a:ahLst/>
          <a:cxnLst/>
          <a:rect l="0" t="0" r="0" b="0"/>
          <a:pathLst/>
        </a:custGeom>
        <a:solidFill>
          <a:srgbClr val="FFFFFF"/>
        </a:solidFill>
        <a:ln w="9525">
          <a:solidFill>
            <a:srgbClr val="000000"/>
          </a:solidFill>
          <a:round/>
          <a:headEnd/>
          <a:tailEnd/>
        </a:ln>
      </xdr:spPr>
    </xdr:sp>
    <xdr:clientData fLocksWithSheet="0"/>
  </xdr:twoCellAnchor>
  <xdr:twoCellAnchor>
    <xdr:from>
      <xdr:col>0</xdr:col>
      <xdr:colOff>0</xdr:colOff>
      <xdr:row>0</xdr:row>
      <xdr:rowOff>0</xdr:rowOff>
    </xdr:from>
    <xdr:to>
      <xdr:col>9</xdr:col>
      <xdr:colOff>0</xdr:colOff>
      <xdr:row>29</xdr:row>
      <xdr:rowOff>0</xdr:rowOff>
    </xdr:to>
    <xdr:sp macro="" textlink="">
      <xdr:nvSpPr>
        <xdr:cNvPr id="2050" name="Text Box 2" hidden="1">
          <a:extLst>
            <a:ext uri="{FF2B5EF4-FFF2-40B4-BE49-F238E27FC236}">
              <a16:creationId xmlns:a16="http://schemas.microsoft.com/office/drawing/2014/main" id="{00000000-0008-0000-0300-000002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editAs="oneCell">
    <xdr:from>
      <xdr:col>2</xdr:col>
      <xdr:colOff>345281</xdr:colOff>
      <xdr:row>0</xdr:row>
      <xdr:rowOff>0</xdr:rowOff>
    </xdr:from>
    <xdr:to>
      <xdr:col>2</xdr:col>
      <xdr:colOff>1940719</xdr:colOff>
      <xdr:row>2</xdr:row>
      <xdr:rowOff>752627</xdr:rowOff>
    </xdr:to>
    <xdr:pic>
      <xdr:nvPicPr>
        <xdr:cNvPr id="9" name="Imagen 8">
          <a:hlinkClick xmlns:r="http://schemas.openxmlformats.org/officeDocument/2006/relationships" r:id="rId1"/>
          <a:extLst>
            <a:ext uri="{FF2B5EF4-FFF2-40B4-BE49-F238E27FC236}">
              <a16:creationId xmlns:a16="http://schemas.microsoft.com/office/drawing/2014/main" id="{1BF9488E-8CE4-20E0-4CD7-F46AA044F6CA}"/>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2833687" y="0"/>
          <a:ext cx="1595438" cy="1193158"/>
        </a:xfrm>
        <a:prstGeom prst="rect">
          <a:avLst/>
        </a:prstGeom>
      </xdr:spPr>
    </xdr:pic>
    <xdr:clientData/>
  </xdr:twoCellAnchor>
  <xdr:twoCellAnchor editAs="oneCell">
    <xdr:from>
      <xdr:col>0</xdr:col>
      <xdr:colOff>81646</xdr:colOff>
      <xdr:row>1</xdr:row>
      <xdr:rowOff>18143</xdr:rowOff>
    </xdr:from>
    <xdr:to>
      <xdr:col>1</xdr:col>
      <xdr:colOff>643439</xdr:colOff>
      <xdr:row>2</xdr:row>
      <xdr:rowOff>544285</xdr:rowOff>
    </xdr:to>
    <xdr:pic>
      <xdr:nvPicPr>
        <xdr:cNvPr id="4" name="Imagen 3" descr="Logo Image Minhacienda w-100">
          <a:extLst>
            <a:ext uri="{FF2B5EF4-FFF2-40B4-BE49-F238E27FC236}">
              <a16:creationId xmlns:a16="http://schemas.microsoft.com/office/drawing/2014/main" id="{87E49D35-0259-4986-BF5C-219EE489E24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1646" y="199572"/>
          <a:ext cx="1069793" cy="7801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816427</xdr:colOff>
      <xdr:row>1</xdr:row>
      <xdr:rowOff>1</xdr:rowOff>
    </xdr:from>
    <xdr:to>
      <xdr:col>1</xdr:col>
      <xdr:colOff>2338609</xdr:colOff>
      <xdr:row>2</xdr:row>
      <xdr:rowOff>526142</xdr:rowOff>
    </xdr:to>
    <xdr:pic>
      <xdr:nvPicPr>
        <xdr:cNvPr id="6" name="Imagen 5" descr="Logotipo, nombre de la empresa&#10;&#10;Descripción generada automáticamente">
          <a:extLst>
            <a:ext uri="{FF2B5EF4-FFF2-40B4-BE49-F238E27FC236}">
              <a16:creationId xmlns:a16="http://schemas.microsoft.com/office/drawing/2014/main" id="{420D194B-E9BF-26AA-D5D2-DEFABBA73FB2}"/>
            </a:ext>
          </a:extLst>
        </xdr:cNvPr>
        <xdr:cNvPicPr>
          <a:picLocks noChangeAspect="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324427" y="181430"/>
          <a:ext cx="1523996" cy="780141"/>
        </a:xfrm>
        <a:prstGeom prst="rect">
          <a:avLst/>
        </a:prstGeom>
      </xdr:spPr>
    </xdr:pic>
    <xdr:clientData/>
  </xdr:twoCellAnchor>
  <xdr:twoCellAnchor>
    <xdr:from>
      <xdr:col>1</xdr:col>
      <xdr:colOff>725715</xdr:colOff>
      <xdr:row>0</xdr:row>
      <xdr:rowOff>136071</xdr:rowOff>
    </xdr:from>
    <xdr:to>
      <xdr:col>1</xdr:col>
      <xdr:colOff>725715</xdr:colOff>
      <xdr:row>2</xdr:row>
      <xdr:rowOff>571499</xdr:rowOff>
    </xdr:to>
    <xdr:cxnSp macro="">
      <xdr:nvCxnSpPr>
        <xdr:cNvPr id="8" name="Conector recto 7">
          <a:extLst>
            <a:ext uri="{FF2B5EF4-FFF2-40B4-BE49-F238E27FC236}">
              <a16:creationId xmlns:a16="http://schemas.microsoft.com/office/drawing/2014/main" id="{98BB249E-7321-D1AF-19F8-C53B5C8DEC62}"/>
            </a:ext>
          </a:extLst>
        </xdr:cNvPr>
        <xdr:cNvCxnSpPr/>
      </xdr:nvCxnSpPr>
      <xdr:spPr>
        <a:xfrm>
          <a:off x="1233715" y="136071"/>
          <a:ext cx="0" cy="870857"/>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19</xdr:col>
      <xdr:colOff>57150</xdr:colOff>
      <xdr:row>39</xdr:row>
      <xdr:rowOff>0</xdr:rowOff>
    </xdr:to>
    <xdr:sp macro="" textlink="">
      <xdr:nvSpPr>
        <xdr:cNvPr id="2" name="AutoShape 3">
          <a:extLst>
            <a:ext uri="{FF2B5EF4-FFF2-40B4-BE49-F238E27FC236}">
              <a16:creationId xmlns:a16="http://schemas.microsoft.com/office/drawing/2014/main" id="{00000000-0008-0000-0400-000002000000}"/>
            </a:ext>
          </a:extLst>
        </xdr:cNvPr>
        <xdr:cNvSpPr>
          <a:spLocks noChangeArrowheads="1"/>
        </xdr:cNvSpPr>
      </xdr:nvSpPr>
      <xdr:spPr bwMode="auto">
        <a:xfrm>
          <a:off x="501650" y="0"/>
          <a:ext cx="26720800" cy="10261600"/>
        </a:xfrm>
        <a:custGeom>
          <a:avLst/>
          <a:gdLst/>
          <a:ahLst/>
          <a:cxnLst/>
          <a:rect l="0" t="0" r="0" b="0"/>
          <a:pathLst/>
        </a:custGeom>
        <a:solidFill>
          <a:srgbClr val="FFFFFF"/>
        </a:solidFill>
        <a:ln w="9525">
          <a:solidFill>
            <a:srgbClr val="000000"/>
          </a:solidFill>
          <a:round/>
          <a:headEnd/>
          <a:tailEnd/>
        </a:ln>
      </xdr:spPr>
    </xdr:sp>
    <xdr:clientData fLocksWithSheet="0"/>
  </xdr:twoCellAnchor>
  <xdr:twoCellAnchor editAs="oneCell">
    <xdr:from>
      <xdr:col>2</xdr:col>
      <xdr:colOff>355410</xdr:colOff>
      <xdr:row>0</xdr:row>
      <xdr:rowOff>14217</xdr:rowOff>
    </xdr:from>
    <xdr:to>
      <xdr:col>2</xdr:col>
      <xdr:colOff>1950848</xdr:colOff>
      <xdr:row>3</xdr:row>
      <xdr:rowOff>0</xdr:rowOff>
    </xdr:to>
    <xdr:pic>
      <xdr:nvPicPr>
        <xdr:cNvPr id="4" name="Imagen 3">
          <a:hlinkClick xmlns:r="http://schemas.openxmlformats.org/officeDocument/2006/relationships" r:id="rId1"/>
          <a:extLst>
            <a:ext uri="{FF2B5EF4-FFF2-40B4-BE49-F238E27FC236}">
              <a16:creationId xmlns:a16="http://schemas.microsoft.com/office/drawing/2014/main" id="{3F16AE2B-5D3B-49F2-B0E7-7B275E33454D}"/>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2857500" y="14217"/>
          <a:ext cx="1592263" cy="1189983"/>
        </a:xfrm>
        <a:prstGeom prst="rect">
          <a:avLst/>
        </a:prstGeom>
      </xdr:spPr>
    </xdr:pic>
    <xdr:clientData/>
  </xdr:twoCellAnchor>
  <xdr:twoCellAnchor editAs="oneCell">
    <xdr:from>
      <xdr:col>0</xdr:col>
      <xdr:colOff>94786</xdr:colOff>
      <xdr:row>1</xdr:row>
      <xdr:rowOff>72977</xdr:rowOff>
    </xdr:from>
    <xdr:to>
      <xdr:col>1</xdr:col>
      <xdr:colOff>655963</xdr:colOff>
      <xdr:row>2</xdr:row>
      <xdr:rowOff>600262</xdr:rowOff>
    </xdr:to>
    <xdr:pic>
      <xdr:nvPicPr>
        <xdr:cNvPr id="6" name="Imagen 5" descr="Logo Image Minhacienda w-100">
          <a:extLst>
            <a:ext uri="{FF2B5EF4-FFF2-40B4-BE49-F238E27FC236}">
              <a16:creationId xmlns:a16="http://schemas.microsoft.com/office/drawing/2014/main" id="{2D83118D-1415-4F42-A107-5BD103F7BEE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4786" y="262529"/>
          <a:ext cx="1069793" cy="7800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825776</xdr:colOff>
      <xdr:row>1</xdr:row>
      <xdr:rowOff>54835</xdr:rowOff>
    </xdr:from>
    <xdr:to>
      <xdr:col>2</xdr:col>
      <xdr:colOff>359473</xdr:colOff>
      <xdr:row>2</xdr:row>
      <xdr:rowOff>582255</xdr:rowOff>
    </xdr:to>
    <xdr:pic>
      <xdr:nvPicPr>
        <xdr:cNvPr id="7" name="Imagen 6" descr="Logotipo, nombre de la empresa&#10;&#10;Descripción generada automáticamente">
          <a:extLst>
            <a:ext uri="{FF2B5EF4-FFF2-40B4-BE49-F238E27FC236}">
              <a16:creationId xmlns:a16="http://schemas.microsoft.com/office/drawing/2014/main" id="{68C57365-4A9F-41A9-A67D-5BA2CEEDD4BB}"/>
            </a:ext>
          </a:extLst>
        </xdr:cNvPr>
        <xdr:cNvPicPr>
          <a:picLocks noChangeAspect="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337567" y="244387"/>
          <a:ext cx="1523996" cy="780141"/>
        </a:xfrm>
        <a:prstGeom prst="rect">
          <a:avLst/>
        </a:prstGeom>
      </xdr:spPr>
    </xdr:pic>
    <xdr:clientData/>
  </xdr:twoCellAnchor>
  <xdr:twoCellAnchor>
    <xdr:from>
      <xdr:col>1</xdr:col>
      <xdr:colOff>735064</xdr:colOff>
      <xdr:row>1</xdr:row>
      <xdr:rowOff>9476</xdr:rowOff>
    </xdr:from>
    <xdr:to>
      <xdr:col>1</xdr:col>
      <xdr:colOff>735064</xdr:colOff>
      <xdr:row>2</xdr:row>
      <xdr:rowOff>624437</xdr:rowOff>
    </xdr:to>
    <xdr:cxnSp macro="">
      <xdr:nvCxnSpPr>
        <xdr:cNvPr id="8" name="Conector recto 7">
          <a:extLst>
            <a:ext uri="{FF2B5EF4-FFF2-40B4-BE49-F238E27FC236}">
              <a16:creationId xmlns:a16="http://schemas.microsoft.com/office/drawing/2014/main" id="{BF7B91EB-ABBD-470D-8596-0F9322B2CE35}"/>
            </a:ext>
          </a:extLst>
        </xdr:cNvPr>
        <xdr:cNvCxnSpPr/>
      </xdr:nvCxnSpPr>
      <xdr:spPr>
        <a:xfrm>
          <a:off x="1246855" y="199028"/>
          <a:ext cx="0" cy="870857"/>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0</xdr:row>
      <xdr:rowOff>0</xdr:rowOff>
    </xdr:from>
    <xdr:to>
      <xdr:col>18</xdr:col>
      <xdr:colOff>57150</xdr:colOff>
      <xdr:row>25</xdr:row>
      <xdr:rowOff>0</xdr:rowOff>
    </xdr:to>
    <xdr:sp macro="" textlink="">
      <xdr:nvSpPr>
        <xdr:cNvPr id="2" name="AutoShape 3">
          <a:extLst>
            <a:ext uri="{FF2B5EF4-FFF2-40B4-BE49-F238E27FC236}">
              <a16:creationId xmlns:a16="http://schemas.microsoft.com/office/drawing/2014/main" id="{00000000-0008-0000-0500-000002000000}"/>
            </a:ext>
          </a:extLst>
        </xdr:cNvPr>
        <xdr:cNvSpPr>
          <a:spLocks noChangeArrowheads="1"/>
        </xdr:cNvSpPr>
      </xdr:nvSpPr>
      <xdr:spPr bwMode="auto">
        <a:xfrm>
          <a:off x="501650" y="0"/>
          <a:ext cx="26720800" cy="10261600"/>
        </a:xfrm>
        <a:custGeom>
          <a:avLst/>
          <a:gdLst/>
          <a:ahLst/>
          <a:cxnLst/>
          <a:rect l="0" t="0" r="0" b="0"/>
          <a:pathLst/>
        </a:custGeom>
        <a:solidFill>
          <a:srgbClr val="FFFFFF"/>
        </a:solidFill>
        <a:ln w="9525">
          <a:solidFill>
            <a:srgbClr val="000000"/>
          </a:solidFill>
          <a:round/>
          <a:headEnd/>
          <a:tailEnd/>
        </a:ln>
      </xdr:spPr>
    </xdr:sp>
    <xdr:clientData fLocksWithSheet="0"/>
  </xdr:twoCellAnchor>
  <xdr:twoCellAnchor editAs="oneCell">
    <xdr:from>
      <xdr:col>2</xdr:col>
      <xdr:colOff>352295</xdr:colOff>
      <xdr:row>0</xdr:row>
      <xdr:rowOff>52192</xdr:rowOff>
    </xdr:from>
    <xdr:to>
      <xdr:col>3</xdr:col>
      <xdr:colOff>1458</xdr:colOff>
      <xdr:row>10</xdr:row>
      <xdr:rowOff>25541</xdr:rowOff>
    </xdr:to>
    <xdr:pic>
      <xdr:nvPicPr>
        <xdr:cNvPr id="4" name="Imagen 3">
          <a:hlinkClick xmlns:r="http://schemas.openxmlformats.org/officeDocument/2006/relationships" r:id="rId1"/>
          <a:extLst>
            <a:ext uri="{FF2B5EF4-FFF2-40B4-BE49-F238E27FC236}">
              <a16:creationId xmlns:a16="http://schemas.microsoft.com/office/drawing/2014/main" id="{6A2FA6B9-102A-4738-9389-79725B2254AA}"/>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2857500" y="52192"/>
          <a:ext cx="1592263" cy="1189983"/>
        </a:xfrm>
        <a:prstGeom prst="rect">
          <a:avLst/>
        </a:prstGeom>
      </xdr:spPr>
    </xdr:pic>
    <xdr:clientData/>
  </xdr:twoCellAnchor>
  <xdr:twoCellAnchor editAs="oneCell">
    <xdr:from>
      <xdr:col>0</xdr:col>
      <xdr:colOff>72572</xdr:colOff>
      <xdr:row>1</xdr:row>
      <xdr:rowOff>63502</xdr:rowOff>
    </xdr:from>
    <xdr:to>
      <xdr:col>1</xdr:col>
      <xdr:colOff>637540</xdr:colOff>
      <xdr:row>2</xdr:row>
      <xdr:rowOff>589508</xdr:rowOff>
    </xdr:to>
    <xdr:pic>
      <xdr:nvPicPr>
        <xdr:cNvPr id="6" name="Imagen 5" descr="Logo Image Minhacienda w-100">
          <a:extLst>
            <a:ext uri="{FF2B5EF4-FFF2-40B4-BE49-F238E27FC236}">
              <a16:creationId xmlns:a16="http://schemas.microsoft.com/office/drawing/2014/main" id="{F40F521A-D48E-415C-95A9-0745AF92A3A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2572" y="254002"/>
          <a:ext cx="1069793" cy="7800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807353</xdr:colOff>
      <xdr:row>1</xdr:row>
      <xdr:rowOff>45360</xdr:rowOff>
    </xdr:from>
    <xdr:to>
      <xdr:col>2</xdr:col>
      <xdr:colOff>332460</xdr:colOff>
      <xdr:row>2</xdr:row>
      <xdr:rowOff>571501</xdr:rowOff>
    </xdr:to>
    <xdr:pic>
      <xdr:nvPicPr>
        <xdr:cNvPr id="7" name="Imagen 6" descr="Logotipo, nombre de la empresa&#10;&#10;Descripción generada automáticamente">
          <a:extLst>
            <a:ext uri="{FF2B5EF4-FFF2-40B4-BE49-F238E27FC236}">
              <a16:creationId xmlns:a16="http://schemas.microsoft.com/office/drawing/2014/main" id="{CF7D6C5E-040C-4202-B74A-A3B9A910E368}"/>
            </a:ext>
          </a:extLst>
        </xdr:cNvPr>
        <xdr:cNvPicPr>
          <a:picLocks noChangeAspect="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315353" y="235860"/>
          <a:ext cx="1523996" cy="780141"/>
        </a:xfrm>
        <a:prstGeom prst="rect">
          <a:avLst/>
        </a:prstGeom>
      </xdr:spPr>
    </xdr:pic>
    <xdr:clientData/>
  </xdr:twoCellAnchor>
  <xdr:twoCellAnchor>
    <xdr:from>
      <xdr:col>1</xdr:col>
      <xdr:colOff>716641</xdr:colOff>
      <xdr:row>1</xdr:row>
      <xdr:rowOff>1</xdr:rowOff>
    </xdr:from>
    <xdr:to>
      <xdr:col>1</xdr:col>
      <xdr:colOff>716641</xdr:colOff>
      <xdr:row>2</xdr:row>
      <xdr:rowOff>616858</xdr:rowOff>
    </xdr:to>
    <xdr:cxnSp macro="">
      <xdr:nvCxnSpPr>
        <xdr:cNvPr id="8" name="Conector recto 7">
          <a:extLst>
            <a:ext uri="{FF2B5EF4-FFF2-40B4-BE49-F238E27FC236}">
              <a16:creationId xmlns:a16="http://schemas.microsoft.com/office/drawing/2014/main" id="{0670A8B4-B524-4CD0-BE03-E253C247FFD5}"/>
            </a:ext>
          </a:extLst>
        </xdr:cNvPr>
        <xdr:cNvCxnSpPr/>
      </xdr:nvCxnSpPr>
      <xdr:spPr>
        <a:xfrm>
          <a:off x="1224641" y="190501"/>
          <a:ext cx="0" cy="870857"/>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3429000</xdr:colOff>
      <xdr:row>0</xdr:row>
      <xdr:rowOff>107950</xdr:rowOff>
    </xdr:from>
    <xdr:to>
      <xdr:col>1</xdr:col>
      <xdr:colOff>0</xdr:colOff>
      <xdr:row>2</xdr:row>
      <xdr:rowOff>446010</xdr:rowOff>
    </xdr:to>
    <xdr:pic>
      <xdr:nvPicPr>
        <xdr:cNvPr id="3" name="Imagen 2">
          <a:hlinkClick xmlns:r="http://schemas.openxmlformats.org/officeDocument/2006/relationships" r:id="rId1"/>
          <a:extLst>
            <a:ext uri="{FF2B5EF4-FFF2-40B4-BE49-F238E27FC236}">
              <a16:creationId xmlns:a16="http://schemas.microsoft.com/office/drawing/2014/main" id="{7DAE9550-5EDF-4FD9-8238-0C95956D089E}"/>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3429000" y="107950"/>
          <a:ext cx="1828800" cy="1350885"/>
        </a:xfrm>
        <a:prstGeom prst="rect">
          <a:avLst/>
        </a:prstGeom>
      </xdr:spPr>
    </xdr:pic>
    <xdr:clientData/>
  </xdr:twoCellAnchor>
  <xdr:twoCellAnchor editAs="oneCell">
    <xdr:from>
      <xdr:col>0</xdr:col>
      <xdr:colOff>330200</xdr:colOff>
      <xdr:row>0</xdr:row>
      <xdr:rowOff>419101</xdr:rowOff>
    </xdr:from>
    <xdr:to>
      <xdr:col>0</xdr:col>
      <xdr:colOff>1403168</xdr:colOff>
      <xdr:row>2</xdr:row>
      <xdr:rowOff>179932</xdr:rowOff>
    </xdr:to>
    <xdr:pic>
      <xdr:nvPicPr>
        <xdr:cNvPr id="5" name="Imagen 4" descr="Logo Image Minhacienda w-100">
          <a:extLst>
            <a:ext uri="{FF2B5EF4-FFF2-40B4-BE49-F238E27FC236}">
              <a16:creationId xmlns:a16="http://schemas.microsoft.com/office/drawing/2014/main" id="{0B8E8D59-F48D-4C5C-80FE-7621DA6542D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30200" y="419101"/>
          <a:ext cx="1069793" cy="7800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1572981</xdr:colOff>
      <xdr:row>0</xdr:row>
      <xdr:rowOff>400959</xdr:rowOff>
    </xdr:from>
    <xdr:to>
      <xdr:col>0</xdr:col>
      <xdr:colOff>3093802</xdr:colOff>
      <xdr:row>2</xdr:row>
      <xdr:rowOff>161925</xdr:rowOff>
    </xdr:to>
    <xdr:pic>
      <xdr:nvPicPr>
        <xdr:cNvPr id="6" name="Imagen 5" descr="Logotipo, nombre de la empresa&#10;&#10;Descripción generada automáticamente">
          <a:extLst>
            <a:ext uri="{FF2B5EF4-FFF2-40B4-BE49-F238E27FC236}">
              <a16:creationId xmlns:a16="http://schemas.microsoft.com/office/drawing/2014/main" id="{BA508112-04E9-42FE-8FDB-95D0E3D12ED9}"/>
            </a:ext>
          </a:extLst>
        </xdr:cNvPr>
        <xdr:cNvPicPr>
          <a:picLocks noChangeAspect="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572981" y="400959"/>
          <a:ext cx="1523996" cy="780141"/>
        </a:xfrm>
        <a:prstGeom prst="rect">
          <a:avLst/>
        </a:prstGeom>
      </xdr:spPr>
    </xdr:pic>
    <xdr:clientData/>
  </xdr:twoCellAnchor>
  <xdr:twoCellAnchor>
    <xdr:from>
      <xdr:col>0</xdr:col>
      <xdr:colOff>1482269</xdr:colOff>
      <xdr:row>0</xdr:row>
      <xdr:rowOff>355600</xdr:rowOff>
    </xdr:from>
    <xdr:to>
      <xdr:col>0</xdr:col>
      <xdr:colOff>1482269</xdr:colOff>
      <xdr:row>2</xdr:row>
      <xdr:rowOff>210457</xdr:rowOff>
    </xdr:to>
    <xdr:cxnSp macro="">
      <xdr:nvCxnSpPr>
        <xdr:cNvPr id="7" name="Conector recto 6">
          <a:extLst>
            <a:ext uri="{FF2B5EF4-FFF2-40B4-BE49-F238E27FC236}">
              <a16:creationId xmlns:a16="http://schemas.microsoft.com/office/drawing/2014/main" id="{15D3E453-E2E6-4782-AAC8-1DA90742DF3A}"/>
            </a:ext>
          </a:extLst>
        </xdr:cNvPr>
        <xdr:cNvCxnSpPr/>
      </xdr:nvCxnSpPr>
      <xdr:spPr>
        <a:xfrm>
          <a:off x="1482269" y="355600"/>
          <a:ext cx="0" cy="870857"/>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0</xdr:row>
      <xdr:rowOff>0</xdr:rowOff>
    </xdr:from>
    <xdr:to>
      <xdr:col>17</xdr:col>
      <xdr:colOff>57150</xdr:colOff>
      <xdr:row>21</xdr:row>
      <xdr:rowOff>0</xdr:rowOff>
    </xdr:to>
    <xdr:sp macro="" textlink="">
      <xdr:nvSpPr>
        <xdr:cNvPr id="2" name="AutoShape 3">
          <a:extLst>
            <a:ext uri="{FF2B5EF4-FFF2-40B4-BE49-F238E27FC236}">
              <a16:creationId xmlns:a16="http://schemas.microsoft.com/office/drawing/2014/main" id="{00000000-0008-0000-0700-000002000000}"/>
            </a:ext>
          </a:extLst>
        </xdr:cNvPr>
        <xdr:cNvSpPr>
          <a:spLocks noChangeArrowheads="1"/>
        </xdr:cNvSpPr>
      </xdr:nvSpPr>
      <xdr:spPr bwMode="auto">
        <a:xfrm>
          <a:off x="501650" y="0"/>
          <a:ext cx="26720800" cy="9321800"/>
        </a:xfrm>
        <a:custGeom>
          <a:avLst/>
          <a:gdLst/>
          <a:ahLst/>
          <a:cxnLst/>
          <a:rect l="0" t="0" r="0" b="0"/>
          <a:pathLst/>
        </a:custGeom>
        <a:solidFill>
          <a:srgbClr val="FFFFFF"/>
        </a:solidFill>
        <a:ln w="9525">
          <a:solidFill>
            <a:srgbClr val="000000"/>
          </a:solidFill>
          <a:round/>
          <a:headEnd/>
          <a:tailEnd/>
        </a:ln>
      </xdr:spPr>
    </xdr:sp>
    <xdr:clientData fLocksWithSheet="0"/>
  </xdr:twoCellAnchor>
  <xdr:twoCellAnchor editAs="oneCell">
    <xdr:from>
      <xdr:col>2</xdr:col>
      <xdr:colOff>664243</xdr:colOff>
      <xdr:row>0</xdr:row>
      <xdr:rowOff>25066</xdr:rowOff>
    </xdr:from>
    <xdr:to>
      <xdr:col>2</xdr:col>
      <xdr:colOff>2259681</xdr:colOff>
      <xdr:row>3</xdr:row>
      <xdr:rowOff>0</xdr:rowOff>
    </xdr:to>
    <xdr:pic>
      <xdr:nvPicPr>
        <xdr:cNvPr id="4" name="Imagen 3">
          <a:hlinkClick xmlns:r="http://schemas.openxmlformats.org/officeDocument/2006/relationships" r:id="rId1"/>
          <a:extLst>
            <a:ext uri="{FF2B5EF4-FFF2-40B4-BE49-F238E27FC236}">
              <a16:creationId xmlns:a16="http://schemas.microsoft.com/office/drawing/2014/main" id="{2964F791-DD9C-40EF-A406-F27A059B9B6A}"/>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3158289" y="25066"/>
          <a:ext cx="1589088" cy="1199508"/>
        </a:xfrm>
        <a:prstGeom prst="rect">
          <a:avLst/>
        </a:prstGeom>
      </xdr:spPr>
    </xdr:pic>
    <xdr:clientData/>
  </xdr:twoCellAnchor>
  <xdr:twoCellAnchor editAs="oneCell">
    <xdr:from>
      <xdr:col>0</xdr:col>
      <xdr:colOff>116973</xdr:colOff>
      <xdr:row>1</xdr:row>
      <xdr:rowOff>55146</xdr:rowOff>
    </xdr:from>
    <xdr:to>
      <xdr:col>1</xdr:col>
      <xdr:colOff>677095</xdr:colOff>
      <xdr:row>2</xdr:row>
      <xdr:rowOff>578144</xdr:rowOff>
    </xdr:to>
    <xdr:pic>
      <xdr:nvPicPr>
        <xdr:cNvPr id="6" name="Imagen 5" descr="Logo Image Minhacienda w-100">
          <a:extLst>
            <a:ext uri="{FF2B5EF4-FFF2-40B4-BE49-F238E27FC236}">
              <a16:creationId xmlns:a16="http://schemas.microsoft.com/office/drawing/2014/main" id="{BD014CA3-E192-4036-BB4A-6813E26D06F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6973" y="247317"/>
          <a:ext cx="1069793" cy="7800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850083</xdr:colOff>
      <xdr:row>1</xdr:row>
      <xdr:rowOff>37004</xdr:rowOff>
    </xdr:from>
    <xdr:to>
      <xdr:col>1</xdr:col>
      <xdr:colOff>2371071</xdr:colOff>
      <xdr:row>2</xdr:row>
      <xdr:rowOff>560137</xdr:rowOff>
    </xdr:to>
    <xdr:pic>
      <xdr:nvPicPr>
        <xdr:cNvPr id="7" name="Imagen 6" descr="Logotipo, nombre de la empresa&#10;&#10;Descripción generada automáticamente">
          <a:extLst>
            <a:ext uri="{FF2B5EF4-FFF2-40B4-BE49-F238E27FC236}">
              <a16:creationId xmlns:a16="http://schemas.microsoft.com/office/drawing/2014/main" id="{B3FC58B7-E598-4B9A-84E5-C210DB44F80C}"/>
            </a:ext>
          </a:extLst>
        </xdr:cNvPr>
        <xdr:cNvPicPr>
          <a:picLocks noChangeAspect="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359754" y="229175"/>
          <a:ext cx="1523996" cy="780141"/>
        </a:xfrm>
        <a:prstGeom prst="rect">
          <a:avLst/>
        </a:prstGeom>
      </xdr:spPr>
    </xdr:pic>
    <xdr:clientData/>
  </xdr:twoCellAnchor>
  <xdr:twoCellAnchor>
    <xdr:from>
      <xdr:col>1</xdr:col>
      <xdr:colOff>759371</xdr:colOff>
      <xdr:row>0</xdr:row>
      <xdr:rowOff>183816</xdr:rowOff>
    </xdr:from>
    <xdr:to>
      <xdr:col>1</xdr:col>
      <xdr:colOff>759371</xdr:colOff>
      <xdr:row>2</xdr:row>
      <xdr:rowOff>611844</xdr:rowOff>
    </xdr:to>
    <xdr:cxnSp macro="">
      <xdr:nvCxnSpPr>
        <xdr:cNvPr id="8" name="Conector recto 7">
          <a:extLst>
            <a:ext uri="{FF2B5EF4-FFF2-40B4-BE49-F238E27FC236}">
              <a16:creationId xmlns:a16="http://schemas.microsoft.com/office/drawing/2014/main" id="{FD88D331-0280-4980-AAD3-44C7F3A7564A}"/>
            </a:ext>
          </a:extLst>
        </xdr:cNvPr>
        <xdr:cNvCxnSpPr/>
      </xdr:nvCxnSpPr>
      <xdr:spPr>
        <a:xfrm>
          <a:off x="1269042" y="183816"/>
          <a:ext cx="0" cy="870857"/>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0</xdr:row>
      <xdr:rowOff>0</xdr:rowOff>
    </xdr:from>
    <xdr:to>
      <xdr:col>24</xdr:col>
      <xdr:colOff>57150</xdr:colOff>
      <xdr:row>33</xdr:row>
      <xdr:rowOff>0</xdr:rowOff>
    </xdr:to>
    <xdr:sp macro="" textlink="">
      <xdr:nvSpPr>
        <xdr:cNvPr id="2" name="AutoShape 3">
          <a:extLst>
            <a:ext uri="{FF2B5EF4-FFF2-40B4-BE49-F238E27FC236}">
              <a16:creationId xmlns:a16="http://schemas.microsoft.com/office/drawing/2014/main" id="{00000000-0008-0000-0800-000002000000}"/>
            </a:ext>
          </a:extLst>
        </xdr:cNvPr>
        <xdr:cNvSpPr>
          <a:spLocks noChangeArrowheads="1"/>
        </xdr:cNvSpPr>
      </xdr:nvSpPr>
      <xdr:spPr bwMode="auto">
        <a:xfrm>
          <a:off x="501650" y="0"/>
          <a:ext cx="26720800" cy="10261600"/>
        </a:xfrm>
        <a:custGeom>
          <a:avLst/>
          <a:gdLst/>
          <a:ahLst/>
          <a:cxnLst/>
          <a:rect l="0" t="0" r="0" b="0"/>
          <a:pathLst/>
        </a:custGeom>
        <a:solidFill>
          <a:srgbClr val="FFFFFF"/>
        </a:solidFill>
        <a:ln w="9525">
          <a:solidFill>
            <a:srgbClr val="000000"/>
          </a:solidFill>
          <a:round/>
          <a:headEnd/>
          <a:tailEnd/>
        </a:ln>
      </xdr:spPr>
    </xdr:sp>
    <xdr:clientData fLocksWithSheet="0"/>
  </xdr:twoCellAnchor>
  <xdr:twoCellAnchor editAs="oneCell">
    <xdr:from>
      <xdr:col>2</xdr:col>
      <xdr:colOff>317370</xdr:colOff>
      <xdr:row>0</xdr:row>
      <xdr:rowOff>58318</xdr:rowOff>
    </xdr:from>
    <xdr:to>
      <xdr:col>2</xdr:col>
      <xdr:colOff>1893758</xdr:colOff>
      <xdr:row>10</xdr:row>
      <xdr:rowOff>38878</xdr:rowOff>
    </xdr:to>
    <xdr:pic>
      <xdr:nvPicPr>
        <xdr:cNvPr id="4" name="Imagen 3">
          <a:hlinkClick xmlns:r="http://schemas.openxmlformats.org/officeDocument/2006/relationships" r:id="rId1"/>
          <a:extLst>
            <a:ext uri="{FF2B5EF4-FFF2-40B4-BE49-F238E27FC236}">
              <a16:creationId xmlns:a16="http://schemas.microsoft.com/office/drawing/2014/main" id="{027706EA-D977-4CFF-A8E1-C1F300256635}"/>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2805533" y="58318"/>
          <a:ext cx="1576388" cy="1185764"/>
        </a:xfrm>
        <a:prstGeom prst="rect">
          <a:avLst/>
        </a:prstGeom>
      </xdr:spPr>
    </xdr:pic>
    <xdr:clientData/>
  </xdr:twoCellAnchor>
  <xdr:twoCellAnchor editAs="oneCell">
    <xdr:from>
      <xdr:col>0</xdr:col>
      <xdr:colOff>103674</xdr:colOff>
      <xdr:row>1</xdr:row>
      <xdr:rowOff>63502</xdr:rowOff>
    </xdr:from>
    <xdr:to>
      <xdr:col>1</xdr:col>
      <xdr:colOff>668059</xdr:colOff>
      <xdr:row>2</xdr:row>
      <xdr:rowOff>577975</xdr:rowOff>
    </xdr:to>
    <xdr:pic>
      <xdr:nvPicPr>
        <xdr:cNvPr id="6" name="Imagen 5" descr="Logo Image Minhacienda w-100">
          <a:extLst>
            <a:ext uri="{FF2B5EF4-FFF2-40B4-BE49-F238E27FC236}">
              <a16:creationId xmlns:a16="http://schemas.microsoft.com/office/drawing/2014/main" id="{301EAF88-5B73-40D1-83E7-953B128C756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3674" y="257890"/>
          <a:ext cx="1069793" cy="7800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841047</xdr:colOff>
      <xdr:row>1</xdr:row>
      <xdr:rowOff>45360</xdr:rowOff>
    </xdr:from>
    <xdr:to>
      <xdr:col>1</xdr:col>
      <xdr:colOff>2363229</xdr:colOff>
      <xdr:row>2</xdr:row>
      <xdr:rowOff>559968</xdr:rowOff>
    </xdr:to>
    <xdr:pic>
      <xdr:nvPicPr>
        <xdr:cNvPr id="7" name="Imagen 6" descr="Logotipo, nombre de la empresa&#10;&#10;Descripción generada automáticamente">
          <a:extLst>
            <a:ext uri="{FF2B5EF4-FFF2-40B4-BE49-F238E27FC236}">
              <a16:creationId xmlns:a16="http://schemas.microsoft.com/office/drawing/2014/main" id="{D97C90FA-99A7-456A-9E30-82EA7E3C5EB9}"/>
            </a:ext>
          </a:extLst>
        </xdr:cNvPr>
        <xdr:cNvPicPr>
          <a:picLocks noChangeAspect="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346455" y="239748"/>
          <a:ext cx="1523996" cy="780141"/>
        </a:xfrm>
        <a:prstGeom prst="rect">
          <a:avLst/>
        </a:prstGeom>
      </xdr:spPr>
    </xdr:pic>
    <xdr:clientData/>
  </xdr:twoCellAnchor>
  <xdr:twoCellAnchor>
    <xdr:from>
      <xdr:col>1</xdr:col>
      <xdr:colOff>750335</xdr:colOff>
      <xdr:row>1</xdr:row>
      <xdr:rowOff>1</xdr:rowOff>
    </xdr:from>
    <xdr:to>
      <xdr:col>1</xdr:col>
      <xdr:colOff>750335</xdr:colOff>
      <xdr:row>2</xdr:row>
      <xdr:rowOff>611675</xdr:rowOff>
    </xdr:to>
    <xdr:cxnSp macro="">
      <xdr:nvCxnSpPr>
        <xdr:cNvPr id="8" name="Conector recto 7">
          <a:extLst>
            <a:ext uri="{FF2B5EF4-FFF2-40B4-BE49-F238E27FC236}">
              <a16:creationId xmlns:a16="http://schemas.microsoft.com/office/drawing/2014/main" id="{6F4363A0-F428-4019-8958-B401E05C23AE}"/>
            </a:ext>
          </a:extLst>
        </xdr:cNvPr>
        <xdr:cNvCxnSpPr/>
      </xdr:nvCxnSpPr>
      <xdr:spPr>
        <a:xfrm>
          <a:off x="1255743" y="194389"/>
          <a:ext cx="0" cy="870857"/>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oralesis\AppData\Local\Microsoft\Windows\INetCache\Content.Outlook\CRWIZJQI\PLAN_ANUAL_DE_ADQUISICIONES_2026%20(21%20ene%202026)._.xlsx" TargetMode="External"/><Relationship Id="rId1" Type="http://schemas.openxmlformats.org/officeDocument/2006/relationships/externalLinkPath" Target="file:///C:\Users\moralesis\AppData\Local\Microsoft\Windows\INetCache\Content.Outlook\CRWIZJQI\PLAN_ANUAL_DE_ADQUISICIONES_2026%20(21%20ene%202026)._.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PAA 2026"/>
      <sheetName val="Listas"/>
      <sheetName val="Código UNSPSC"/>
      <sheetName val="Valores"/>
      <sheetName val="PLAN_ANUAL_DE_ADQUISICIONES_202"/>
    </sheetNames>
    <sheetDataSet>
      <sheetData sheetId="0"/>
      <sheetData sheetId="1">
        <row r="2">
          <cell r="L2" t="str">
            <v>SI</v>
          </cell>
        </row>
        <row r="3">
          <cell r="L3" t="str">
            <v>NO</v>
          </cell>
        </row>
      </sheetData>
      <sheetData sheetId="2"/>
      <sheetData sheetId="3"/>
      <sheetData sheetId="4" refreshError="1"/>
    </sheetDataSet>
  </externalBook>
</externalLink>
</file>

<file path=xl/persons/person.xml><?xml version="1.0" encoding="utf-8"?>
<personList xmlns="http://schemas.microsoft.com/office/spreadsheetml/2018/threadedcomments" xmlns:x="http://schemas.openxmlformats.org/spreadsheetml/2006/main">
  <person displayName="ANDREA VANESSA CAMACHO" id="{D4D22452-A1FD-4768-A29C-34F7CA892099}" userId="S::ANDREA.CAMACHO@PREVISORA.GOV.CO::8b20ced5-0960-4061-9e00-5da7c68b188b"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Q40" dT="2026-01-15T01:33:32.10" personId="{D4D22452-A1FD-4768-A29C-34F7CA892099}" id="{EFDD2E76-1681-4109-9DB5-A6F57DC4FED7}">
    <text>Valor presupuesto inferior al valor total del contrato, revisar.</text>
  </threadedComment>
  <threadedComment ref="F50" dT="2026-01-14T19:02:05.13" personId="{D4D22452-A1FD-4768-A29C-34F7CA892099}" id="{FDBE4230-ECD8-4BB2-B93F-CBFD26534360}">
    <text>Por favor confirmar necesidad, ya que la línea esta repetida con la siguiente, definir cual se deja.  Además, el contrato 066-2025 tiene prorroga hasta el 31 de dic 2026.</text>
  </threadedComment>
  <threadedComment ref="F51" dT="2026-01-14T19:02:17.42" personId="{D4D22452-A1FD-4768-A29C-34F7CA892099}" id="{6C22B3C8-F348-4757-A1E7-5EA167090EA6}">
    <text>Por favor confirmar necesidad, ya que la línea esta repetida con la anterior, definir cual se deja.  Además, el contrato 066-2025 tiene prorroga hasta el 31 de dic 2026.</text>
  </threadedComment>
  <threadedComment ref="Q52" dT="2026-01-15T01:33:39.14" personId="{D4D22452-A1FD-4768-A29C-34F7CA892099}" id="{60472DEB-B3CC-4C50-91DC-9161ECEBDB5F}">
    <text>Valor presupuesto superior al valor total del contrato, revisar.</text>
  </threadedComment>
  <threadedComment ref="F55" dT="2026-01-21T15:14:19.92" personId="{D4D22452-A1FD-4768-A29C-34F7CA892099}" id="{9CC84503-5525-452D-BEEF-4998724CAD0C}">
    <text>Validar posible duplicada</text>
  </threadedComment>
  <threadedComment ref="F56" dT="2026-01-21T15:14:19.92" personId="{D4D22452-A1FD-4768-A29C-34F7CA892099}" id="{CE3A7BF7-1721-461E-A047-A749561C89F9}">
    <text>Validar posible duplicada</text>
  </threadedComment>
  <threadedComment ref="F57" dT="2026-01-21T15:15:21.88" personId="{D4D22452-A1FD-4768-A29C-34F7CA892099}" id="{2988BC93-04B7-43D8-9A8A-59E960DD2265}">
    <text>Validar posible duplicada</text>
  </threadedComment>
  <threadedComment ref="F58" dT="2026-01-21T15:15:21.88" personId="{D4D22452-A1FD-4768-A29C-34F7CA892099}" id="{E9511BB5-9696-4541-A72A-E193F60ED180}">
    <text>Validar posible duplicada</text>
  </threadedComment>
  <threadedComment ref="J59" dT="2026-01-15T00:44:45.64" personId="{D4D22452-A1FD-4768-A29C-34F7CA892099}" id="{A938AC0A-A327-44B8-A519-FCD40A43B945}">
    <text>Confirmar modalidad por valor contratación - Corresponde a una Cerrada</text>
  </threadedComment>
  <threadedComment ref="Q63" dT="2026-01-15T01:22:45.33" personId="{D4D22452-A1FD-4768-A29C-34F7CA892099}" id="{06D4F58F-3838-42B6-B83C-0E0F91C0BAD3}">
    <text>Indicar presupuesto para todas los vigencias.</text>
  </threadedComment>
  <threadedComment ref="R63" dT="2026-01-15T01:22:45.33" personId="{D4D22452-A1FD-4768-A29C-34F7CA892099}" id="{8A3B6FBC-BDDF-4613-8D62-0EC93D39FB7E}">
    <text>Indicar presupuesto para todas los vigencias.</text>
  </threadedComment>
  <threadedComment ref="S63" dT="2026-01-15T01:22:45.33" personId="{D4D22452-A1FD-4768-A29C-34F7CA892099}" id="{0A4476A0-1B9D-43C9-9F98-C7F9926E1746}">
    <text>Indicar presupuesto para todas los vigencias.</text>
  </threadedComment>
  <threadedComment ref="T63" dT="2026-01-15T01:22:45.33" personId="{D4D22452-A1FD-4768-A29C-34F7CA892099}" id="{797F2E71-0B20-4E2F-B6FF-8AF08B64CF93}">
    <text>Indicar presupuesto para todas los vigencias.</text>
  </threadedComment>
  <threadedComment ref="J146" dT="2026-01-22T01:28:31.95" personId="{D4D22452-A1FD-4768-A29C-34F7CA892099}" id="{6AA85ED0-1FF5-4A1C-ABB5-EF9D30CBEC27}">
    <text>Validar modalidad, 2 líneas.</text>
  </threadedComment>
  <threadedComment ref="H147" dT="2026-01-22T01:15:37.93" personId="{D4D22452-A1FD-4768-A29C-34F7CA892099}" id="{FD27F4AA-5320-43C2-8ED7-48CEE493E1B1}">
    <text>Error cronológico.</text>
  </threadedComment>
  <threadedComment ref="J147" dT="2026-01-22T01:28:31.95" personId="{D4D22452-A1FD-4768-A29C-34F7CA892099}" id="{96FD8CC7-9077-4657-A45A-BB38AB8993B0}">
    <text>Validar modalidad, 2 líneas.</text>
  </threadedComment>
  <threadedComment ref="L148" dT="2026-01-22T01:56:41.22" personId="{D4D22452-A1FD-4768-A29C-34F7CA892099}" id="{F9E1E91D-65F6-4DD9-84A7-C017C8A42DA7}">
    <text>Iva no 19%</text>
  </threadedComment>
  <threadedComment ref="J149" dT="2026-01-21T21:09:10.98" personId="{D4D22452-A1FD-4768-A29C-34F7CA892099}" id="{17BBD044-34E4-4907-807C-269567394421}">
    <text>Validar modalidad</text>
  </threadedComment>
  <threadedComment ref="R149" dT="2026-01-22T01:46:03.14" personId="{D4D22452-A1FD-4768-A29C-34F7CA892099}" id="{318A3977-1E7D-42C9-BE92-2DA66B631404}">
    <text>Revisar presupuesto</text>
  </threadedComment>
  <threadedComment ref="J154" dT="2026-01-21T21:09:10.98" personId="{D4D22452-A1FD-4768-A29C-34F7CA892099}" id="{C5D1D2FE-DEF5-40CA-AF56-3803A866041A}">
    <text>Validar modalidad</text>
  </threadedComment>
  <threadedComment ref="J165" dT="2026-01-22T01:29:24.40" personId="{D4D22452-A1FD-4768-A29C-34F7CA892099}" id="{33D88D3F-AC54-41FF-8D95-0D14B7463BB2}">
    <text>Abierta</text>
  </threadedComment>
  <threadedComment ref="O165" dT="2026-01-22T01:49:02.11" personId="{D4D22452-A1FD-4768-A29C-34F7CA892099}" id="{99063E06-E78F-405C-932A-B94BBCC2A7C3}">
    <text>Si vigencias futuras</text>
  </threadedComment>
  <threadedComment ref="Q229" dT="2026-01-20T04:09:43.64" personId="{D4D22452-A1FD-4768-A29C-34F7CA892099}" id="{3AE66A30-ED6D-4AB2-A920-6832F34AFD60}">
    <text>No coincide valor total contrato</text>
  </threadedComment>
  <threadedComment ref="H231" dT="2026-01-22T01:17:30.29" personId="{D4D22452-A1FD-4768-A29C-34F7CA892099}" id="{D5DF7BAA-ECFA-49DF-BA57-C98748B53892}">
    <text>Corregir cronológicamente</text>
  </threadedComment>
  <threadedComment ref="M233" dT="2026-01-07T05:02:10.40" personId="{D4D22452-A1FD-4768-A29C-34F7CA892099}" id="{3BCFED9C-266B-4060-BB21-9DD1102563A7}">
    <text>Revisar valor IVA ya que no corresponde al 19% diligenciado.</text>
  </threadedComment>
  <threadedComment ref="F236" dT="2026-01-07T04:51:50.51" personId="{D4D22452-A1FD-4768-A29C-34F7CA892099}" id="{B0770859-AB79-4BCB-8078-BD470758BDDD}">
    <text>Validar si deben incluir la línea en PAA 2026 ya que contrato firmado en dic 2025 con objeto similar, tiene vigencia hasta dic 2028.</text>
  </threadedComment>
  <threadedComment ref="G236" dT="2026-01-07T04:52:26.33" personId="{D4D22452-A1FD-4768-A29C-34F7CA892099}" id="{268E5C35-BF71-41CD-92DE-441660DC7659}">
    <text>Corregir columna H - I,  ya que la información está errónea cronológicamente, tener en cuenta Ley de Garantías.</text>
  </threadedComment>
  <threadedComment ref="H236" dT="2026-01-07T04:52:32.89" personId="{D4D22452-A1FD-4768-A29C-34F7CA892099}" id="{5CA86924-637A-437A-A86A-9A14FD23EA76}">
    <text>Corregir columna H - I,  ya que la información está errónea cronológicamente, tener en cuenta Ley de Garantías.</text>
  </threadedComment>
  <threadedComment ref="H241" dT="2026-01-22T01:17:30.29" personId="{D4D22452-A1FD-4768-A29C-34F7CA892099}" id="{AE04BE33-8227-4237-86C8-20E6DD2D22AB}">
    <text>Corregir cronológicamente</text>
  </threadedComment>
  <threadedComment ref="Q243" dT="2026-01-07T05:17:12.54" personId="{D4D22452-A1FD-4768-A29C-34F7CA892099}" id="{AE23FCAA-2369-4A3B-B530-AC9C38B384DB}">
    <text>Valor presupuesto vigencias superior al valor total del contrato, revisar.</text>
  </threadedComment>
  <threadedComment ref="J264" dT="2026-01-07T15:50:31.19" personId="{D4D22452-A1FD-4768-A29C-34F7CA892099}" id="{54014E91-A265-4C39-A777-8BB789EF4024}">
    <text>Confirmar modalidad por valor contratación - Corresponde a una Simplificada</text>
  </threadedComment>
  <threadedComment ref="J268" dT="2026-01-22T01:27:01.42" personId="{D4D22452-A1FD-4768-A29C-34F7CA892099}" id="{3113AD6A-E145-4823-B866-69E273EC93D2}">
    <text>Simplificada</text>
  </threadedComment>
  <threadedComment ref="J277" dT="2026-01-07T15:50:31.19" personId="{D4D22452-A1FD-4768-A29C-34F7CA892099}" id="{2036E619-D42A-46AF-9480-68CD73231305}">
    <text>Confirmar modalidad por valor contratación - Corresponde a una Simplificada</text>
  </threadedComment>
  <threadedComment ref="J278" dT="2026-01-07T15:50:31.19" personId="{D4D22452-A1FD-4768-A29C-34F7CA892099}" id="{79B7DF49-E3A7-43E5-8C50-68636BBCC1A9}">
    <text>Confirmar modalidad por valor contratación - Corresponde a una Simplificada</text>
  </threadedComment>
  <threadedComment ref="J280" dT="2026-01-07T15:50:31.19" personId="{D4D22452-A1FD-4768-A29C-34F7CA892099}" id="{310695E7-DE97-436D-9D30-86251A109F64}">
    <text>Validar modalidad por valor contratación - Simplificada</text>
  </threadedComment>
  <threadedComment ref="J281" dT="2026-01-07T15:50:31.19" personId="{D4D22452-A1FD-4768-A29C-34F7CA892099}" id="{7EEF0212-78AD-45AC-BFF0-8999B37DEBEB}">
    <text>Validar modalidad por valor contratación - Simplificada</text>
  </threadedComment>
  <threadedComment ref="J282" dT="2026-01-07T15:50:31.19" personId="{D4D22452-A1FD-4768-A29C-34F7CA892099}" id="{BCF65B7A-6C95-47DC-B21B-F42906AE0BD5}">
    <text>Validar modalidad por valor contratación - Simplificada</text>
  </threadedComment>
  <threadedComment ref="J312" dT="2026-01-07T15:50:31.19" personId="{D4D22452-A1FD-4768-A29C-34F7CA892099}" id="{202CC4BE-7835-4DD4-9EDE-BCF1FF757373}">
    <text>Validar modalidad por valor contratación - Simplificada</text>
  </threadedComment>
  <threadedComment ref="J351" dT="2026-01-22T01:24:47.45" personId="{D4D22452-A1FD-4768-A29C-34F7CA892099}" id="{24C0C8CA-C08B-4D45-8194-BD291D8483EB}">
    <text>Directa</text>
  </threadedComment>
  <threadedComment ref="J357" dT="2026-01-07T15:50:31.19" personId="{D4D22452-A1FD-4768-A29C-34F7CA892099}" id="{5D699AEA-919F-4672-B8A1-C1C050E2A088}">
    <text>Validar modalidad por valor contratación - Simplificada</text>
  </threadedComment>
  <threadedComment ref="J358" dT="2026-01-07T15:50:31.19" personId="{D4D22452-A1FD-4768-A29C-34F7CA892099}" id="{FCCBA512-2320-4732-A9D4-BD1D6269A3A1}">
    <text>Validar modalidad por valor contratación - Simplificada</text>
  </threadedComment>
  <threadedComment ref="J359" dT="2026-01-07T15:50:31.19" personId="{D4D22452-A1FD-4768-A29C-34F7CA892099}" id="{CF21A15C-8665-4EC7-97E3-0B704739F602}">
    <text>Validar modalidad por valor contratación - Simplificada</text>
  </threadedComment>
  <threadedComment ref="J361" dT="2026-01-07T15:50:31.19" personId="{D4D22452-A1FD-4768-A29C-34F7CA892099}" id="{3F44EDB2-53C1-4A06-9CB7-5382349ADFD5}">
    <text>Validar modalidad por valor contratación - Simplificada</text>
  </threadedComment>
  <threadedComment ref="J363" dT="2026-01-07T15:50:31.19" personId="{D4D22452-A1FD-4768-A29C-34F7CA892099}" id="{D899FEF7-5839-4DE4-B7F4-190538ACDE34}">
    <text>Validar modalidad por valor contratación - Simplificada</text>
  </threadedComment>
  <threadedComment ref="J364" dT="2026-01-07T15:50:31.19" personId="{D4D22452-A1FD-4768-A29C-34F7CA892099}" id="{E19DA574-6C77-4BF1-BE79-18545CD2C0F8}">
    <text>Validar modalidad por valor contratación - Simplificada</text>
  </threadedComment>
  <threadedComment ref="J365" dT="2026-01-07T15:50:31.19" personId="{D4D22452-A1FD-4768-A29C-34F7CA892099}" id="{8F0D019A-2902-4CC3-A082-5B7553BA2E20}">
    <text>Validar modalidad por valor contratación - Simplificada</text>
  </threadedComment>
  <threadedComment ref="J366" dT="2026-01-07T15:50:31.19" personId="{D4D22452-A1FD-4768-A29C-34F7CA892099}" id="{2766CF86-3536-42AA-9B35-ECDC7513F4F3}">
    <text>Validar modalidad por valor contratación - Simplificada</text>
  </threadedComment>
  <threadedComment ref="J367" dT="2026-01-07T15:50:31.19" personId="{D4D22452-A1FD-4768-A29C-34F7CA892099}" id="{D548C541-7CD2-406E-AC15-3D6C14250699}">
    <text>Validar modalidad por valor contratación - Simplificada</text>
  </threadedComment>
  <threadedComment ref="J369" dT="2026-01-07T15:50:31.19" personId="{D4D22452-A1FD-4768-A29C-34F7CA892099}" id="{E39CC03C-2575-46F9-80CE-D7814B77DC4A}">
    <text>Validar modalidad por valor contratación - Simplificada</text>
  </threadedComment>
  <threadedComment ref="J375" dT="2026-01-07T15:50:31.19" personId="{D4D22452-A1FD-4768-A29C-34F7CA892099}" id="{BCE6293F-3E58-47CD-A570-E12F76EE2984}">
    <text>Validar modalidad por valor contratación - Simplificada</text>
  </threadedComment>
  <threadedComment ref="J384" dT="2026-01-22T01:35:14.65" personId="{D4D22452-A1FD-4768-A29C-34F7CA892099}" id="{B122B3C2-24EC-4242-970D-993E7B8697CF}">
    <text>Cerrada</text>
  </threadedComment>
  <threadedComment ref="J385" dT="2026-01-22T01:35:14.65" personId="{D4D22452-A1FD-4768-A29C-34F7CA892099}" id="{31229157-D3CE-478C-9797-335B0C422B66}">
    <text>Cerrada</text>
  </threadedComment>
  <threadedComment ref="F400" dT="2026-01-07T19:38:49.78" personId="{D4D22452-A1FD-4768-A29C-34F7CA892099}" id="{AF2CA3BA-F780-4AF3-9BF1-7426A578591A}">
    <text>Confirmar si la necesidad se incluye en PAA 2026 y validar información línea</text>
  </threadedComment>
  <threadedComment ref="J438" dT="2026-01-07T15:50:31.19" personId="{D4D22452-A1FD-4768-A29C-34F7CA892099}" id="{61D19B68-A283-4FB2-B96A-DECC7E2E4745}">
    <text>Validar modalidad por valor contratación - Simplificada</text>
  </threadedComment>
  <threadedComment ref="J439" dT="2026-01-07T15:50:31.19" personId="{D4D22452-A1FD-4768-A29C-34F7CA892099}" id="{662C09D7-4480-463B-A4A8-F1D58F0903B0}">
    <text>Validar modalidad por valor contratación - Simplificada</text>
  </threadedComment>
  <threadedComment ref="J440" dT="2026-01-07T15:50:31.19" personId="{D4D22452-A1FD-4768-A29C-34F7CA892099}" id="{39272659-8E77-472D-B685-5948CD830BBA}">
    <text>Validar modalidad por valor contratación - Simplificada</text>
  </threadedComment>
  <threadedComment ref="J441" dT="2026-01-07T15:50:31.19" personId="{D4D22452-A1FD-4768-A29C-34F7CA892099}" id="{A21C179F-155A-4AF1-8D75-B38AE495C053}">
    <text>Validar modalidad por valor contratación - Simplificada</text>
  </threadedComment>
  <threadedComment ref="J442" dT="2026-01-07T15:50:31.19" personId="{D4D22452-A1FD-4768-A29C-34F7CA892099}" id="{98AE2B21-F1AD-46DB-B385-98A2C4590CC2}">
    <text>Validar modalidad por valor contratación - Simplificada</text>
  </threadedComment>
  <threadedComment ref="F453" dT="2026-01-14T18:56:21.03" personId="{D4D22452-A1FD-4768-A29C-34F7CA892099}" id="{549786A6-18C6-412A-BCF3-66FBB87573A4}">
    <text>Por favor confirmar necesidad, ya que la línea puede estar repetida con “Adecuación oficinas Tunja” en PAA de la Subgerencia de Recursos Físicos, definir cual se deja y/o unificar.</text>
  </threadedComment>
  <threadedComment ref="J453" dT="2026-01-22T01:35:14.65" personId="{D4D22452-A1FD-4768-A29C-34F7CA892099}" id="{7761E4A5-58A8-4020-8B93-BB85799C0AB4}">
    <text>Cerrada</text>
  </threadedComment>
  <threadedComment ref="J458" dT="2026-01-22T01:35:14.65" personId="{D4D22452-A1FD-4768-A29C-34F7CA892099}" id="{D8F9B61E-86A6-4FEE-AA0B-4B00B2648F53}">
    <text>Cerrada</text>
  </threadedComment>
  <threadedComment ref="F460" dT="2026-01-07T15:32:03.46" personId="{D4D22452-A1FD-4768-A29C-34F7CA892099}" id="{8AF3752B-C293-4BD9-A386-B59F4ED1B165}">
    <text>Confirmar si la necesidad se incluye en PAA 2026 y validar información línea</text>
  </threadedComment>
  <threadedComment ref="J460" dT="2026-01-22T01:35:14.65" personId="{D4D22452-A1FD-4768-A29C-34F7CA892099}" id="{1E5B70C0-E685-47D9-BA03-C12BE353BF55}">
    <text>Cerrada</text>
  </threadedComment>
  <threadedComment ref="F466" dT="2026-01-07T16:27:30.20" personId="{D4D22452-A1FD-4768-A29C-34F7CA892099}" id="{E7BB4C7E-2C35-4FDE-A36C-652B8DC87EA1}">
    <text>Confirmar si la necesidad se incluye en PAA 2026 y validar información línea</text>
  </threadedComment>
  <threadedComment ref="F471" dT="2026-01-14T18:55:58.44" personId="{D4D22452-A1FD-4768-A29C-34F7CA892099}" id="{0DC46E25-FA47-4C65-8D1C-5AA25383628F}">
    <text>Por favor confirmar necesidad, ya que la línea puede estar repetida con “Adecuación oficinas Villavicencio” en PAA de la Subgerencia de Recursos Fisicos, definir cual se deja y/o unificar.</text>
  </threadedComment>
  <threadedComment ref="J474" dT="2026-01-07T15:50:31.19" personId="{D4D22452-A1FD-4768-A29C-34F7CA892099}" id="{B0AB1093-0445-46BC-A22D-F1187D557BB6}">
    <text>Validar modalidad por valor contratación - Simplificada</text>
  </threadedComment>
  <threadedComment ref="J475" dT="2026-01-07T15:50:31.19" personId="{D4D22452-A1FD-4768-A29C-34F7CA892099}" id="{940FA618-FA8F-4CB8-AD4C-46AFB4955075}">
    <text>Validar modalidad por valor contratación - Simplificada</text>
  </threadedComment>
  <threadedComment ref="J476" dT="2026-01-07T15:50:31.19" personId="{D4D22452-A1FD-4768-A29C-34F7CA892099}" id="{59B7E3DC-3316-427E-AB61-57EAB2A9FBF7}">
    <text>Validar modalidad por valor contratación - Simplificada</text>
  </threadedComment>
  <threadedComment ref="J477" dT="2026-01-07T15:50:31.19" personId="{D4D22452-A1FD-4768-A29C-34F7CA892099}" id="{06F5DBF2-77ED-451F-A13C-4B1DE477320D}">
    <text>Validar modalidad por valor contratación - Simplificada</text>
  </threadedComment>
  <threadedComment ref="J478" dT="2026-01-07T15:50:31.19" personId="{D4D22452-A1FD-4768-A29C-34F7CA892099}" id="{56AA8DB9-065E-49C5-8E56-80FBF078CB37}">
    <text>Validar modalidad por valor contratación - Simplificada</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2.bin"/><Relationship Id="rId4" Type="http://schemas.openxmlformats.org/officeDocument/2006/relationships/comments" Target="../comments9.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4.xml"/><Relationship Id="rId1" Type="http://schemas.openxmlformats.org/officeDocument/2006/relationships/printerSettings" Target="../printerSettings/printerSettings13.bin"/><Relationship Id="rId4" Type="http://schemas.openxmlformats.org/officeDocument/2006/relationships/comments" Target="../comments10.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5.xml"/><Relationship Id="rId1" Type="http://schemas.openxmlformats.org/officeDocument/2006/relationships/printerSettings" Target="../printerSettings/printerSettings14.bin"/><Relationship Id="rId4" Type="http://schemas.openxmlformats.org/officeDocument/2006/relationships/comments" Target="../comments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6.bin"/><Relationship Id="rId5" Type="http://schemas.microsoft.com/office/2017/10/relationships/threadedComment" Target="../threadedComments/threadedComment1.xml"/><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20FA3-811A-4695-89CC-312731AE2202}">
  <dimension ref="A1:XFC79"/>
  <sheetViews>
    <sheetView showGridLines="0" tabSelected="1" zoomScale="50" zoomScaleNormal="50" zoomScaleSheetLayoutView="78" zoomScalePageLayoutView="50" workbookViewId="0">
      <selection activeCell="N5" sqref="N5"/>
    </sheetView>
  </sheetViews>
  <sheetFormatPr baseColWidth="10" defaultColWidth="0" defaultRowHeight="14.5" x14ac:dyDescent="0.35"/>
  <cols>
    <col min="1" max="1" width="14.36328125" style="67" customWidth="1"/>
    <col min="2" max="16" width="11.453125" style="67" customWidth="1"/>
    <col min="17" max="4945" width="0" style="67" hidden="1" customWidth="1"/>
    <col min="4946" max="15759" width="11.453125" style="67" hidden="1"/>
    <col min="15760" max="16382" width="0" style="67" hidden="1"/>
    <col min="16383" max="16383" width="12.453125" style="67" hidden="1"/>
    <col min="16384" max="16384" width="48.08984375" style="67" hidden="1" customWidth="1"/>
  </cols>
  <sheetData>
    <row r="1" spans="14:14" ht="4.5" customHeight="1" x14ac:dyDescent="0.35"/>
    <row r="7" spans="14:14" x14ac:dyDescent="0.35">
      <c r="N7" s="380"/>
    </row>
    <row r="18" spans="8:8" ht="21" x14ac:dyDescent="0.5">
      <c r="H18" s="80"/>
    </row>
    <row r="41" spans="1:11" x14ac:dyDescent="0.35">
      <c r="A41" s="81"/>
      <c r="B41" s="81"/>
      <c r="C41" s="81"/>
      <c r="D41" s="81"/>
      <c r="E41" s="81"/>
      <c r="F41" s="81"/>
      <c r="G41" s="81"/>
      <c r="H41" s="81"/>
      <c r="I41" s="81"/>
      <c r="J41" s="81"/>
      <c r="K41" s="81"/>
    </row>
    <row r="42" spans="1:11" x14ac:dyDescent="0.35">
      <c r="A42" s="81"/>
      <c r="B42" s="81"/>
      <c r="C42" s="81"/>
      <c r="D42" s="81"/>
      <c r="E42" s="81"/>
      <c r="F42" s="81"/>
      <c r="G42" s="81"/>
      <c r="H42" s="81"/>
      <c r="I42" s="81"/>
      <c r="J42" s="81"/>
      <c r="K42" s="81"/>
    </row>
    <row r="49" s="67" customFormat="1" x14ac:dyDescent="0.35"/>
    <row r="50" s="67" customFormat="1" x14ac:dyDescent="0.35"/>
    <row r="51" s="67" customFormat="1" x14ac:dyDescent="0.35"/>
    <row r="52" s="67" customFormat="1" x14ac:dyDescent="0.35"/>
    <row r="53" s="67" customFormat="1" x14ac:dyDescent="0.35"/>
    <row r="54" s="67" customFormat="1" x14ac:dyDescent="0.35"/>
    <row r="55" s="67" customFormat="1" x14ac:dyDescent="0.35"/>
    <row r="56" s="67" customFormat="1" x14ac:dyDescent="0.35"/>
    <row r="57" s="67" customFormat="1" hidden="1" x14ac:dyDescent="0.35"/>
    <row r="58" s="67" customFormat="1" x14ac:dyDescent="0.35"/>
    <row r="59" s="67" customFormat="1" x14ac:dyDescent="0.35"/>
    <row r="60" s="67" customFormat="1" x14ac:dyDescent="0.35"/>
    <row r="61" s="67" customFormat="1" x14ac:dyDescent="0.35"/>
    <row r="62" s="67" customFormat="1" x14ac:dyDescent="0.35"/>
    <row r="63" s="67" customFormat="1" x14ac:dyDescent="0.35"/>
    <row r="64" s="67" customFormat="1" x14ac:dyDescent="0.35"/>
    <row r="73" spans="1:16" x14ac:dyDescent="0.35">
      <c r="N73"/>
    </row>
    <row r="75" spans="1:16" ht="26" x14ac:dyDescent="0.6">
      <c r="A75" s="382"/>
      <c r="B75" s="382"/>
      <c r="C75" s="382"/>
      <c r="D75" s="382"/>
      <c r="E75" s="382"/>
      <c r="F75" s="382"/>
      <c r="G75" s="382"/>
      <c r="H75" s="382"/>
      <c r="I75" s="382"/>
      <c r="J75" s="382"/>
      <c r="K75" s="382"/>
      <c r="L75" s="382"/>
      <c r="M75" s="382"/>
      <c r="N75" s="382"/>
      <c r="O75" s="382"/>
      <c r="P75" s="382"/>
    </row>
    <row r="76" spans="1:16" ht="14.9" customHeight="1" x14ac:dyDescent="0.35">
      <c r="A76" s="383" t="s">
        <v>0</v>
      </c>
      <c r="B76" s="384"/>
      <c r="C76" s="384"/>
      <c r="D76" s="384"/>
      <c r="E76" s="384"/>
      <c r="F76" s="384"/>
      <c r="G76" s="384"/>
      <c r="H76" s="384"/>
      <c r="I76" s="384"/>
      <c r="J76" s="384"/>
      <c r="K76" s="384"/>
      <c r="L76" s="384"/>
      <c r="M76" s="384"/>
      <c r="N76" s="384"/>
      <c r="O76" s="384"/>
      <c r="P76" s="385"/>
    </row>
    <row r="77" spans="1:16" ht="15" customHeight="1" x14ac:dyDescent="0.35">
      <c r="A77" s="386"/>
      <c r="B77" s="387"/>
      <c r="C77" s="387"/>
      <c r="D77" s="387"/>
      <c r="E77" s="387"/>
      <c r="F77" s="387"/>
      <c r="G77" s="387"/>
      <c r="H77" s="387"/>
      <c r="I77" s="387"/>
      <c r="J77" s="387"/>
      <c r="K77" s="387"/>
      <c r="L77" s="387"/>
      <c r="M77" s="387"/>
      <c r="N77" s="387"/>
      <c r="O77" s="387"/>
      <c r="P77" s="388"/>
    </row>
    <row r="78" spans="1:16" ht="44.15" customHeight="1" x14ac:dyDescent="0.35">
      <c r="A78" s="82" t="s">
        <v>1</v>
      </c>
      <c r="B78" s="389" t="s">
        <v>2</v>
      </c>
      <c r="C78" s="390"/>
      <c r="D78" s="390"/>
      <c r="E78" s="390"/>
      <c r="F78" s="391"/>
      <c r="G78" s="389" t="s">
        <v>3</v>
      </c>
      <c r="H78" s="390"/>
      <c r="I78" s="390"/>
      <c r="J78" s="390"/>
      <c r="K78" s="390"/>
      <c r="L78" s="390"/>
      <c r="M78" s="390"/>
      <c r="N78" s="390"/>
      <c r="O78" s="390"/>
      <c r="P78" s="391"/>
    </row>
    <row r="79" spans="1:16" ht="65.150000000000006" customHeight="1" x14ac:dyDescent="0.35">
      <c r="A79" s="83">
        <v>0</v>
      </c>
      <c r="B79" s="392">
        <v>46042</v>
      </c>
      <c r="C79" s="393"/>
      <c r="D79" s="393"/>
      <c r="E79" s="393"/>
      <c r="F79" s="394"/>
      <c r="G79" s="395" t="s">
        <v>1677</v>
      </c>
      <c r="H79" s="396"/>
      <c r="I79" s="396"/>
      <c r="J79" s="396"/>
      <c r="K79" s="396"/>
      <c r="L79" s="396"/>
      <c r="M79" s="396"/>
      <c r="N79" s="396"/>
      <c r="O79" s="396"/>
      <c r="P79" s="397"/>
    </row>
  </sheetData>
  <sheetProtection autoFilter="0"/>
  <mergeCells count="6">
    <mergeCell ref="A75:P75"/>
    <mergeCell ref="A76:P77"/>
    <mergeCell ref="B78:F78"/>
    <mergeCell ref="G78:P78"/>
    <mergeCell ref="B79:F79"/>
    <mergeCell ref="G79:P79"/>
  </mergeCells>
  <pageMargins left="0.7" right="0.7" top="0.75" bottom="0.75" header="0.3" footer="0.3"/>
  <pageSetup scale="48" orientation="portrait" r:id="rId1"/>
  <headerFooter>
    <oddHeader>&amp;C&amp;G</oddHeader>
    <oddFooter>&amp;C_x000D_&amp;1#&amp;"Calibri"&amp;10&amp;K008000 Información Pública - La Previsora S.A. Compañía de Seguros</oddFooter>
  </headerFooter>
  <colBreaks count="1" manualBreakCount="1">
    <brk id="11939" max="1048575" man="1"/>
  </colBreaks>
  <drawing r:id="rId2"/>
  <legacyDrawingHF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297E4-155D-458B-9E28-78AED7DA54BC}">
  <sheetPr filterMode="1"/>
  <dimension ref="A1:AQ106"/>
  <sheetViews>
    <sheetView view="pageBreakPreview" zoomScale="80" zoomScaleNormal="60" zoomScaleSheetLayoutView="80" workbookViewId="0">
      <selection activeCell="D1" sqref="D1:AK3"/>
    </sheetView>
  </sheetViews>
  <sheetFormatPr baseColWidth="10" defaultColWidth="11.453125" defaultRowHeight="15" customHeight="1" x14ac:dyDescent="0.35"/>
  <cols>
    <col min="1" max="1" width="8.54296875" style="67" customWidth="1"/>
    <col min="2" max="6" width="30.453125" style="67" customWidth="1"/>
    <col min="7" max="7" width="30.453125" style="67" hidden="1" customWidth="1"/>
    <col min="8" max="17" width="30.453125" style="67" customWidth="1"/>
    <col min="18" max="20" width="17.6328125" style="67" hidden="1" customWidth="1"/>
    <col min="21" max="33" width="0" style="67" hidden="1" customWidth="1"/>
    <col min="34" max="37" width="38.6328125" style="67" hidden="1" customWidth="1"/>
    <col min="38" max="43" width="0" style="67" hidden="1" customWidth="1"/>
    <col min="44" max="16384" width="11.453125" style="67"/>
  </cols>
  <sheetData>
    <row r="1" spans="1:43" s="55" customFormat="1" ht="15" customHeight="1" x14ac:dyDescent="0.35">
      <c r="A1" s="449"/>
      <c r="B1" s="450"/>
      <c r="C1" s="451"/>
      <c r="D1" s="722" t="s">
        <v>1170</v>
      </c>
      <c r="E1" s="723"/>
      <c r="F1" s="723"/>
      <c r="G1" s="723"/>
      <c r="H1" s="723"/>
      <c r="I1" s="723"/>
      <c r="J1" s="723"/>
      <c r="K1" s="723"/>
      <c r="L1" s="723"/>
      <c r="M1" s="723"/>
      <c r="N1" s="723"/>
      <c r="O1" s="723"/>
      <c r="P1" s="723"/>
      <c r="Q1" s="723"/>
      <c r="R1" s="723"/>
      <c r="S1" s="723"/>
      <c r="T1" s="723"/>
      <c r="U1" s="723"/>
      <c r="V1" s="723"/>
      <c r="W1" s="723"/>
      <c r="X1" s="723"/>
      <c r="Y1" s="723"/>
      <c r="Z1" s="723"/>
      <c r="AA1" s="723"/>
      <c r="AB1" s="723"/>
      <c r="AC1" s="723"/>
      <c r="AD1" s="723"/>
      <c r="AE1" s="723"/>
      <c r="AF1" s="723"/>
      <c r="AG1" s="723"/>
      <c r="AH1" s="723"/>
      <c r="AI1" s="723"/>
      <c r="AJ1" s="723"/>
      <c r="AK1" s="724"/>
      <c r="AL1" s="126"/>
      <c r="AM1" s="126"/>
      <c r="AN1" s="126"/>
      <c r="AO1" s="126"/>
      <c r="AP1" s="126"/>
      <c r="AQ1" s="126"/>
    </row>
    <row r="2" spans="1:43" s="55" customFormat="1" ht="20.149999999999999" customHeight="1" x14ac:dyDescent="0.35">
      <c r="A2" s="452"/>
      <c r="B2" s="453"/>
      <c r="C2" s="454"/>
      <c r="D2" s="641"/>
      <c r="E2" s="642"/>
      <c r="F2" s="642"/>
      <c r="G2" s="642"/>
      <c r="H2" s="642"/>
      <c r="I2" s="642"/>
      <c r="J2" s="642"/>
      <c r="K2" s="642"/>
      <c r="L2" s="642"/>
      <c r="M2" s="642"/>
      <c r="N2" s="642"/>
      <c r="O2" s="642"/>
      <c r="P2" s="642"/>
      <c r="Q2" s="642"/>
      <c r="R2" s="642"/>
      <c r="S2" s="642"/>
      <c r="T2" s="642"/>
      <c r="U2" s="642"/>
      <c r="V2" s="642"/>
      <c r="W2" s="642"/>
      <c r="X2" s="642"/>
      <c r="Y2" s="642"/>
      <c r="Z2" s="642"/>
      <c r="AA2" s="642"/>
      <c r="AB2" s="642"/>
      <c r="AC2" s="642"/>
      <c r="AD2" s="642"/>
      <c r="AE2" s="642"/>
      <c r="AF2" s="642"/>
      <c r="AG2" s="642"/>
      <c r="AH2" s="642"/>
      <c r="AI2" s="642"/>
      <c r="AJ2" s="642"/>
      <c r="AK2" s="725"/>
      <c r="AL2" s="126"/>
      <c r="AM2" s="126"/>
      <c r="AN2" s="126"/>
      <c r="AO2" s="126"/>
      <c r="AP2" s="126"/>
      <c r="AQ2" s="126"/>
    </row>
    <row r="3" spans="1:43" s="55" customFormat="1" ht="60" customHeight="1" x14ac:dyDescent="0.35">
      <c r="A3" s="455"/>
      <c r="B3" s="456"/>
      <c r="C3" s="457"/>
      <c r="D3" s="726"/>
      <c r="E3" s="727"/>
      <c r="F3" s="727"/>
      <c r="G3" s="727"/>
      <c r="H3" s="727"/>
      <c r="I3" s="727"/>
      <c r="J3" s="727"/>
      <c r="K3" s="727"/>
      <c r="L3" s="727"/>
      <c r="M3" s="727"/>
      <c r="N3" s="727"/>
      <c r="O3" s="727"/>
      <c r="P3" s="727"/>
      <c r="Q3" s="727"/>
      <c r="R3" s="727"/>
      <c r="S3" s="727"/>
      <c r="T3" s="727"/>
      <c r="U3" s="727"/>
      <c r="V3" s="727"/>
      <c r="W3" s="727"/>
      <c r="X3" s="727"/>
      <c r="Y3" s="727"/>
      <c r="Z3" s="727"/>
      <c r="AA3" s="727"/>
      <c r="AB3" s="727"/>
      <c r="AC3" s="727"/>
      <c r="AD3" s="727"/>
      <c r="AE3" s="727"/>
      <c r="AF3" s="727"/>
      <c r="AG3" s="727"/>
      <c r="AH3" s="727"/>
      <c r="AI3" s="727"/>
      <c r="AJ3" s="727"/>
      <c r="AK3" s="728"/>
      <c r="AL3" s="126"/>
      <c r="AM3" s="126"/>
      <c r="AN3" s="126"/>
      <c r="AO3" s="126"/>
      <c r="AP3" s="126"/>
      <c r="AQ3" s="126"/>
    </row>
    <row r="4" spans="1:43" s="55" customFormat="1" ht="60" hidden="1" customHeight="1" x14ac:dyDescent="0.35">
      <c r="A4" s="447" t="s">
        <v>34</v>
      </c>
      <c r="B4" s="8" t="s">
        <v>35</v>
      </c>
      <c r="C4" s="10">
        <v>0.7</v>
      </c>
      <c r="D4" s="10"/>
      <c r="E4" s="10"/>
      <c r="F4" s="10"/>
      <c r="G4" s="447" t="s">
        <v>36</v>
      </c>
      <c r="H4" s="8" t="s">
        <v>35</v>
      </c>
      <c r="I4" s="10">
        <v>0.7</v>
      </c>
      <c r="J4" s="56"/>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row>
    <row r="5" spans="1:43" s="55" customFormat="1" ht="60" hidden="1" customHeight="1" x14ac:dyDescent="0.35">
      <c r="A5" s="447"/>
      <c r="B5" s="8" t="s">
        <v>37</v>
      </c>
      <c r="C5" s="11">
        <v>0.9</v>
      </c>
      <c r="D5" s="11"/>
      <c r="E5" s="11"/>
      <c r="F5" s="11"/>
      <c r="G5" s="447"/>
      <c r="H5" s="8" t="s">
        <v>37</v>
      </c>
      <c r="I5" s="11">
        <v>0.95</v>
      </c>
      <c r="J5" s="56"/>
      <c r="K5" s="57"/>
      <c r="L5" s="57"/>
      <c r="M5" s="57"/>
      <c r="N5" s="57"/>
      <c r="O5" s="57"/>
      <c r="P5" s="57"/>
      <c r="Q5" s="57"/>
      <c r="R5" s="57"/>
      <c r="S5" s="57"/>
      <c r="T5" s="57"/>
      <c r="U5" s="57"/>
      <c r="V5" s="57"/>
      <c r="W5" s="57"/>
      <c r="X5" s="57"/>
      <c r="Y5" s="57"/>
      <c r="Z5" s="57"/>
      <c r="AA5" s="57"/>
      <c r="AB5" s="57"/>
      <c r="AC5" s="57"/>
      <c r="AD5" s="57"/>
      <c r="AE5" s="57"/>
      <c r="AF5" s="57"/>
      <c r="AG5" s="57"/>
      <c r="AH5" s="57"/>
      <c r="AI5" s="57"/>
      <c r="AJ5" s="57"/>
      <c r="AK5" s="57"/>
      <c r="AL5" s="57"/>
      <c r="AM5" s="57"/>
      <c r="AN5" s="57"/>
    </row>
    <row r="6" spans="1:43" s="1" customFormat="1" ht="15.65" hidden="1" customHeight="1" x14ac:dyDescent="0.35">
      <c r="A6" s="597" t="s">
        <v>38</v>
      </c>
      <c r="B6" s="597"/>
      <c r="C6" s="534" t="s">
        <v>132</v>
      </c>
      <c r="D6" s="534"/>
      <c r="E6" s="598" t="s">
        <v>40</v>
      </c>
      <c r="F6" s="237"/>
      <c r="G6" s="536" t="e">
        <f>+S15+S17+S19+S21+S23+S31+#REF!+#REF!+#REF!+#REF!+#REF!+#REF!+#REF!</f>
        <v>#REF!</v>
      </c>
      <c r="H6" s="598" t="s">
        <v>256</v>
      </c>
      <c r="I6" s="598"/>
      <c r="J6" s="650" t="e">
        <f>+S14+S16+S18+S20+S22+S30+#REF!+#REF!+#REF!+#REF!+#REF!+#REF!+#REF!</f>
        <v>#VALUE!</v>
      </c>
      <c r="K6" s="603" t="s">
        <v>41</v>
      </c>
      <c r="L6" s="604"/>
      <c r="M6" s="485">
        <v>0.95</v>
      </c>
      <c r="N6" s="221"/>
      <c r="O6" s="597" t="s">
        <v>1079</v>
      </c>
      <c r="P6" s="597"/>
      <c r="Q6" s="470" t="e">
        <f>(SUM(U14:AA14,U16:AA16,U18:AA18,U20:AA20,U22:AA22,U30:AA30,#REF!,#REF!,#REF!,#REF!,#REF!,#REF!,#REF!)/SUM(AA15,AA17,AA19,AA21,AA23,AA31,#REF!,#REF!,#REF!,#REF!,#REF!,#REF!,#REF!))/M6</f>
        <v>#REF!</v>
      </c>
      <c r="R6" s="471"/>
      <c r="S6" s="472"/>
      <c r="T6" s="634" t="s">
        <v>1080</v>
      </c>
      <c r="U6" s="635"/>
      <c r="V6" s="635"/>
      <c r="W6" s="635"/>
      <c r="X6" s="474" t="e">
        <f>SUM(AG14,AG16,AG18,AG20,AG22,AG30,#REF!,#REF!,#REF!,#REF!,#REF!,#REF!,#REF!)/SUM(AG15,AG17,AG19,AG21,AG23,AG31,#REF!,#REF!,#REF!,#REF!,#REF!,#REF!)</f>
        <v>#REF!</v>
      </c>
      <c r="Y6" s="474"/>
      <c r="Z6" s="474"/>
      <c r="AA6" s="474"/>
      <c r="AB6" s="474"/>
      <c r="AC6" s="474"/>
      <c r="AD6" s="689"/>
      <c r="AE6" s="689"/>
      <c r="AF6" s="689"/>
      <c r="AG6" s="689"/>
      <c r="AH6" s="689"/>
      <c r="AI6" s="689"/>
      <c r="AJ6" s="689"/>
      <c r="AK6" s="729"/>
      <c r="AL6" s="126"/>
      <c r="AM6" s="126"/>
      <c r="AN6" s="126"/>
      <c r="AO6" s="126"/>
      <c r="AP6" s="126"/>
    </row>
    <row r="7" spans="1:43" s="1" customFormat="1" ht="15.65" hidden="1" customHeight="1" x14ac:dyDescent="0.35">
      <c r="A7" s="597"/>
      <c r="B7" s="597"/>
      <c r="C7" s="534"/>
      <c r="D7" s="534"/>
      <c r="E7" s="598"/>
      <c r="F7" s="377"/>
      <c r="G7" s="537"/>
      <c r="H7" s="598"/>
      <c r="I7" s="598"/>
      <c r="J7" s="651"/>
      <c r="K7" s="605"/>
      <c r="L7" s="606"/>
      <c r="M7" s="486"/>
      <c r="N7" s="222"/>
      <c r="O7" s="597"/>
      <c r="P7" s="597"/>
      <c r="Q7" s="473"/>
      <c r="R7" s="474"/>
      <c r="S7" s="475"/>
      <c r="T7" s="634"/>
      <c r="U7" s="635"/>
      <c r="V7" s="635"/>
      <c r="W7" s="635"/>
      <c r="X7" s="474"/>
      <c r="Y7" s="474"/>
      <c r="Z7" s="474"/>
      <c r="AA7" s="474"/>
      <c r="AB7" s="474"/>
      <c r="AC7" s="474"/>
      <c r="AD7" s="689"/>
      <c r="AE7" s="689"/>
      <c r="AF7" s="689"/>
      <c r="AG7" s="689"/>
      <c r="AH7" s="689"/>
      <c r="AI7" s="689"/>
      <c r="AJ7" s="689"/>
      <c r="AK7" s="729"/>
      <c r="AL7" s="126"/>
      <c r="AM7" s="126"/>
      <c r="AN7" s="126"/>
      <c r="AO7" s="126"/>
      <c r="AP7" s="126"/>
      <c r="AQ7" s="126"/>
    </row>
    <row r="8" spans="1:43" s="1" customFormat="1" ht="15.65" hidden="1" customHeight="1" x14ac:dyDescent="0.35">
      <c r="A8" s="597"/>
      <c r="B8" s="597"/>
      <c r="C8" s="534"/>
      <c r="D8" s="534"/>
      <c r="E8" s="598"/>
      <c r="F8" s="377"/>
      <c r="G8" s="537"/>
      <c r="H8" s="598"/>
      <c r="I8" s="598"/>
      <c r="J8" s="651"/>
      <c r="K8" s="605"/>
      <c r="L8" s="606"/>
      <c r="M8" s="486"/>
      <c r="N8" s="222"/>
      <c r="O8" s="597"/>
      <c r="P8" s="597"/>
      <c r="Q8" s="473"/>
      <c r="R8" s="474"/>
      <c r="S8" s="475"/>
      <c r="T8" s="634"/>
      <c r="U8" s="635"/>
      <c r="V8" s="635"/>
      <c r="W8" s="635"/>
      <c r="X8" s="474"/>
      <c r="Y8" s="474"/>
      <c r="Z8" s="474"/>
      <c r="AA8" s="474"/>
      <c r="AB8" s="474"/>
      <c r="AC8" s="474"/>
      <c r="AD8" s="689"/>
      <c r="AE8" s="689"/>
      <c r="AF8" s="689"/>
      <c r="AG8" s="689"/>
      <c r="AH8" s="689"/>
      <c r="AI8" s="689"/>
      <c r="AJ8" s="689"/>
      <c r="AK8" s="729"/>
      <c r="AL8" s="126"/>
      <c r="AM8" s="126"/>
      <c r="AN8" s="126"/>
      <c r="AO8" s="126"/>
      <c r="AP8" s="126"/>
      <c r="AQ8" s="126"/>
    </row>
    <row r="9" spans="1:43" s="1" customFormat="1" ht="15.65" hidden="1" customHeight="1" x14ac:dyDescent="0.35">
      <c r="A9" s="597"/>
      <c r="B9" s="597"/>
      <c r="C9" s="534"/>
      <c r="D9" s="534"/>
      <c r="E9" s="598"/>
      <c r="F9" s="377"/>
      <c r="G9" s="537"/>
      <c r="H9" s="598"/>
      <c r="I9" s="598"/>
      <c r="J9" s="651"/>
      <c r="K9" s="605"/>
      <c r="L9" s="606"/>
      <c r="M9" s="486"/>
      <c r="N9" s="222"/>
      <c r="O9" s="597"/>
      <c r="P9" s="597"/>
      <c r="Q9" s="473"/>
      <c r="R9" s="474"/>
      <c r="S9" s="475"/>
      <c r="T9" s="634"/>
      <c r="U9" s="635"/>
      <c r="V9" s="635"/>
      <c r="W9" s="635"/>
      <c r="X9" s="474"/>
      <c r="Y9" s="474"/>
      <c r="Z9" s="474"/>
      <c r="AA9" s="474"/>
      <c r="AB9" s="474"/>
      <c r="AC9" s="474"/>
      <c r="AD9" s="689"/>
      <c r="AE9" s="689"/>
      <c r="AF9" s="689"/>
      <c r="AG9" s="689"/>
      <c r="AH9" s="689"/>
      <c r="AI9" s="689"/>
      <c r="AJ9" s="689"/>
      <c r="AK9" s="729"/>
      <c r="AL9" s="126"/>
      <c r="AM9" s="126"/>
      <c r="AN9" s="126"/>
      <c r="AO9" s="126"/>
      <c r="AP9" s="126"/>
      <c r="AQ9" s="126"/>
    </row>
    <row r="10" spans="1:43" s="1" customFormat="1" ht="15.65" hidden="1" customHeight="1" x14ac:dyDescent="0.35">
      <c r="A10" s="597"/>
      <c r="B10" s="597"/>
      <c r="C10" s="534"/>
      <c r="D10" s="534"/>
      <c r="E10" s="598"/>
      <c r="F10" s="377"/>
      <c r="G10" s="537"/>
      <c r="H10" s="730"/>
      <c r="I10" s="730"/>
      <c r="J10" s="731"/>
      <c r="K10" s="605"/>
      <c r="L10" s="606"/>
      <c r="M10" s="486"/>
      <c r="N10" s="222"/>
      <c r="O10" s="732"/>
      <c r="P10" s="732"/>
      <c r="Q10" s="476"/>
      <c r="R10" s="477"/>
      <c r="S10" s="478"/>
      <c r="T10" s="634"/>
      <c r="U10" s="635"/>
      <c r="V10" s="635"/>
      <c r="W10" s="635"/>
      <c r="X10" s="474"/>
      <c r="Y10" s="474"/>
      <c r="Z10" s="474"/>
      <c r="AA10" s="474"/>
      <c r="AB10" s="474"/>
      <c r="AC10" s="474"/>
      <c r="AD10" s="689"/>
      <c r="AE10" s="689"/>
      <c r="AF10" s="689"/>
      <c r="AG10" s="689"/>
      <c r="AH10" s="689"/>
      <c r="AI10" s="689"/>
      <c r="AJ10" s="689"/>
      <c r="AK10" s="729"/>
      <c r="AL10" s="126"/>
      <c r="AM10" s="126"/>
      <c r="AN10" s="126"/>
      <c r="AO10" s="126"/>
      <c r="AP10" s="126"/>
      <c r="AQ10" s="126"/>
    </row>
    <row r="11" spans="1:43" ht="45" customHeight="1" x14ac:dyDescent="0.35">
      <c r="A11" s="712" t="s">
        <v>46</v>
      </c>
      <c r="B11" s="712"/>
      <c r="C11" s="712"/>
      <c r="D11" s="712"/>
      <c r="E11" s="712"/>
      <c r="F11" s="378"/>
      <c r="G11" s="713" t="s">
        <v>47</v>
      </c>
      <c r="H11" s="713"/>
      <c r="I11" s="713"/>
      <c r="J11" s="713"/>
      <c r="K11" s="713"/>
      <c r="L11" s="713"/>
      <c r="M11" s="713"/>
      <c r="N11" s="713"/>
      <c r="O11" s="713"/>
      <c r="P11" s="713"/>
      <c r="Q11" s="713"/>
      <c r="R11" s="654" t="s">
        <v>48</v>
      </c>
      <c r="S11" s="654"/>
      <c r="T11" s="654"/>
      <c r="U11" s="654"/>
      <c r="V11" s="654"/>
      <c r="W11" s="654"/>
      <c r="X11" s="654"/>
      <c r="Y11" s="654"/>
      <c r="Z11" s="654"/>
      <c r="AA11" s="654"/>
      <c r="AB11" s="654"/>
      <c r="AC11" s="654"/>
      <c r="AD11" s="654"/>
      <c r="AE11" s="654"/>
      <c r="AF11" s="654"/>
      <c r="AG11" s="655"/>
      <c r="AH11" s="653" t="s">
        <v>49</v>
      </c>
      <c r="AI11" s="654"/>
      <c r="AJ11" s="654"/>
      <c r="AK11" s="654"/>
      <c r="AL11" s="126"/>
      <c r="AM11" s="126"/>
      <c r="AN11" s="126"/>
      <c r="AO11" s="126"/>
      <c r="AP11" s="126"/>
      <c r="AQ11" s="126"/>
    </row>
    <row r="12" spans="1:43" ht="45" customHeight="1" x14ac:dyDescent="0.35">
      <c r="A12" s="714" t="s">
        <v>50</v>
      </c>
      <c r="B12" s="716" t="s">
        <v>51</v>
      </c>
      <c r="C12" s="716" t="s">
        <v>52</v>
      </c>
      <c r="D12" s="716" t="s">
        <v>53</v>
      </c>
      <c r="E12" s="716" t="s">
        <v>54</v>
      </c>
      <c r="F12" s="379"/>
      <c r="G12" s="710" t="s">
        <v>1171</v>
      </c>
      <c r="H12" s="710" t="s">
        <v>1172</v>
      </c>
      <c r="I12" s="710" t="s">
        <v>1173</v>
      </c>
      <c r="J12" s="710" t="s">
        <v>1174</v>
      </c>
      <c r="K12" s="710" t="s">
        <v>1175</v>
      </c>
      <c r="L12" s="710" t="s">
        <v>1176</v>
      </c>
      <c r="M12" s="710" t="s">
        <v>1177</v>
      </c>
      <c r="N12" s="717" t="s">
        <v>60</v>
      </c>
      <c r="O12" s="710" t="s">
        <v>1178</v>
      </c>
      <c r="P12" s="710" t="s">
        <v>1179</v>
      </c>
      <c r="Q12" s="710" t="s">
        <v>1180</v>
      </c>
      <c r="R12" s="690" t="s">
        <v>63</v>
      </c>
      <c r="S12" s="692" t="s">
        <v>64</v>
      </c>
      <c r="T12" s="694" t="s">
        <v>65</v>
      </c>
      <c r="U12" s="696" t="s">
        <v>66</v>
      </c>
      <c r="V12" s="667" t="s">
        <v>67</v>
      </c>
      <c r="W12" s="665" t="s">
        <v>68</v>
      </c>
      <c r="X12" s="671" t="s">
        <v>69</v>
      </c>
      <c r="Y12" s="673" t="s">
        <v>70</v>
      </c>
      <c r="Z12" s="671" t="s">
        <v>71</v>
      </c>
      <c r="AA12" s="665" t="s">
        <v>72</v>
      </c>
      <c r="AB12" s="667" t="s">
        <v>73</v>
      </c>
      <c r="AC12" s="669" t="s">
        <v>74</v>
      </c>
      <c r="AD12" s="667" t="s">
        <v>75</v>
      </c>
      <c r="AE12" s="665" t="s">
        <v>76</v>
      </c>
      <c r="AF12" s="671" t="s">
        <v>77</v>
      </c>
      <c r="AG12" s="662" t="s">
        <v>78</v>
      </c>
      <c r="AH12" s="664" t="s">
        <v>79</v>
      </c>
      <c r="AI12" s="664" t="s">
        <v>80</v>
      </c>
      <c r="AJ12" s="664" t="s">
        <v>81</v>
      </c>
      <c r="AK12" s="664" t="s">
        <v>82</v>
      </c>
      <c r="AL12" s="126"/>
      <c r="AM12" s="126"/>
      <c r="AN12" s="126"/>
      <c r="AO12" s="126"/>
      <c r="AP12" s="126"/>
      <c r="AQ12" s="126"/>
    </row>
    <row r="13" spans="1:43" ht="45" customHeight="1" x14ac:dyDescent="0.35">
      <c r="A13" s="715"/>
      <c r="B13" s="715"/>
      <c r="C13" s="715"/>
      <c r="D13" s="715"/>
      <c r="E13" s="715"/>
      <c r="F13" s="236"/>
      <c r="G13" s="711"/>
      <c r="H13" s="711"/>
      <c r="I13" s="711"/>
      <c r="J13" s="711"/>
      <c r="K13" s="711"/>
      <c r="L13" s="711"/>
      <c r="M13" s="711"/>
      <c r="N13" s="711"/>
      <c r="O13" s="711"/>
      <c r="P13" s="711"/>
      <c r="Q13" s="711"/>
      <c r="R13" s="691"/>
      <c r="S13" s="693"/>
      <c r="T13" s="695"/>
      <c r="U13" s="697"/>
      <c r="V13" s="698"/>
      <c r="W13" s="699"/>
      <c r="X13" s="700"/>
      <c r="Y13" s="674"/>
      <c r="Z13" s="672"/>
      <c r="AA13" s="666"/>
      <c r="AB13" s="668"/>
      <c r="AC13" s="670"/>
      <c r="AD13" s="668"/>
      <c r="AE13" s="666"/>
      <c r="AF13" s="672"/>
      <c r="AG13" s="663"/>
      <c r="AH13" s="664"/>
      <c r="AI13" s="664"/>
      <c r="AJ13" s="664"/>
      <c r="AK13" s="664"/>
      <c r="AL13" s="126"/>
      <c r="AM13" s="126"/>
      <c r="AN13" s="126"/>
      <c r="AO13" s="126"/>
      <c r="AP13" s="126"/>
      <c r="AQ13" s="126"/>
    </row>
    <row r="14" spans="1:43" ht="133.5" customHeight="1" x14ac:dyDescent="0.35">
      <c r="A14" s="718">
        <v>1</v>
      </c>
      <c r="B14" s="718" t="s">
        <v>99</v>
      </c>
      <c r="C14" s="718" t="s">
        <v>1181</v>
      </c>
      <c r="D14" s="718" t="s">
        <v>130</v>
      </c>
      <c r="E14" s="718" t="s">
        <v>131</v>
      </c>
      <c r="F14" s="342"/>
      <c r="G14" s="708"/>
      <c r="H14" s="513" t="s">
        <v>1182</v>
      </c>
      <c r="I14" s="513" t="s">
        <v>1183</v>
      </c>
      <c r="J14" s="513" t="s">
        <v>1184</v>
      </c>
      <c r="K14" s="513" t="s">
        <v>1185</v>
      </c>
      <c r="L14" s="513" t="s">
        <v>1186</v>
      </c>
      <c r="M14" s="513"/>
      <c r="N14" s="520" t="s">
        <v>1128</v>
      </c>
      <c r="O14" s="513" t="s">
        <v>1187</v>
      </c>
      <c r="P14" s="513" t="s">
        <v>1188</v>
      </c>
      <c r="Q14" s="513"/>
      <c r="R14" s="720" t="s">
        <v>1189</v>
      </c>
      <c r="S14" s="720" t="s">
        <v>1189</v>
      </c>
      <c r="T14" s="65">
        <f>SUM(U14:AG14)</f>
        <v>1</v>
      </c>
      <c r="U14" s="43"/>
      <c r="V14" s="43"/>
      <c r="W14" s="43"/>
      <c r="X14" s="43"/>
      <c r="Y14" s="43"/>
      <c r="Z14" s="43"/>
      <c r="AA14" s="43">
        <v>1</v>
      </c>
      <c r="AB14" s="43"/>
      <c r="AC14" s="44"/>
      <c r="AD14" s="44"/>
      <c r="AE14" s="44"/>
      <c r="AF14" s="44"/>
      <c r="AG14" s="44"/>
      <c r="AH14" s="721"/>
      <c r="AI14" s="590" t="s">
        <v>1190</v>
      </c>
      <c r="AJ14" s="590"/>
      <c r="AK14" s="590"/>
      <c r="AL14" s="126"/>
      <c r="AM14" s="126"/>
      <c r="AN14" s="126"/>
      <c r="AO14" s="126"/>
      <c r="AP14" s="126"/>
      <c r="AQ14" s="126"/>
    </row>
    <row r="15" spans="1:43" ht="133.5" customHeight="1" x14ac:dyDescent="0.35">
      <c r="A15" s="719"/>
      <c r="B15" s="719"/>
      <c r="C15" s="719"/>
      <c r="D15" s="719"/>
      <c r="E15" s="719"/>
      <c r="F15" s="343"/>
      <c r="G15" s="709"/>
      <c r="H15" s="514"/>
      <c r="I15" s="514"/>
      <c r="J15" s="514"/>
      <c r="K15" s="514"/>
      <c r="L15" s="514"/>
      <c r="M15" s="514"/>
      <c r="N15" s="529"/>
      <c r="O15" s="514"/>
      <c r="P15" s="514"/>
      <c r="Q15" s="514"/>
      <c r="R15" s="720"/>
      <c r="S15" s="720"/>
      <c r="T15" s="65">
        <f t="shared" ref="T15" si="0">SUM(U15:AG15)</f>
        <v>1</v>
      </c>
      <c r="U15" s="42"/>
      <c r="V15" s="42"/>
      <c r="W15" s="42"/>
      <c r="X15" s="42"/>
      <c r="Y15" s="42"/>
      <c r="Z15" s="42"/>
      <c r="AA15" s="42">
        <v>1</v>
      </c>
      <c r="AB15" s="42"/>
      <c r="AC15" s="42"/>
      <c r="AD15" s="42"/>
      <c r="AE15" s="42"/>
      <c r="AF15" s="42"/>
      <c r="AG15" s="42"/>
      <c r="AH15" s="721"/>
      <c r="AI15" s="590"/>
      <c r="AJ15" s="590"/>
      <c r="AK15" s="590"/>
      <c r="AL15" s="126"/>
      <c r="AM15" s="126"/>
      <c r="AN15" s="126"/>
      <c r="AO15" s="126"/>
      <c r="AP15" s="126"/>
      <c r="AQ15" s="126"/>
    </row>
    <row r="16" spans="1:43" ht="133.5" customHeight="1" x14ac:dyDescent="0.35">
      <c r="A16" s="718">
        <v>2</v>
      </c>
      <c r="B16" s="718" t="s">
        <v>99</v>
      </c>
      <c r="C16" s="718" t="s">
        <v>1181</v>
      </c>
      <c r="D16" s="718" t="s">
        <v>130</v>
      </c>
      <c r="E16" s="718" t="s">
        <v>131</v>
      </c>
      <c r="F16" s="342"/>
      <c r="G16" s="708"/>
      <c r="H16" s="513" t="s">
        <v>1191</v>
      </c>
      <c r="I16" s="513" t="s">
        <v>1192</v>
      </c>
      <c r="J16" s="513" t="s">
        <v>234</v>
      </c>
      <c r="K16" s="513" t="s">
        <v>1185</v>
      </c>
      <c r="L16" s="513" t="s">
        <v>1186</v>
      </c>
      <c r="M16" s="513"/>
      <c r="N16" s="513" t="s">
        <v>1128</v>
      </c>
      <c r="O16" s="513" t="s">
        <v>1193</v>
      </c>
      <c r="P16" s="513" t="s">
        <v>1193</v>
      </c>
      <c r="Q16" s="513"/>
      <c r="R16" s="513" t="s">
        <v>1194</v>
      </c>
      <c r="S16" s="513" t="s">
        <v>1194</v>
      </c>
      <c r="T16" s="65">
        <f>SUM(U16:AG16)</f>
        <v>1</v>
      </c>
      <c r="U16" s="43"/>
      <c r="V16" s="43"/>
      <c r="W16" s="43"/>
      <c r="X16" s="43"/>
      <c r="Y16" s="43"/>
      <c r="Z16" s="43"/>
      <c r="AA16" s="43">
        <v>0.4</v>
      </c>
      <c r="AB16" s="43"/>
      <c r="AC16" s="44"/>
      <c r="AD16" s="44"/>
      <c r="AE16" s="44"/>
      <c r="AF16" s="44"/>
      <c r="AG16" s="44">
        <v>0.6</v>
      </c>
      <c r="AH16" s="721"/>
      <c r="AI16" s="590" t="s">
        <v>1195</v>
      </c>
      <c r="AJ16" s="590"/>
      <c r="AK16" s="590" t="s">
        <v>1196</v>
      </c>
      <c r="AL16" s="126"/>
      <c r="AM16" s="126"/>
      <c r="AN16" s="126"/>
      <c r="AO16" s="126"/>
      <c r="AP16" s="126"/>
      <c r="AQ16" s="126"/>
    </row>
    <row r="17" spans="1:43" ht="133.5" customHeight="1" x14ac:dyDescent="0.35">
      <c r="A17" s="719"/>
      <c r="B17" s="719"/>
      <c r="C17" s="719"/>
      <c r="D17" s="719"/>
      <c r="E17" s="719"/>
      <c r="F17" s="343"/>
      <c r="G17" s="709"/>
      <c r="H17" s="514"/>
      <c r="I17" s="514"/>
      <c r="J17" s="514"/>
      <c r="K17" s="514"/>
      <c r="L17" s="514"/>
      <c r="M17" s="514"/>
      <c r="N17" s="514"/>
      <c r="O17" s="514"/>
      <c r="P17" s="514"/>
      <c r="Q17" s="514"/>
      <c r="R17" s="514"/>
      <c r="S17" s="514"/>
      <c r="T17" s="65">
        <f t="shared" ref="T17:T31" si="1">SUM(U17:AG17)</f>
        <v>1</v>
      </c>
      <c r="U17" s="42"/>
      <c r="V17" s="42"/>
      <c r="W17" s="42"/>
      <c r="X17" s="42"/>
      <c r="Y17" s="42"/>
      <c r="Z17" s="42"/>
      <c r="AA17" s="42">
        <v>0.5</v>
      </c>
      <c r="AB17" s="42"/>
      <c r="AC17" s="42"/>
      <c r="AD17" s="42"/>
      <c r="AE17" s="42"/>
      <c r="AF17" s="42"/>
      <c r="AG17" s="42">
        <v>0.5</v>
      </c>
      <c r="AH17" s="721"/>
      <c r="AI17" s="590"/>
      <c r="AJ17" s="590"/>
      <c r="AK17" s="590"/>
      <c r="AL17" s="126"/>
      <c r="AM17" s="126"/>
      <c r="AN17" s="126"/>
      <c r="AO17" s="126"/>
      <c r="AP17" s="126"/>
      <c r="AQ17" s="126"/>
    </row>
    <row r="18" spans="1:43" ht="133.5" customHeight="1" x14ac:dyDescent="0.35">
      <c r="A18" s="718">
        <v>3</v>
      </c>
      <c r="B18" s="718" t="s">
        <v>99</v>
      </c>
      <c r="C18" s="718" t="s">
        <v>1181</v>
      </c>
      <c r="D18" s="718" t="s">
        <v>130</v>
      </c>
      <c r="E18" s="718" t="s">
        <v>131</v>
      </c>
      <c r="F18" s="342"/>
      <c r="G18" s="708"/>
      <c r="H18" s="513" t="s">
        <v>1197</v>
      </c>
      <c r="I18" s="513" t="s">
        <v>1198</v>
      </c>
      <c r="J18" s="513" t="s">
        <v>1184</v>
      </c>
      <c r="K18" s="513" t="s">
        <v>1199</v>
      </c>
      <c r="L18" s="513" t="s">
        <v>1186</v>
      </c>
      <c r="M18" s="513" t="s">
        <v>1186</v>
      </c>
      <c r="N18" s="513" t="s">
        <v>1128</v>
      </c>
      <c r="O18" s="513" t="s">
        <v>1200</v>
      </c>
      <c r="P18" s="513" t="s">
        <v>1201</v>
      </c>
      <c r="Q18" s="513"/>
      <c r="R18" s="513" t="s">
        <v>1202</v>
      </c>
      <c r="S18" s="513" t="s">
        <v>1202</v>
      </c>
      <c r="T18" s="65">
        <f t="shared" si="1"/>
        <v>1</v>
      </c>
      <c r="U18" s="43"/>
      <c r="V18" s="43"/>
      <c r="W18" s="43"/>
      <c r="X18" s="43"/>
      <c r="Y18" s="43"/>
      <c r="Z18" s="43"/>
      <c r="AA18" s="43">
        <v>0.2</v>
      </c>
      <c r="AB18" s="43"/>
      <c r="AC18" s="44"/>
      <c r="AD18" s="44"/>
      <c r="AE18" s="44"/>
      <c r="AF18" s="44"/>
      <c r="AG18" s="44">
        <v>0.8</v>
      </c>
      <c r="AH18" s="721"/>
      <c r="AI18" s="590" t="s">
        <v>1195</v>
      </c>
      <c r="AJ18" s="590"/>
      <c r="AK18" s="590" t="s">
        <v>1196</v>
      </c>
      <c r="AL18" s="126"/>
      <c r="AM18" s="126"/>
      <c r="AN18" s="126"/>
      <c r="AO18" s="126"/>
      <c r="AP18" s="126"/>
      <c r="AQ18" s="126"/>
    </row>
    <row r="19" spans="1:43" ht="133.5" customHeight="1" x14ac:dyDescent="0.35">
      <c r="A19" s="719"/>
      <c r="B19" s="719"/>
      <c r="C19" s="719"/>
      <c r="D19" s="719"/>
      <c r="E19" s="719"/>
      <c r="F19" s="343"/>
      <c r="G19" s="709"/>
      <c r="H19" s="514"/>
      <c r="I19" s="514"/>
      <c r="J19" s="514"/>
      <c r="K19" s="514"/>
      <c r="L19" s="514"/>
      <c r="M19" s="514"/>
      <c r="N19" s="514"/>
      <c r="O19" s="514"/>
      <c r="P19" s="514"/>
      <c r="Q19" s="514"/>
      <c r="R19" s="514"/>
      <c r="S19" s="514"/>
      <c r="T19" s="65">
        <f t="shared" si="1"/>
        <v>1</v>
      </c>
      <c r="U19" s="42"/>
      <c r="V19" s="42"/>
      <c r="W19" s="42"/>
      <c r="X19" s="42"/>
      <c r="Y19" s="42"/>
      <c r="Z19" s="42"/>
      <c r="AA19" s="42">
        <v>0.5</v>
      </c>
      <c r="AB19" s="42"/>
      <c r="AC19" s="42"/>
      <c r="AD19" s="42"/>
      <c r="AE19" s="42"/>
      <c r="AF19" s="42"/>
      <c r="AG19" s="42">
        <v>0.5</v>
      </c>
      <c r="AH19" s="721"/>
      <c r="AI19" s="590"/>
      <c r="AJ19" s="590"/>
      <c r="AK19" s="590"/>
      <c r="AL19" s="126"/>
      <c r="AM19" s="126"/>
      <c r="AN19" s="126"/>
      <c r="AO19" s="126"/>
      <c r="AP19" s="126"/>
      <c r="AQ19" s="126"/>
    </row>
    <row r="20" spans="1:43" ht="133.5" customHeight="1" x14ac:dyDescent="0.35">
      <c r="A20" s="718">
        <v>4</v>
      </c>
      <c r="B20" s="718" t="s">
        <v>99</v>
      </c>
      <c r="C20" s="718" t="s">
        <v>1181</v>
      </c>
      <c r="D20" s="718" t="s">
        <v>130</v>
      </c>
      <c r="E20" s="718" t="s">
        <v>131</v>
      </c>
      <c r="F20" s="342"/>
      <c r="G20" s="708"/>
      <c r="H20" s="513" t="s">
        <v>1203</v>
      </c>
      <c r="I20" s="513" t="s">
        <v>1204</v>
      </c>
      <c r="J20" s="513" t="s">
        <v>1184</v>
      </c>
      <c r="K20" s="513" t="s">
        <v>1199</v>
      </c>
      <c r="L20" s="513" t="s">
        <v>1186</v>
      </c>
      <c r="M20" s="513"/>
      <c r="N20" s="513" t="s">
        <v>1128</v>
      </c>
      <c r="O20" s="513" t="s">
        <v>1200</v>
      </c>
      <c r="P20" s="513" t="s">
        <v>1201</v>
      </c>
      <c r="Q20" s="513"/>
      <c r="R20" s="513" t="s">
        <v>1205</v>
      </c>
      <c r="S20" s="513" t="s">
        <v>1205</v>
      </c>
      <c r="T20" s="65">
        <f t="shared" si="1"/>
        <v>1</v>
      </c>
      <c r="U20" s="43"/>
      <c r="V20" s="43"/>
      <c r="W20" s="43"/>
      <c r="X20" s="43"/>
      <c r="Y20" s="43"/>
      <c r="Z20" s="43"/>
      <c r="AA20" s="43">
        <v>1</v>
      </c>
      <c r="AB20" s="43"/>
      <c r="AC20" s="44"/>
      <c r="AD20" s="44"/>
      <c r="AE20" s="44"/>
      <c r="AF20" s="44"/>
      <c r="AG20" s="44"/>
      <c r="AH20" s="721"/>
      <c r="AI20" s="590" t="s">
        <v>1190</v>
      </c>
      <c r="AJ20" s="590"/>
      <c r="AK20" s="590"/>
      <c r="AL20" s="126"/>
      <c r="AM20" s="126"/>
      <c r="AN20" s="126"/>
      <c r="AO20" s="126"/>
      <c r="AP20" s="126"/>
      <c r="AQ20" s="126"/>
    </row>
    <row r="21" spans="1:43" ht="133.5" customHeight="1" x14ac:dyDescent="0.35">
      <c r="A21" s="719"/>
      <c r="B21" s="719"/>
      <c r="C21" s="719"/>
      <c r="D21" s="719"/>
      <c r="E21" s="719"/>
      <c r="F21" s="343"/>
      <c r="G21" s="709"/>
      <c r="H21" s="514"/>
      <c r="I21" s="514"/>
      <c r="J21" s="514"/>
      <c r="K21" s="514"/>
      <c r="L21" s="514"/>
      <c r="M21" s="514"/>
      <c r="N21" s="514"/>
      <c r="O21" s="514"/>
      <c r="P21" s="514"/>
      <c r="Q21" s="514"/>
      <c r="R21" s="514"/>
      <c r="S21" s="514"/>
      <c r="T21" s="65">
        <f t="shared" si="1"/>
        <v>1</v>
      </c>
      <c r="U21" s="42"/>
      <c r="V21" s="42"/>
      <c r="W21" s="42"/>
      <c r="X21" s="42"/>
      <c r="Y21" s="42"/>
      <c r="Z21" s="42"/>
      <c r="AA21" s="42">
        <v>1</v>
      </c>
      <c r="AB21" s="42"/>
      <c r="AC21" s="42"/>
      <c r="AD21" s="42"/>
      <c r="AE21" s="42"/>
      <c r="AF21" s="42"/>
      <c r="AG21" s="42"/>
      <c r="AH21" s="721"/>
      <c r="AI21" s="590"/>
      <c r="AJ21" s="590"/>
      <c r="AK21" s="590"/>
      <c r="AL21" s="126"/>
      <c r="AM21" s="126"/>
      <c r="AN21" s="126"/>
      <c r="AO21" s="126"/>
      <c r="AP21" s="126"/>
      <c r="AQ21" s="126"/>
    </row>
    <row r="22" spans="1:43" ht="133.5" customHeight="1" x14ac:dyDescent="0.35">
      <c r="A22" s="718">
        <v>5</v>
      </c>
      <c r="B22" s="718" t="s">
        <v>99</v>
      </c>
      <c r="C22" s="718" t="s">
        <v>1181</v>
      </c>
      <c r="D22" s="718" t="s">
        <v>130</v>
      </c>
      <c r="E22" s="718" t="s">
        <v>131</v>
      </c>
      <c r="F22" s="342"/>
      <c r="G22" s="708"/>
      <c r="H22" s="513" t="s">
        <v>1206</v>
      </c>
      <c r="I22" s="513" t="s">
        <v>1207</v>
      </c>
      <c r="J22" s="513" t="s">
        <v>1208</v>
      </c>
      <c r="K22" s="513" t="s">
        <v>1199</v>
      </c>
      <c r="L22" s="513" t="s">
        <v>1186</v>
      </c>
      <c r="M22" s="513" t="s">
        <v>1186</v>
      </c>
      <c r="N22" s="513" t="s">
        <v>1128</v>
      </c>
      <c r="O22" s="513" t="s">
        <v>1209</v>
      </c>
      <c r="P22" s="513" t="s">
        <v>1210</v>
      </c>
      <c r="Q22" s="513"/>
      <c r="R22" s="513" t="s">
        <v>1211</v>
      </c>
      <c r="S22" s="513" t="s">
        <v>1211</v>
      </c>
      <c r="T22" s="65">
        <f t="shared" si="1"/>
        <v>1</v>
      </c>
      <c r="U22" s="45"/>
      <c r="V22" s="45"/>
      <c r="W22" s="45"/>
      <c r="X22" s="43"/>
      <c r="Y22" s="43"/>
      <c r="Z22" s="43"/>
      <c r="AA22" s="43">
        <v>1</v>
      </c>
      <c r="AB22" s="43"/>
      <c r="AC22" s="44"/>
      <c r="AD22" s="44"/>
      <c r="AE22" s="44"/>
      <c r="AF22" s="44"/>
      <c r="AG22" s="44"/>
      <c r="AH22" s="721"/>
      <c r="AI22" s="590" t="s">
        <v>1190</v>
      </c>
      <c r="AJ22" s="590"/>
      <c r="AK22" s="590"/>
      <c r="AL22" s="126"/>
      <c r="AM22" s="126"/>
      <c r="AN22" s="126"/>
      <c r="AO22" s="126"/>
      <c r="AP22" s="126"/>
      <c r="AQ22" s="126"/>
    </row>
    <row r="23" spans="1:43" ht="133.5" customHeight="1" x14ac:dyDescent="0.35">
      <c r="A23" s="719"/>
      <c r="B23" s="719"/>
      <c r="C23" s="719"/>
      <c r="D23" s="719"/>
      <c r="E23" s="719"/>
      <c r="F23" s="343"/>
      <c r="G23" s="709"/>
      <c r="H23" s="514"/>
      <c r="I23" s="514"/>
      <c r="J23" s="514"/>
      <c r="K23" s="514"/>
      <c r="L23" s="514"/>
      <c r="M23" s="514"/>
      <c r="N23" s="514"/>
      <c r="O23" s="514"/>
      <c r="P23" s="514"/>
      <c r="Q23" s="514"/>
      <c r="R23" s="514"/>
      <c r="S23" s="514"/>
      <c r="T23" s="65">
        <f t="shared" si="1"/>
        <v>1</v>
      </c>
      <c r="U23" s="42"/>
      <c r="V23" s="42"/>
      <c r="W23" s="42"/>
      <c r="X23" s="42"/>
      <c r="Y23" s="42"/>
      <c r="Z23" s="42"/>
      <c r="AA23" s="42">
        <v>1</v>
      </c>
      <c r="AB23" s="42"/>
      <c r="AC23" s="42"/>
      <c r="AD23" s="42"/>
      <c r="AE23" s="42"/>
      <c r="AF23" s="42"/>
      <c r="AG23" s="42"/>
      <c r="AH23" s="721"/>
      <c r="AI23" s="590"/>
      <c r="AJ23" s="590"/>
      <c r="AK23" s="590"/>
      <c r="AL23" s="126"/>
      <c r="AM23" s="126"/>
      <c r="AN23" s="126"/>
      <c r="AO23" s="126"/>
      <c r="AP23" s="126"/>
      <c r="AQ23" s="126"/>
    </row>
    <row r="24" spans="1:43" ht="133.5" customHeight="1" x14ac:dyDescent="0.35">
      <c r="A24" s="718">
        <v>6</v>
      </c>
      <c r="B24" s="718" t="s">
        <v>99</v>
      </c>
      <c r="C24" s="718" t="s">
        <v>1212</v>
      </c>
      <c r="D24" s="718" t="s">
        <v>180</v>
      </c>
      <c r="E24" s="718" t="s">
        <v>208</v>
      </c>
      <c r="F24" s="342"/>
      <c r="G24" s="708"/>
      <c r="H24" s="513" t="s">
        <v>1213</v>
      </c>
      <c r="I24" s="513" t="s">
        <v>1214</v>
      </c>
      <c r="J24" s="513" t="s">
        <v>247</v>
      </c>
      <c r="K24" s="513" t="s">
        <v>1199</v>
      </c>
      <c r="L24" s="513" t="s">
        <v>1186</v>
      </c>
      <c r="M24" s="513" t="s">
        <v>1186</v>
      </c>
      <c r="N24" s="513" t="s">
        <v>1128</v>
      </c>
      <c r="O24" s="513" t="s">
        <v>1215</v>
      </c>
      <c r="P24" s="513" t="s">
        <v>1216</v>
      </c>
      <c r="Q24" s="513"/>
      <c r="R24" s="513" t="s">
        <v>1211</v>
      </c>
      <c r="S24" s="513" t="s">
        <v>1211</v>
      </c>
      <c r="T24" s="65">
        <f t="shared" ref="T24:T25" si="2">SUM(U24:AG24)</f>
        <v>1</v>
      </c>
      <c r="U24" s="58"/>
      <c r="V24" s="58"/>
      <c r="W24" s="58"/>
      <c r="X24" s="43"/>
      <c r="Y24" s="43"/>
      <c r="Z24" s="43"/>
      <c r="AA24" s="43">
        <v>1</v>
      </c>
      <c r="AB24" s="43"/>
      <c r="AC24" s="44"/>
      <c r="AD24" s="44"/>
      <c r="AE24" s="44"/>
      <c r="AF24" s="44"/>
      <c r="AG24" s="44"/>
      <c r="AH24" s="721"/>
      <c r="AI24" s="590" t="s">
        <v>1190</v>
      </c>
      <c r="AJ24" s="590"/>
      <c r="AK24" s="590"/>
      <c r="AL24" s="126"/>
      <c r="AM24" s="126"/>
      <c r="AN24" s="126"/>
      <c r="AO24" s="126"/>
      <c r="AP24" s="126"/>
      <c r="AQ24" s="126"/>
    </row>
    <row r="25" spans="1:43" ht="133.5" customHeight="1" x14ac:dyDescent="0.35">
      <c r="A25" s="719"/>
      <c r="B25" s="719"/>
      <c r="C25" s="719"/>
      <c r="D25" s="719"/>
      <c r="E25" s="719"/>
      <c r="F25" s="343"/>
      <c r="G25" s="709"/>
      <c r="H25" s="514"/>
      <c r="I25" s="514"/>
      <c r="J25" s="514"/>
      <c r="K25" s="514"/>
      <c r="L25" s="514"/>
      <c r="M25" s="514"/>
      <c r="N25" s="514"/>
      <c r="O25" s="514"/>
      <c r="P25" s="514"/>
      <c r="Q25" s="514"/>
      <c r="R25" s="514"/>
      <c r="S25" s="514"/>
      <c r="T25" s="65">
        <f t="shared" si="2"/>
        <v>1</v>
      </c>
      <c r="U25" s="42"/>
      <c r="V25" s="42"/>
      <c r="W25" s="42"/>
      <c r="X25" s="42"/>
      <c r="Y25" s="42"/>
      <c r="Z25" s="42"/>
      <c r="AA25" s="42">
        <v>1</v>
      </c>
      <c r="AB25" s="42"/>
      <c r="AC25" s="42"/>
      <c r="AD25" s="42"/>
      <c r="AE25" s="42"/>
      <c r="AF25" s="42"/>
      <c r="AG25" s="42"/>
      <c r="AH25" s="721"/>
      <c r="AI25" s="590"/>
      <c r="AJ25" s="590"/>
      <c r="AK25" s="590"/>
      <c r="AL25" s="126"/>
      <c r="AM25" s="126"/>
      <c r="AN25" s="126"/>
      <c r="AO25" s="126"/>
      <c r="AP25" s="126"/>
      <c r="AQ25" s="126"/>
    </row>
    <row r="26" spans="1:43" ht="133.5" customHeight="1" x14ac:dyDescent="0.35">
      <c r="A26" s="718">
        <v>7</v>
      </c>
      <c r="B26" s="718" t="s">
        <v>99</v>
      </c>
      <c r="C26" s="718" t="s">
        <v>1217</v>
      </c>
      <c r="D26" s="718" t="s">
        <v>85</v>
      </c>
      <c r="E26" s="718" t="s">
        <v>202</v>
      </c>
      <c r="F26" s="342"/>
      <c r="G26" s="708"/>
      <c r="H26" s="513" t="s">
        <v>1218</v>
      </c>
      <c r="I26" s="513" t="s">
        <v>1219</v>
      </c>
      <c r="J26" s="513" t="s">
        <v>87</v>
      </c>
      <c r="K26" s="513" t="s">
        <v>1185</v>
      </c>
      <c r="L26" s="513"/>
      <c r="M26" s="513" t="s">
        <v>1186</v>
      </c>
      <c r="N26" s="513" t="s">
        <v>1128</v>
      </c>
      <c r="O26" s="513" t="s">
        <v>1215</v>
      </c>
      <c r="P26" s="513" t="s">
        <v>1676</v>
      </c>
      <c r="Q26" s="513"/>
      <c r="R26" s="513" t="s">
        <v>1220</v>
      </c>
      <c r="S26" s="513" t="s">
        <v>1220</v>
      </c>
      <c r="T26" s="65">
        <f t="shared" si="1"/>
        <v>1</v>
      </c>
      <c r="U26" s="58"/>
      <c r="V26" s="58"/>
      <c r="W26" s="58"/>
      <c r="X26" s="43"/>
      <c r="Y26" s="43"/>
      <c r="Z26" s="43"/>
      <c r="AA26" s="43">
        <v>1</v>
      </c>
      <c r="AB26" s="43"/>
      <c r="AC26" s="44"/>
      <c r="AD26" s="44"/>
      <c r="AE26" s="44"/>
      <c r="AF26" s="44"/>
      <c r="AG26" s="44"/>
      <c r="AH26" s="721"/>
      <c r="AI26" s="590" t="s">
        <v>1190</v>
      </c>
      <c r="AJ26" s="590"/>
      <c r="AK26" s="590"/>
      <c r="AL26" s="126"/>
      <c r="AM26" s="126"/>
      <c r="AN26" s="126"/>
      <c r="AO26" s="126"/>
      <c r="AP26" s="126"/>
      <c r="AQ26" s="126"/>
    </row>
    <row r="27" spans="1:43" ht="133.5" hidden="1" customHeight="1" x14ac:dyDescent="0.35">
      <c r="A27" s="719"/>
      <c r="B27" s="719"/>
      <c r="C27" s="719"/>
      <c r="D27" s="719"/>
      <c r="E27" s="719"/>
      <c r="F27" s="343"/>
      <c r="G27" s="709"/>
      <c r="H27" s="514"/>
      <c r="I27" s="514"/>
      <c r="J27" s="514"/>
      <c r="K27" s="514"/>
      <c r="L27" s="514"/>
      <c r="M27" s="514"/>
      <c r="N27" s="514"/>
      <c r="O27" s="514"/>
      <c r="P27" s="514"/>
      <c r="Q27" s="514"/>
      <c r="R27" s="514"/>
      <c r="S27" s="514"/>
      <c r="T27" s="65">
        <f t="shared" si="1"/>
        <v>1</v>
      </c>
      <c r="U27" s="42"/>
      <c r="V27" s="42"/>
      <c r="W27" s="42"/>
      <c r="X27" s="42"/>
      <c r="Y27" s="42"/>
      <c r="Z27" s="42"/>
      <c r="AA27" s="42">
        <v>1</v>
      </c>
      <c r="AB27" s="42"/>
      <c r="AC27" s="42"/>
      <c r="AD27" s="42"/>
      <c r="AE27" s="42"/>
      <c r="AF27" s="42"/>
      <c r="AG27" s="42"/>
      <c r="AH27" s="721"/>
      <c r="AI27" s="590"/>
      <c r="AJ27" s="590"/>
      <c r="AK27" s="590"/>
      <c r="AL27" s="126"/>
      <c r="AM27" s="126"/>
      <c r="AN27" s="126"/>
      <c r="AO27" s="126"/>
      <c r="AP27" s="126"/>
      <c r="AQ27" s="126"/>
    </row>
    <row r="28" spans="1:43" ht="133.5" hidden="1" customHeight="1" x14ac:dyDescent="0.35">
      <c r="A28" s="718">
        <v>8</v>
      </c>
      <c r="B28" s="718" t="s">
        <v>109</v>
      </c>
      <c r="C28" s="718" t="s">
        <v>1221</v>
      </c>
      <c r="D28" s="718" t="s">
        <v>111</v>
      </c>
      <c r="E28" s="718" t="s">
        <v>112</v>
      </c>
      <c r="F28" s="342"/>
      <c r="G28" s="708"/>
      <c r="H28" s="513" t="s">
        <v>1222</v>
      </c>
      <c r="I28" s="513" t="s">
        <v>1223</v>
      </c>
      <c r="J28" s="513" t="s">
        <v>1224</v>
      </c>
      <c r="K28" s="513" t="s">
        <v>1199</v>
      </c>
      <c r="L28" s="513" t="s">
        <v>1186</v>
      </c>
      <c r="M28" s="513" t="s">
        <v>1186</v>
      </c>
      <c r="N28" s="513" t="s">
        <v>1128</v>
      </c>
      <c r="O28" s="513" t="s">
        <v>1225</v>
      </c>
      <c r="P28" s="513" t="s">
        <v>1226</v>
      </c>
      <c r="Q28" s="513"/>
      <c r="R28" s="513" t="s">
        <v>1227</v>
      </c>
      <c r="S28" s="513" t="s">
        <v>1227</v>
      </c>
      <c r="T28" s="65">
        <f t="shared" ref="T28:T29" si="3">SUM(U28:AG28)</f>
        <v>1</v>
      </c>
      <c r="U28" s="58"/>
      <c r="V28" s="58"/>
      <c r="W28" s="58"/>
      <c r="X28" s="43"/>
      <c r="Y28" s="43"/>
      <c r="Z28" s="43"/>
      <c r="AA28" s="43">
        <v>1</v>
      </c>
      <c r="AB28" s="43"/>
      <c r="AC28" s="44"/>
      <c r="AD28" s="44"/>
      <c r="AE28" s="44"/>
      <c r="AF28" s="44"/>
      <c r="AG28" s="44"/>
      <c r="AH28" s="721"/>
      <c r="AI28" s="590" t="s">
        <v>1190</v>
      </c>
      <c r="AJ28" s="590"/>
      <c r="AK28" s="590"/>
      <c r="AL28" s="126"/>
      <c r="AM28" s="126"/>
      <c r="AN28" s="126"/>
      <c r="AO28" s="126"/>
      <c r="AP28" s="126"/>
      <c r="AQ28" s="126"/>
    </row>
    <row r="29" spans="1:43" ht="133.5" hidden="1" customHeight="1" x14ac:dyDescent="0.35">
      <c r="A29" s="719"/>
      <c r="B29" s="719"/>
      <c r="C29" s="719"/>
      <c r="D29" s="719"/>
      <c r="E29" s="719"/>
      <c r="F29" s="343"/>
      <c r="G29" s="709"/>
      <c r="H29" s="514"/>
      <c r="I29" s="514"/>
      <c r="J29" s="514"/>
      <c r="K29" s="514"/>
      <c r="L29" s="514"/>
      <c r="M29" s="514"/>
      <c r="N29" s="514"/>
      <c r="O29" s="514"/>
      <c r="P29" s="514"/>
      <c r="Q29" s="514"/>
      <c r="R29" s="514"/>
      <c r="S29" s="514"/>
      <c r="T29" s="65">
        <f t="shared" si="3"/>
        <v>1</v>
      </c>
      <c r="U29" s="42"/>
      <c r="V29" s="42"/>
      <c r="W29" s="42"/>
      <c r="X29" s="42"/>
      <c r="Y29" s="42"/>
      <c r="Z29" s="42"/>
      <c r="AA29" s="42">
        <v>1</v>
      </c>
      <c r="AB29" s="42"/>
      <c r="AC29" s="42"/>
      <c r="AD29" s="42"/>
      <c r="AE29" s="42"/>
      <c r="AF29" s="42"/>
      <c r="AG29" s="42"/>
      <c r="AH29" s="721"/>
      <c r="AI29" s="590"/>
      <c r="AJ29" s="590"/>
      <c r="AK29" s="590"/>
      <c r="AL29" s="126"/>
      <c r="AM29" s="126"/>
      <c r="AN29" s="126"/>
      <c r="AO29" s="126"/>
      <c r="AP29" s="126"/>
      <c r="AQ29" s="126"/>
    </row>
    <row r="30" spans="1:43" ht="133.5" hidden="1" customHeight="1" x14ac:dyDescent="0.35">
      <c r="A30" s="718">
        <v>9</v>
      </c>
      <c r="B30" s="718" t="s">
        <v>109</v>
      </c>
      <c r="C30" s="718" t="s">
        <v>1221</v>
      </c>
      <c r="D30" s="718" t="s">
        <v>111</v>
      </c>
      <c r="E30" s="718" t="s">
        <v>112</v>
      </c>
      <c r="F30" s="342"/>
      <c r="G30" s="708"/>
      <c r="H30" s="513" t="s">
        <v>1228</v>
      </c>
      <c r="I30" s="513" t="s">
        <v>1229</v>
      </c>
      <c r="J30" s="513" t="s">
        <v>246</v>
      </c>
      <c r="K30" s="513" t="s">
        <v>1199</v>
      </c>
      <c r="L30" s="513" t="s">
        <v>1186</v>
      </c>
      <c r="M30" s="513" t="s">
        <v>1186</v>
      </c>
      <c r="N30" s="513" t="s">
        <v>1128</v>
      </c>
      <c r="O30" s="513" t="s">
        <v>1230</v>
      </c>
      <c r="P30" s="513" t="s">
        <v>1231</v>
      </c>
      <c r="Q30" s="513"/>
      <c r="R30" s="513" t="s">
        <v>1232</v>
      </c>
      <c r="S30" s="513" t="s">
        <v>1232</v>
      </c>
      <c r="T30" s="65">
        <f t="shared" si="1"/>
        <v>1</v>
      </c>
      <c r="U30" s="58"/>
      <c r="V30" s="58"/>
      <c r="W30" s="58"/>
      <c r="X30" s="43"/>
      <c r="Y30" s="43"/>
      <c r="Z30" s="43"/>
      <c r="AA30" s="43">
        <v>1</v>
      </c>
      <c r="AB30" s="43"/>
      <c r="AC30" s="44"/>
      <c r="AD30" s="44"/>
      <c r="AE30" s="44"/>
      <c r="AF30" s="44"/>
      <c r="AG30" s="44"/>
      <c r="AH30" s="721"/>
      <c r="AI30" s="590" t="s">
        <v>1190</v>
      </c>
      <c r="AJ30" s="590"/>
      <c r="AK30" s="590"/>
      <c r="AL30" s="126"/>
      <c r="AM30" s="126"/>
      <c r="AN30" s="126"/>
      <c r="AO30" s="126"/>
      <c r="AP30" s="126"/>
      <c r="AQ30" s="126"/>
    </row>
    <row r="31" spans="1:43" ht="133.5" hidden="1" customHeight="1" x14ac:dyDescent="0.35">
      <c r="A31" s="719"/>
      <c r="B31" s="719"/>
      <c r="C31" s="719"/>
      <c r="D31" s="719"/>
      <c r="E31" s="719"/>
      <c r="F31" s="343"/>
      <c r="G31" s="709"/>
      <c r="H31" s="514"/>
      <c r="I31" s="514"/>
      <c r="J31" s="514"/>
      <c r="K31" s="514"/>
      <c r="L31" s="514"/>
      <c r="M31" s="514"/>
      <c r="N31" s="514"/>
      <c r="O31" s="514"/>
      <c r="P31" s="514"/>
      <c r="Q31" s="514"/>
      <c r="R31" s="514"/>
      <c r="S31" s="514"/>
      <c r="T31" s="65">
        <f t="shared" si="1"/>
        <v>1</v>
      </c>
      <c r="U31" s="42"/>
      <c r="V31" s="42"/>
      <c r="W31" s="42"/>
      <c r="X31" s="42"/>
      <c r="Y31" s="42"/>
      <c r="Z31" s="42"/>
      <c r="AA31" s="42">
        <v>1</v>
      </c>
      <c r="AB31" s="42"/>
      <c r="AC31" s="42"/>
      <c r="AD31" s="42"/>
      <c r="AE31" s="42"/>
      <c r="AF31" s="42"/>
      <c r="AG31" s="42"/>
      <c r="AH31" s="721"/>
      <c r="AI31" s="590"/>
      <c r="AJ31" s="590"/>
      <c r="AK31" s="590"/>
      <c r="AL31" s="126"/>
      <c r="AM31" s="126"/>
      <c r="AN31" s="126"/>
      <c r="AO31" s="126"/>
      <c r="AP31" s="126"/>
      <c r="AQ31" s="126"/>
    </row>
    <row r="32" spans="1:43" ht="85.5" hidden="1" customHeight="1" x14ac:dyDescent="0.35">
      <c r="A32" s="718">
        <v>10</v>
      </c>
      <c r="B32" s="718" t="s">
        <v>109</v>
      </c>
      <c r="C32" s="718" t="s">
        <v>259</v>
      </c>
      <c r="D32" s="718" t="s">
        <v>172</v>
      </c>
      <c r="E32" s="718" t="s">
        <v>176</v>
      </c>
      <c r="F32" s="342"/>
      <c r="G32" s="708"/>
      <c r="H32" s="513" t="s">
        <v>1233</v>
      </c>
      <c r="I32" s="513" t="s">
        <v>1234</v>
      </c>
      <c r="J32" s="513" t="s">
        <v>1235</v>
      </c>
      <c r="K32" s="513" t="s">
        <v>1199</v>
      </c>
      <c r="L32" s="513"/>
      <c r="M32" s="513" t="s">
        <v>1186</v>
      </c>
      <c r="N32" s="513" t="s">
        <v>1128</v>
      </c>
      <c r="O32" s="513" t="s">
        <v>1236</v>
      </c>
      <c r="P32" s="513" t="s">
        <v>1237</v>
      </c>
      <c r="Q32" s="513"/>
      <c r="R32" s="513" t="s">
        <v>1238</v>
      </c>
      <c r="S32" s="513" t="s">
        <v>1238</v>
      </c>
    </row>
    <row r="33" spans="1:19" ht="85.5" hidden="1" customHeight="1" x14ac:dyDescent="0.35">
      <c r="A33" s="719"/>
      <c r="B33" s="719"/>
      <c r="C33" s="719"/>
      <c r="D33" s="719"/>
      <c r="E33" s="719"/>
      <c r="F33" s="343"/>
      <c r="G33" s="709"/>
      <c r="H33" s="514"/>
      <c r="I33" s="514"/>
      <c r="J33" s="514"/>
      <c r="K33" s="514"/>
      <c r="L33" s="514"/>
      <c r="M33" s="514"/>
      <c r="N33" s="514"/>
      <c r="O33" s="514"/>
      <c r="P33" s="514"/>
      <c r="Q33" s="514"/>
      <c r="R33" s="514"/>
      <c r="S33" s="514"/>
    </row>
    <row r="34" spans="1:19" ht="85.5" hidden="1" customHeight="1" x14ac:dyDescent="0.35">
      <c r="A34" s="718">
        <v>11</v>
      </c>
      <c r="B34" s="718" t="s">
        <v>109</v>
      </c>
      <c r="C34" s="718" t="s">
        <v>259</v>
      </c>
      <c r="D34" s="718" t="s">
        <v>172</v>
      </c>
      <c r="E34" s="718" t="s">
        <v>176</v>
      </c>
      <c r="F34" s="342"/>
      <c r="G34" s="708"/>
      <c r="H34" s="513" t="s">
        <v>1239</v>
      </c>
      <c r="I34" s="513" t="s">
        <v>1240</v>
      </c>
      <c r="J34" s="513" t="s">
        <v>1235</v>
      </c>
      <c r="K34" s="513" t="s">
        <v>1199</v>
      </c>
      <c r="L34" s="513"/>
      <c r="M34" s="513" t="s">
        <v>1186</v>
      </c>
      <c r="N34" s="513" t="s">
        <v>1128</v>
      </c>
      <c r="O34" s="513" t="s">
        <v>1241</v>
      </c>
      <c r="P34" s="513" t="s">
        <v>1242</v>
      </c>
      <c r="Q34" s="513"/>
      <c r="R34" s="513" t="s">
        <v>1243</v>
      </c>
      <c r="S34" s="513" t="s">
        <v>1243</v>
      </c>
    </row>
    <row r="35" spans="1:19" ht="85.5" hidden="1" customHeight="1" x14ac:dyDescent="0.35">
      <c r="A35" s="719"/>
      <c r="B35" s="719"/>
      <c r="C35" s="719"/>
      <c r="D35" s="719"/>
      <c r="E35" s="719"/>
      <c r="F35" s="343"/>
      <c r="G35" s="709"/>
      <c r="H35" s="514"/>
      <c r="I35" s="514"/>
      <c r="J35" s="514"/>
      <c r="K35" s="514"/>
      <c r="L35" s="514"/>
      <c r="M35" s="514"/>
      <c r="N35" s="514"/>
      <c r="O35" s="514"/>
      <c r="P35" s="514"/>
      <c r="Q35" s="514"/>
      <c r="R35" s="514"/>
      <c r="S35" s="514"/>
    </row>
    <row r="36" spans="1:19" ht="85.5" hidden="1" customHeight="1" x14ac:dyDescent="0.35">
      <c r="A36" s="718">
        <v>12</v>
      </c>
      <c r="B36" s="718" t="s">
        <v>99</v>
      </c>
      <c r="C36" s="718" t="s">
        <v>1181</v>
      </c>
      <c r="D36" s="718" t="s">
        <v>130</v>
      </c>
      <c r="E36" s="718" t="s">
        <v>131</v>
      </c>
      <c r="F36" s="342"/>
      <c r="G36" s="708"/>
      <c r="H36" s="513" t="s">
        <v>1244</v>
      </c>
      <c r="I36" s="513" t="s">
        <v>1245</v>
      </c>
      <c r="J36" s="513" t="s">
        <v>1246</v>
      </c>
      <c r="K36" s="513" t="s">
        <v>1185</v>
      </c>
      <c r="L36" s="513" t="s">
        <v>1186</v>
      </c>
      <c r="M36" s="513" t="s">
        <v>1186</v>
      </c>
      <c r="N36" s="513" t="s">
        <v>1128</v>
      </c>
      <c r="O36" s="513" t="s">
        <v>1247</v>
      </c>
      <c r="P36" s="513" t="s">
        <v>1248</v>
      </c>
      <c r="Q36" s="513"/>
      <c r="R36" s="513" t="s">
        <v>1249</v>
      </c>
      <c r="S36" s="513" t="s">
        <v>1249</v>
      </c>
    </row>
    <row r="37" spans="1:19" ht="85.5" hidden="1" customHeight="1" x14ac:dyDescent="0.35">
      <c r="A37" s="719"/>
      <c r="B37" s="719"/>
      <c r="C37" s="719"/>
      <c r="D37" s="719"/>
      <c r="E37" s="719"/>
      <c r="F37" s="343"/>
      <c r="G37" s="709"/>
      <c r="H37" s="514"/>
      <c r="I37" s="514"/>
      <c r="J37" s="514"/>
      <c r="K37" s="514"/>
      <c r="L37" s="514"/>
      <c r="M37" s="514"/>
      <c r="N37" s="514"/>
      <c r="O37" s="514"/>
      <c r="P37" s="514"/>
      <c r="Q37" s="514"/>
      <c r="R37" s="514"/>
      <c r="S37" s="514"/>
    </row>
    <row r="38" spans="1:19" ht="14.5" hidden="1" x14ac:dyDescent="0.35">
      <c r="B38" s="1"/>
      <c r="C38" s="13" t="s">
        <v>84</v>
      </c>
      <c r="D38" s="1"/>
      <c r="E38" s="1" t="s">
        <v>200</v>
      </c>
      <c r="F38" s="1"/>
      <c r="G38" s="1" t="s">
        <v>201</v>
      </c>
      <c r="H38" s="1" t="s">
        <v>132</v>
      </c>
      <c r="I38" s="1"/>
      <c r="J38" s="1"/>
      <c r="K38" s="1"/>
      <c r="L38" s="1"/>
      <c r="M38" s="1"/>
      <c r="N38" s="1"/>
      <c r="O38" s="1"/>
    </row>
    <row r="39" spans="1:19" ht="14.5" hidden="1" x14ac:dyDescent="0.35">
      <c r="B39" s="1"/>
      <c r="C39" s="1"/>
      <c r="D39" s="1"/>
      <c r="E39" s="1" t="s">
        <v>202</v>
      </c>
      <c r="F39" s="1"/>
      <c r="G39" s="1" t="s">
        <v>203</v>
      </c>
      <c r="H39" s="1" t="s">
        <v>144</v>
      </c>
      <c r="I39" s="1"/>
      <c r="J39" s="1"/>
      <c r="K39" s="1"/>
      <c r="L39" s="1"/>
      <c r="M39" s="1"/>
      <c r="N39" s="1"/>
      <c r="O39" s="1"/>
    </row>
    <row r="40" spans="1:19" ht="14.5" hidden="1" x14ac:dyDescent="0.35">
      <c r="B40" s="1"/>
      <c r="C40" s="1"/>
      <c r="D40" s="1"/>
      <c r="E40" s="1" t="s">
        <v>204</v>
      </c>
      <c r="F40" s="1"/>
      <c r="G40" s="1" t="s">
        <v>205</v>
      </c>
      <c r="H40" s="1" t="s">
        <v>206</v>
      </c>
      <c r="I40" s="1"/>
      <c r="J40" s="1"/>
      <c r="K40" s="1"/>
      <c r="L40" s="1"/>
      <c r="M40" s="1"/>
      <c r="N40" s="1"/>
      <c r="O40" s="1"/>
    </row>
    <row r="41" spans="1:19" ht="14.5" hidden="1" x14ac:dyDescent="0.35">
      <c r="B41" s="1"/>
      <c r="C41" s="1"/>
      <c r="D41" s="1"/>
      <c r="E41" s="1" t="s">
        <v>86</v>
      </c>
      <c r="F41" s="1"/>
      <c r="G41" s="1"/>
      <c r="H41" s="1" t="s">
        <v>207</v>
      </c>
      <c r="I41" s="1"/>
      <c r="J41" s="1"/>
      <c r="K41" s="1"/>
      <c r="L41" s="1"/>
      <c r="M41" s="1"/>
      <c r="N41" s="1"/>
      <c r="O41" s="1"/>
    </row>
    <row r="42" spans="1:19" ht="14.5" hidden="1" x14ac:dyDescent="0.35">
      <c r="B42" s="1"/>
      <c r="C42" s="1"/>
      <c r="D42" s="1"/>
      <c r="E42" s="1" t="s">
        <v>208</v>
      </c>
      <c r="F42" s="1"/>
      <c r="G42" s="1"/>
      <c r="H42" s="1" t="s">
        <v>209</v>
      </c>
      <c r="I42" s="1"/>
      <c r="J42" s="1"/>
      <c r="K42" s="1"/>
      <c r="L42" s="1"/>
      <c r="M42" s="1"/>
      <c r="N42" s="1"/>
      <c r="O42" s="1"/>
    </row>
    <row r="43" spans="1:19" ht="14.5" hidden="1" x14ac:dyDescent="0.35">
      <c r="B43" s="1"/>
      <c r="C43" s="1"/>
      <c r="D43" s="1"/>
      <c r="E43" s="1" t="s">
        <v>101</v>
      </c>
      <c r="F43" s="1"/>
      <c r="G43" s="1"/>
      <c r="H43" s="1" t="s">
        <v>210</v>
      </c>
      <c r="I43" s="1"/>
      <c r="J43" s="1"/>
      <c r="K43" s="1"/>
      <c r="L43" s="1"/>
      <c r="M43" s="1"/>
      <c r="N43" s="1"/>
      <c r="O43" s="1"/>
    </row>
    <row r="44" spans="1:19" ht="14.5" hidden="1" x14ac:dyDescent="0.35">
      <c r="B44" s="1"/>
      <c r="C44" s="1"/>
      <c r="D44" s="1"/>
      <c r="E44" s="1" t="s">
        <v>143</v>
      </c>
      <c r="F44" s="1"/>
      <c r="G44" s="1"/>
      <c r="H44" s="1" t="s">
        <v>211</v>
      </c>
      <c r="I44" s="1"/>
      <c r="J44" s="1"/>
      <c r="K44" s="1"/>
      <c r="L44" s="1"/>
      <c r="M44" s="1"/>
      <c r="N44" s="1"/>
      <c r="O44" s="1"/>
    </row>
    <row r="45" spans="1:19" ht="14.5" hidden="1" x14ac:dyDescent="0.35">
      <c r="B45" s="1"/>
      <c r="C45" s="1"/>
      <c r="D45" s="1"/>
      <c r="E45" s="1" t="s">
        <v>212</v>
      </c>
      <c r="F45" s="1"/>
      <c r="G45" s="1"/>
      <c r="H45" s="1" t="s">
        <v>213</v>
      </c>
      <c r="I45" s="1"/>
      <c r="J45" s="1"/>
      <c r="K45" s="1"/>
      <c r="L45" s="1"/>
      <c r="M45" s="1"/>
      <c r="N45" s="1"/>
      <c r="O45" s="1"/>
    </row>
    <row r="46" spans="1:19" ht="14.5" hidden="1" x14ac:dyDescent="0.35">
      <c r="B46" s="1"/>
      <c r="C46" s="1"/>
      <c r="D46" s="1"/>
      <c r="E46" s="1" t="s">
        <v>112</v>
      </c>
      <c r="F46" s="1"/>
      <c r="G46" s="1"/>
      <c r="H46" s="1" t="s">
        <v>214</v>
      </c>
      <c r="I46" s="1"/>
      <c r="J46" s="1"/>
      <c r="K46" s="1"/>
      <c r="L46" s="1"/>
      <c r="M46" s="1"/>
      <c r="N46" s="1"/>
      <c r="O46" s="1"/>
    </row>
    <row r="47" spans="1:19" ht="14.5" hidden="1" x14ac:dyDescent="0.35">
      <c r="B47" s="1"/>
      <c r="C47" s="1"/>
      <c r="D47" s="1"/>
      <c r="E47" s="1" t="s">
        <v>215</v>
      </c>
      <c r="F47" s="1"/>
      <c r="G47" s="1"/>
      <c r="H47" s="1" t="s">
        <v>216</v>
      </c>
      <c r="I47" s="1"/>
      <c r="J47" s="1"/>
      <c r="K47" s="1"/>
      <c r="L47" s="1"/>
      <c r="M47" s="1"/>
      <c r="N47" s="1"/>
      <c r="O47" s="1"/>
    </row>
    <row r="48" spans="1:19" ht="14.5" hidden="1" x14ac:dyDescent="0.35">
      <c r="B48" s="1"/>
      <c r="C48" s="1"/>
      <c r="D48" s="1"/>
      <c r="E48" s="1"/>
      <c r="F48" s="1"/>
      <c r="G48" s="1"/>
      <c r="H48" s="1" t="s">
        <v>217</v>
      </c>
      <c r="I48" s="1"/>
      <c r="J48" s="1"/>
      <c r="K48" s="1"/>
      <c r="L48" s="1"/>
      <c r="M48" s="1"/>
      <c r="N48" s="1"/>
      <c r="O48" s="1"/>
    </row>
    <row r="49" spans="2:15" ht="14.5" hidden="1" x14ac:dyDescent="0.35">
      <c r="B49" s="1"/>
      <c r="C49" s="1"/>
      <c r="D49" s="1"/>
      <c r="E49" s="1"/>
      <c r="F49" s="1"/>
      <c r="G49" s="1"/>
      <c r="H49" s="1" t="s">
        <v>218</v>
      </c>
      <c r="I49" s="1"/>
      <c r="J49" s="1"/>
      <c r="K49" s="1"/>
      <c r="L49" s="1"/>
      <c r="M49" s="1"/>
      <c r="N49" s="1"/>
      <c r="O49" s="1"/>
    </row>
    <row r="50" spans="2:15" ht="14.5" hidden="1" x14ac:dyDescent="0.35">
      <c r="B50" s="1"/>
      <c r="C50" s="1"/>
      <c r="D50" s="1"/>
      <c r="E50" s="1"/>
      <c r="F50" s="1"/>
      <c r="G50" s="1"/>
      <c r="H50" s="1" t="s">
        <v>219</v>
      </c>
      <c r="I50" s="1"/>
      <c r="J50" s="1"/>
      <c r="K50" s="1"/>
      <c r="L50" s="1"/>
      <c r="M50" s="1"/>
      <c r="N50" s="1"/>
      <c r="O50" s="1"/>
    </row>
    <row r="51" spans="2:15" ht="14.5" hidden="1" x14ac:dyDescent="0.35">
      <c r="B51" s="1"/>
      <c r="C51" s="1"/>
      <c r="D51" s="1"/>
      <c r="E51" s="1"/>
      <c r="F51" s="1"/>
      <c r="G51" s="1"/>
      <c r="H51" s="1" t="s">
        <v>220</v>
      </c>
      <c r="I51" s="1"/>
      <c r="J51" s="1"/>
      <c r="K51" s="1"/>
      <c r="L51" s="1"/>
      <c r="M51" s="1"/>
      <c r="N51" s="1"/>
      <c r="O51" s="1"/>
    </row>
    <row r="52" spans="2:15" ht="14.5" hidden="1" x14ac:dyDescent="0.35">
      <c r="B52" s="1"/>
      <c r="C52" s="1"/>
      <c r="D52" s="1"/>
      <c r="E52" s="1"/>
      <c r="F52" s="1"/>
      <c r="G52" s="1"/>
      <c r="H52" s="1" t="s">
        <v>221</v>
      </c>
      <c r="I52" s="1"/>
      <c r="J52" s="1"/>
      <c r="K52" s="1"/>
      <c r="L52" s="1"/>
      <c r="M52" s="1"/>
      <c r="N52" s="1"/>
      <c r="O52" s="1"/>
    </row>
    <row r="53" spans="2:15" ht="14.5" hidden="1" x14ac:dyDescent="0.35">
      <c r="B53" s="1"/>
      <c r="C53" s="1"/>
      <c r="D53" s="1"/>
      <c r="E53" s="1"/>
      <c r="F53" s="1"/>
      <c r="G53" s="1"/>
      <c r="H53" s="1" t="s">
        <v>222</v>
      </c>
      <c r="I53" s="1"/>
      <c r="J53" s="1"/>
      <c r="K53" s="1"/>
      <c r="L53" s="1"/>
      <c r="M53" s="1"/>
      <c r="N53" s="1"/>
      <c r="O53" s="1"/>
    </row>
    <row r="54" spans="2:15" ht="14.5" hidden="1" x14ac:dyDescent="0.35">
      <c r="B54" s="1"/>
      <c r="C54" s="1"/>
      <c r="D54" s="1"/>
      <c r="E54" s="1"/>
      <c r="F54" s="1"/>
      <c r="G54" s="1"/>
      <c r="H54" s="1" t="s">
        <v>223</v>
      </c>
      <c r="I54" s="1"/>
      <c r="J54" s="1"/>
      <c r="K54" s="1"/>
      <c r="L54" s="1"/>
      <c r="M54" s="1"/>
      <c r="N54" s="1"/>
      <c r="O54" s="1"/>
    </row>
    <row r="55" spans="2:15" ht="14.5" hidden="1" x14ac:dyDescent="0.35">
      <c r="B55" s="1"/>
      <c r="C55" s="1"/>
      <c r="D55" s="1"/>
      <c r="E55" s="1"/>
      <c r="F55" s="1"/>
      <c r="G55" s="1"/>
      <c r="H55" s="1" t="s">
        <v>224</v>
      </c>
      <c r="I55" s="1"/>
      <c r="J55" s="1"/>
      <c r="K55" s="1"/>
      <c r="L55" s="1"/>
      <c r="M55" s="1"/>
      <c r="N55" s="1"/>
      <c r="O55" s="1"/>
    </row>
    <row r="56" spans="2:15" ht="14.5" hidden="1" x14ac:dyDescent="0.35">
      <c r="B56" s="1"/>
      <c r="C56" s="1"/>
      <c r="D56" s="1"/>
      <c r="E56" s="1"/>
      <c r="F56" s="1"/>
      <c r="G56" s="1"/>
      <c r="H56" s="1" t="s">
        <v>225</v>
      </c>
      <c r="I56" s="1"/>
      <c r="J56" s="1"/>
      <c r="K56" s="1"/>
      <c r="L56" s="1"/>
      <c r="M56" s="1"/>
      <c r="N56" s="1"/>
      <c r="O56" s="1"/>
    </row>
    <row r="57" spans="2:15" ht="14.5" hidden="1" x14ac:dyDescent="0.35">
      <c r="B57" s="1"/>
      <c r="C57" s="1"/>
      <c r="D57" s="1"/>
      <c r="E57" s="1"/>
      <c r="F57" s="1"/>
      <c r="G57" s="1"/>
      <c r="H57" s="1" t="s">
        <v>226</v>
      </c>
      <c r="I57" s="1"/>
      <c r="J57" s="1"/>
      <c r="K57" s="1"/>
      <c r="L57" s="1"/>
      <c r="M57" s="1"/>
      <c r="N57" s="1"/>
      <c r="O57" s="1"/>
    </row>
    <row r="58" spans="2:15" ht="14.5" hidden="1" x14ac:dyDescent="0.35">
      <c r="B58" s="1"/>
      <c r="C58" s="1"/>
      <c r="D58" s="1"/>
      <c r="E58" s="1"/>
      <c r="F58" s="1"/>
      <c r="G58" s="1"/>
      <c r="H58" s="1" t="s">
        <v>227</v>
      </c>
      <c r="I58" s="1"/>
      <c r="J58" s="1"/>
      <c r="K58" s="1"/>
      <c r="L58" s="1"/>
      <c r="M58" s="1"/>
      <c r="N58" s="1"/>
      <c r="O58" s="1"/>
    </row>
    <row r="59" spans="2:15" ht="14.5" hidden="1" x14ac:dyDescent="0.35">
      <c r="B59" s="1"/>
      <c r="C59" s="1"/>
      <c r="D59" s="1"/>
      <c r="E59" s="1"/>
      <c r="F59" s="1"/>
      <c r="G59" s="1"/>
      <c r="H59" s="1" t="s">
        <v>228</v>
      </c>
      <c r="I59" s="1"/>
      <c r="J59" s="1"/>
      <c r="K59" s="1"/>
      <c r="L59" s="1"/>
      <c r="M59" s="1"/>
      <c r="N59" s="1"/>
      <c r="O59" s="1"/>
    </row>
    <row r="60" spans="2:15" ht="14.5" hidden="1" x14ac:dyDescent="0.35">
      <c r="B60" s="1"/>
      <c r="C60" s="1"/>
      <c r="D60" s="1"/>
      <c r="E60" s="1"/>
      <c r="F60" s="1"/>
      <c r="G60" s="1"/>
      <c r="H60" s="1" t="s">
        <v>229</v>
      </c>
      <c r="I60" s="1"/>
      <c r="J60" s="1"/>
      <c r="K60" s="1"/>
      <c r="L60" s="1"/>
      <c r="M60" s="1"/>
      <c r="N60" s="1"/>
      <c r="O60" s="1"/>
    </row>
    <row r="61" spans="2:15" ht="14.5" hidden="1" x14ac:dyDescent="0.35">
      <c r="B61" s="1"/>
      <c r="C61" s="1"/>
      <c r="D61" s="1"/>
      <c r="E61" s="1"/>
      <c r="F61" s="1"/>
      <c r="G61" s="1"/>
      <c r="H61" s="1" t="s">
        <v>230</v>
      </c>
      <c r="I61" s="1"/>
      <c r="J61" s="1"/>
      <c r="K61" s="1"/>
      <c r="L61" s="1"/>
      <c r="M61" s="1"/>
      <c r="N61" s="1"/>
      <c r="O61" s="1"/>
    </row>
    <row r="62" spans="2:15" ht="14.5" hidden="1" x14ac:dyDescent="0.35">
      <c r="B62" s="1"/>
      <c r="C62" s="1"/>
      <c r="D62" s="1"/>
      <c r="E62" s="1"/>
      <c r="F62" s="1"/>
      <c r="G62" s="1"/>
      <c r="H62" s="1" t="s">
        <v>119</v>
      </c>
      <c r="I62" s="1"/>
      <c r="J62" s="1"/>
      <c r="K62" s="1"/>
      <c r="L62" s="1"/>
      <c r="M62" s="1"/>
      <c r="N62" s="1"/>
      <c r="O62" s="1"/>
    </row>
    <row r="63" spans="2:15" ht="14.5" hidden="1" x14ac:dyDescent="0.35">
      <c r="B63" s="1"/>
      <c r="C63" s="1"/>
      <c r="D63" s="1"/>
      <c r="E63" s="1"/>
      <c r="F63" s="1"/>
      <c r="G63" s="1"/>
      <c r="H63" s="1" t="s">
        <v>138</v>
      </c>
      <c r="I63" s="1"/>
      <c r="J63" s="1"/>
      <c r="K63" s="1"/>
      <c r="L63" s="1"/>
      <c r="M63" s="1"/>
      <c r="N63" s="1"/>
      <c r="O63" s="1"/>
    </row>
    <row r="64" spans="2:15" ht="14.5" hidden="1" x14ac:dyDescent="0.35">
      <c r="B64" s="1"/>
      <c r="C64" s="1"/>
      <c r="D64" s="1"/>
      <c r="E64" s="1"/>
      <c r="F64" s="1"/>
      <c r="G64" s="1"/>
      <c r="H64" s="1" t="s">
        <v>231</v>
      </c>
      <c r="I64" s="1"/>
      <c r="J64" s="1"/>
      <c r="K64" s="1"/>
      <c r="L64" s="1"/>
      <c r="M64" s="1"/>
      <c r="N64" s="1"/>
      <c r="O64" s="1"/>
    </row>
    <row r="65" spans="2:15" ht="14.5" hidden="1" x14ac:dyDescent="0.35">
      <c r="B65" s="1"/>
      <c r="C65" s="1"/>
      <c r="D65" s="1"/>
      <c r="E65" s="1"/>
      <c r="F65" s="1"/>
      <c r="G65" s="1"/>
      <c r="H65" s="1" t="s">
        <v>232</v>
      </c>
      <c r="I65" s="1"/>
      <c r="J65" s="1"/>
      <c r="K65" s="1"/>
      <c r="L65" s="1"/>
      <c r="M65" s="1"/>
      <c r="N65" s="1"/>
      <c r="O65" s="1"/>
    </row>
    <row r="66" spans="2:15" ht="14.5" hidden="1" x14ac:dyDescent="0.35">
      <c r="B66" s="1"/>
      <c r="C66" s="1"/>
      <c r="D66" s="1"/>
      <c r="E66" s="1"/>
      <c r="F66" s="1"/>
      <c r="G66" s="1"/>
      <c r="H66" s="1" t="s">
        <v>233</v>
      </c>
      <c r="I66" s="1"/>
      <c r="J66" s="1"/>
      <c r="K66" s="1"/>
      <c r="L66" s="1"/>
      <c r="M66" s="1"/>
      <c r="N66" s="1"/>
      <c r="O66" s="1"/>
    </row>
    <row r="67" spans="2:15" ht="14.5" hidden="1" x14ac:dyDescent="0.35">
      <c r="B67" s="1"/>
      <c r="C67" s="1"/>
      <c r="D67" s="1"/>
      <c r="E67" s="1"/>
      <c r="F67" s="1"/>
      <c r="G67" s="1"/>
      <c r="H67" s="1" t="s">
        <v>87</v>
      </c>
      <c r="I67" s="1"/>
      <c r="J67" s="1"/>
      <c r="K67" s="1"/>
      <c r="L67" s="1"/>
      <c r="M67" s="1"/>
      <c r="N67" s="1"/>
      <c r="O67" s="1"/>
    </row>
    <row r="68" spans="2:15" ht="14.5" hidden="1" x14ac:dyDescent="0.35">
      <c r="B68" s="1"/>
      <c r="C68" s="1"/>
      <c r="D68" s="1"/>
      <c r="E68" s="1"/>
      <c r="F68" s="1"/>
      <c r="G68" s="1"/>
      <c r="H68" s="1" t="s">
        <v>234</v>
      </c>
      <c r="I68" s="1"/>
      <c r="J68" s="1"/>
      <c r="K68" s="1"/>
      <c r="L68" s="1"/>
      <c r="M68" s="1"/>
      <c r="N68" s="1"/>
      <c r="O68" s="1"/>
    </row>
    <row r="69" spans="2:15" ht="14.5" hidden="1" x14ac:dyDescent="0.35">
      <c r="B69" s="1"/>
      <c r="C69" s="1"/>
      <c r="D69" s="1"/>
      <c r="E69" s="1"/>
      <c r="F69" s="1"/>
      <c r="G69" s="1"/>
      <c r="H69" s="1" t="s">
        <v>235</v>
      </c>
      <c r="I69" s="1"/>
      <c r="J69" s="1"/>
      <c r="K69" s="1"/>
      <c r="L69" s="1"/>
      <c r="M69" s="1"/>
      <c r="N69" s="1"/>
      <c r="O69" s="1"/>
    </row>
    <row r="70" spans="2:15" ht="14.5" hidden="1" x14ac:dyDescent="0.35">
      <c r="B70" s="1"/>
      <c r="C70" s="1"/>
      <c r="D70" s="1"/>
      <c r="E70" s="1"/>
      <c r="F70" s="1"/>
      <c r="G70" s="1"/>
      <c r="H70" s="1" t="s">
        <v>236</v>
      </c>
      <c r="I70" s="1"/>
      <c r="J70" s="1"/>
      <c r="K70" s="1"/>
      <c r="L70" s="1"/>
      <c r="M70" s="1"/>
      <c r="N70" s="1"/>
      <c r="O70" s="1"/>
    </row>
    <row r="71" spans="2:15" ht="14.5" hidden="1" x14ac:dyDescent="0.35">
      <c r="B71" s="1"/>
      <c r="C71" s="1"/>
      <c r="D71" s="1"/>
      <c r="E71" s="1"/>
      <c r="F71" s="1"/>
      <c r="G71" s="1"/>
      <c r="H71" s="1" t="s">
        <v>237</v>
      </c>
      <c r="I71" s="1"/>
      <c r="J71" s="1"/>
      <c r="K71" s="1"/>
      <c r="L71" s="1"/>
      <c r="M71" s="1"/>
      <c r="N71" s="1"/>
      <c r="O71" s="1"/>
    </row>
    <row r="72" spans="2:15" ht="14.5" hidden="1" x14ac:dyDescent="0.35">
      <c r="B72" s="1"/>
      <c r="C72" s="1"/>
      <c r="D72" s="1"/>
      <c r="E72" s="1"/>
      <c r="F72" s="1"/>
      <c r="G72" s="1"/>
      <c r="H72" s="1" t="s">
        <v>238</v>
      </c>
      <c r="I72" s="1"/>
      <c r="J72" s="1"/>
      <c r="K72" s="1"/>
      <c r="L72" s="1"/>
      <c r="M72" s="1"/>
      <c r="N72" s="1"/>
      <c r="O72" s="1"/>
    </row>
    <row r="73" spans="2:15" ht="14.5" hidden="1" x14ac:dyDescent="0.35">
      <c r="B73" s="1"/>
      <c r="C73" s="1"/>
      <c r="D73" s="1"/>
      <c r="E73" s="1"/>
      <c r="F73" s="1"/>
      <c r="G73" s="1"/>
      <c r="H73" s="1" t="s">
        <v>239</v>
      </c>
      <c r="I73" s="1"/>
      <c r="J73" s="1"/>
      <c r="K73" s="1"/>
      <c r="L73" s="1"/>
      <c r="M73" s="1"/>
      <c r="N73" s="1"/>
      <c r="O73" s="1"/>
    </row>
    <row r="74" spans="2:15" ht="14.5" hidden="1" x14ac:dyDescent="0.35">
      <c r="B74" s="1"/>
      <c r="C74" s="1"/>
      <c r="D74" s="1"/>
      <c r="E74" s="1"/>
      <c r="F74" s="1"/>
      <c r="G74" s="1"/>
      <c r="H74" s="1" t="s">
        <v>240</v>
      </c>
      <c r="I74" s="1"/>
      <c r="J74" s="1"/>
      <c r="K74" s="1"/>
      <c r="L74" s="1"/>
      <c r="M74" s="1"/>
      <c r="N74" s="1"/>
      <c r="O74" s="1"/>
    </row>
    <row r="75" spans="2:15" ht="14.5" hidden="1" x14ac:dyDescent="0.35">
      <c r="B75" s="1"/>
      <c r="C75" s="1"/>
      <c r="D75" s="1"/>
      <c r="E75" s="1"/>
      <c r="F75" s="1"/>
      <c r="G75" s="1"/>
      <c r="H75" s="1" t="s">
        <v>241</v>
      </c>
      <c r="I75" s="1"/>
      <c r="J75" s="1"/>
      <c r="K75" s="1"/>
      <c r="L75" s="1"/>
      <c r="M75" s="1"/>
      <c r="N75" s="1"/>
      <c r="O75" s="1"/>
    </row>
    <row r="76" spans="2:15" ht="14.5" hidden="1" x14ac:dyDescent="0.35">
      <c r="B76" s="1"/>
      <c r="C76" s="1"/>
      <c r="D76" s="1"/>
      <c r="E76" s="1"/>
      <c r="F76" s="1"/>
      <c r="G76" s="1"/>
      <c r="H76" s="1" t="s">
        <v>242</v>
      </c>
      <c r="I76" s="1"/>
      <c r="J76" s="1"/>
      <c r="K76" s="1"/>
      <c r="L76" s="1"/>
      <c r="M76" s="1"/>
      <c r="N76" s="1"/>
      <c r="O76" s="1"/>
    </row>
    <row r="77" spans="2:15" ht="14.5" hidden="1" x14ac:dyDescent="0.35">
      <c r="B77" s="1"/>
      <c r="C77" s="1"/>
      <c r="D77" s="1"/>
      <c r="E77" s="1"/>
      <c r="F77" s="1"/>
      <c r="G77" s="1"/>
      <c r="H77" s="1" t="s">
        <v>243</v>
      </c>
      <c r="I77" s="1"/>
      <c r="J77" s="1"/>
      <c r="K77" s="1"/>
      <c r="L77" s="1"/>
      <c r="M77" s="1"/>
      <c r="N77" s="1"/>
      <c r="O77" s="1"/>
    </row>
    <row r="78" spans="2:15" ht="14.5" hidden="1" x14ac:dyDescent="0.35">
      <c r="B78" s="1"/>
      <c r="C78" s="1"/>
      <c r="D78" s="1"/>
      <c r="E78" s="1"/>
      <c r="F78" s="1"/>
      <c r="G78" s="1"/>
      <c r="H78" s="1" t="s">
        <v>244</v>
      </c>
      <c r="I78" s="1"/>
      <c r="J78" s="1"/>
      <c r="K78" s="1"/>
      <c r="L78" s="1"/>
      <c r="M78" s="1"/>
      <c r="N78" s="1"/>
      <c r="O78" s="1"/>
    </row>
    <row r="79" spans="2:15" ht="14.5" hidden="1" x14ac:dyDescent="0.35">
      <c r="B79" s="1"/>
      <c r="C79" s="1"/>
      <c r="D79" s="1"/>
      <c r="E79" s="1"/>
      <c r="F79" s="1"/>
      <c r="G79" s="1"/>
      <c r="H79" s="1" t="s">
        <v>245</v>
      </c>
      <c r="I79" s="1"/>
      <c r="J79" s="1"/>
      <c r="K79" s="1"/>
      <c r="L79" s="1"/>
      <c r="M79" s="1"/>
      <c r="N79" s="1"/>
      <c r="O79" s="1"/>
    </row>
    <row r="80" spans="2:15" ht="14.5" hidden="1" x14ac:dyDescent="0.35">
      <c r="B80" s="1"/>
      <c r="C80" s="1"/>
      <c r="D80" s="1"/>
      <c r="E80" s="1"/>
      <c r="F80" s="1"/>
      <c r="G80" s="1"/>
      <c r="H80" s="1" t="s">
        <v>246</v>
      </c>
      <c r="I80" s="1"/>
      <c r="J80" s="1"/>
      <c r="K80" s="1"/>
      <c r="L80" s="1"/>
      <c r="M80" s="1"/>
      <c r="N80" s="1"/>
      <c r="O80" s="1"/>
    </row>
    <row r="81" spans="2:15" ht="14.5" hidden="1" x14ac:dyDescent="0.35">
      <c r="B81" s="1"/>
      <c r="C81" s="1"/>
      <c r="D81" s="1"/>
      <c r="E81" s="1"/>
      <c r="F81" s="1"/>
      <c r="G81" s="1"/>
      <c r="H81" s="1" t="s">
        <v>39</v>
      </c>
      <c r="I81" s="1"/>
      <c r="J81" s="1"/>
      <c r="K81" s="1"/>
      <c r="L81" s="1"/>
      <c r="M81" s="1"/>
      <c r="N81" s="1"/>
      <c r="O81" s="1"/>
    </row>
    <row r="82" spans="2:15" ht="14.5" hidden="1" x14ac:dyDescent="0.35">
      <c r="B82" s="1"/>
      <c r="C82" s="1"/>
      <c r="D82" s="1"/>
      <c r="E82" s="1"/>
      <c r="F82" s="1"/>
      <c r="G82" s="1"/>
      <c r="H82" s="1" t="s">
        <v>247</v>
      </c>
      <c r="I82" s="1"/>
      <c r="J82" s="1"/>
      <c r="K82" s="1"/>
      <c r="L82" s="1"/>
      <c r="M82" s="1"/>
      <c r="N82" s="1"/>
      <c r="O82" s="1"/>
    </row>
    <row r="83" spans="2:15" ht="14.5" hidden="1" x14ac:dyDescent="0.35">
      <c r="B83" s="1"/>
      <c r="C83" s="1"/>
      <c r="D83" s="1"/>
      <c r="E83" s="1"/>
      <c r="F83" s="1"/>
      <c r="G83" s="1"/>
      <c r="H83" s="1" t="s">
        <v>248</v>
      </c>
      <c r="I83" s="1"/>
      <c r="J83" s="1"/>
      <c r="K83" s="1"/>
      <c r="L83" s="1"/>
      <c r="M83" s="1"/>
      <c r="N83" s="1"/>
      <c r="O83" s="1"/>
    </row>
    <row r="84" spans="2:15" ht="14.5" hidden="1" x14ac:dyDescent="0.35">
      <c r="B84" s="1"/>
      <c r="C84" s="1"/>
      <c r="D84" s="1"/>
      <c r="E84" s="1"/>
      <c r="F84" s="1"/>
      <c r="G84" s="1"/>
      <c r="H84" s="1" t="s">
        <v>249</v>
      </c>
      <c r="I84" s="1"/>
      <c r="J84" s="1"/>
      <c r="K84" s="1"/>
      <c r="L84" s="1"/>
      <c r="M84" s="1"/>
      <c r="N84" s="1"/>
      <c r="O84" s="1"/>
    </row>
    <row r="85" spans="2:15" ht="14.5" hidden="1" x14ac:dyDescent="0.35">
      <c r="B85" s="1"/>
      <c r="C85" s="1"/>
      <c r="D85" s="1"/>
      <c r="E85" s="1"/>
      <c r="F85" s="1"/>
      <c r="G85" s="1"/>
      <c r="H85" s="1" t="s">
        <v>250</v>
      </c>
      <c r="I85" s="1"/>
      <c r="J85" s="1"/>
      <c r="K85" s="1"/>
      <c r="L85" s="1"/>
      <c r="M85" s="1"/>
      <c r="N85" s="1"/>
      <c r="O85" s="1"/>
    </row>
    <row r="86" spans="2:15" ht="14.5" hidden="1" x14ac:dyDescent="0.35">
      <c r="B86" s="1"/>
      <c r="C86" s="1"/>
      <c r="D86" s="1"/>
      <c r="E86" s="1"/>
      <c r="F86" s="1"/>
      <c r="G86" s="1"/>
      <c r="H86" s="1" t="s">
        <v>251</v>
      </c>
      <c r="I86" s="1"/>
      <c r="J86" s="1"/>
      <c r="K86" s="1"/>
      <c r="L86" s="1"/>
      <c r="M86" s="1"/>
      <c r="N86" s="1"/>
      <c r="O86" s="1"/>
    </row>
    <row r="87" spans="2:15" ht="14.5" hidden="1" x14ac:dyDescent="0.35">
      <c r="B87" s="1"/>
      <c r="C87" s="1"/>
      <c r="D87" s="1"/>
      <c r="E87" s="1"/>
      <c r="F87" s="1"/>
      <c r="G87" s="1"/>
      <c r="H87" s="1" t="s">
        <v>252</v>
      </c>
      <c r="I87" s="1"/>
      <c r="J87" s="1"/>
      <c r="K87" s="1"/>
      <c r="L87" s="1"/>
      <c r="M87" s="1"/>
      <c r="N87" s="1"/>
      <c r="O87" s="1"/>
    </row>
    <row r="88" spans="2:15" ht="14.5" hidden="1" x14ac:dyDescent="0.35">
      <c r="B88" s="1"/>
      <c r="C88" s="1"/>
      <c r="D88" s="1"/>
      <c r="E88" s="1"/>
      <c r="F88" s="1"/>
      <c r="G88" s="1"/>
      <c r="H88" s="1" t="s">
        <v>253</v>
      </c>
      <c r="I88" s="1"/>
      <c r="J88" s="1"/>
      <c r="K88" s="1"/>
      <c r="L88" s="1"/>
      <c r="M88" s="1"/>
      <c r="N88" s="1"/>
      <c r="O88" s="1"/>
    </row>
    <row r="89" spans="2:15" ht="14.5" hidden="1" x14ac:dyDescent="0.35"/>
    <row r="90" spans="2:15" ht="14.5" hidden="1" x14ac:dyDescent="0.35"/>
    <row r="91" spans="2:15" ht="14.5" hidden="1" x14ac:dyDescent="0.35"/>
    <row r="92" spans="2:15" ht="14.5" hidden="1" x14ac:dyDescent="0.35"/>
    <row r="93" spans="2:15" ht="14.5" hidden="1" x14ac:dyDescent="0.35"/>
    <row r="94" spans="2:15" ht="14.5" hidden="1" x14ac:dyDescent="0.35"/>
    <row r="95" spans="2:15" ht="14.5" hidden="1" x14ac:dyDescent="0.35"/>
    <row r="96" spans="2:15" ht="14.5" hidden="1" x14ac:dyDescent="0.35"/>
    <row r="97" ht="14.5" hidden="1" x14ac:dyDescent="0.35"/>
    <row r="98" ht="14.5" hidden="1" x14ac:dyDescent="0.35"/>
    <row r="99" ht="14.5" hidden="1" x14ac:dyDescent="0.35"/>
    <row r="100" ht="14.5" hidden="1" x14ac:dyDescent="0.35"/>
    <row r="101" ht="14.5" hidden="1" x14ac:dyDescent="0.35"/>
    <row r="102" ht="14.5" hidden="1" x14ac:dyDescent="0.35"/>
    <row r="103" ht="14.5" hidden="1" x14ac:dyDescent="0.35"/>
    <row r="104" ht="14.5" hidden="1" x14ac:dyDescent="0.35"/>
    <row r="105" ht="14.5" hidden="1" x14ac:dyDescent="0.35"/>
    <row r="106" ht="14.5" hidden="1" x14ac:dyDescent="0.35"/>
  </sheetData>
  <sheetProtection formatCells="0" formatColumns="0" formatRows="0" insertColumns="0" insertRows="0" insertHyperlinks="0" deleteColumns="0" deleteRows="0" sort="0" autoFilter="0" pivotTables="0"/>
  <autoFilter ref="A13:AQ88" xr:uid="{D8B297E4-155D-458B-9E28-78AED7DA54BC}">
    <filterColumn colId="9">
      <filters>
        <filter val="GERENCIA DE SERVICIO"/>
      </filters>
    </filterColumn>
  </autoFilter>
  <mergeCells count="309">
    <mergeCell ref="N32:N33"/>
    <mergeCell ref="N34:N35"/>
    <mergeCell ref="N36:N37"/>
    <mergeCell ref="S36:S37"/>
    <mergeCell ref="S22:S23"/>
    <mergeCell ref="S24:S25"/>
    <mergeCell ref="S26:S27"/>
    <mergeCell ref="S28:S29"/>
    <mergeCell ref="S30:S31"/>
    <mergeCell ref="P24:P25"/>
    <mergeCell ref="O24:O25"/>
    <mergeCell ref="N22:N23"/>
    <mergeCell ref="N24:N25"/>
    <mergeCell ref="N26:N27"/>
    <mergeCell ref="N28:N29"/>
    <mergeCell ref="Q18:Q19"/>
    <mergeCell ref="K34:K35"/>
    <mergeCell ref="L34:L35"/>
    <mergeCell ref="M34:M35"/>
    <mergeCell ref="O34:O35"/>
    <mergeCell ref="P34:P35"/>
    <mergeCell ref="Q34:Q35"/>
    <mergeCell ref="R34:R35"/>
    <mergeCell ref="S34:S35"/>
    <mergeCell ref="K32:K33"/>
    <mergeCell ref="L32:L33"/>
    <mergeCell ref="M32:M33"/>
    <mergeCell ref="O32:O33"/>
    <mergeCell ref="P32:P33"/>
    <mergeCell ref="Q32:Q33"/>
    <mergeCell ref="R32:R33"/>
    <mergeCell ref="S32:S33"/>
    <mergeCell ref="K26:K27"/>
    <mergeCell ref="L26:L27"/>
    <mergeCell ref="M26:M27"/>
    <mergeCell ref="O26:O27"/>
    <mergeCell ref="P26:P27"/>
    <mergeCell ref="Q26:Q27"/>
    <mergeCell ref="R26:R27"/>
    <mergeCell ref="K36:K37"/>
    <mergeCell ref="L36:L37"/>
    <mergeCell ref="M36:M37"/>
    <mergeCell ref="O36:O37"/>
    <mergeCell ref="P36:P37"/>
    <mergeCell ref="Q36:Q37"/>
    <mergeCell ref="R36:R37"/>
    <mergeCell ref="A36:A37"/>
    <mergeCell ref="B36:B37"/>
    <mergeCell ref="C36:C37"/>
    <mergeCell ref="D36:D37"/>
    <mergeCell ref="E36:E37"/>
    <mergeCell ref="G36:G37"/>
    <mergeCell ref="H36:H37"/>
    <mergeCell ref="I36:I37"/>
    <mergeCell ref="J36:J37"/>
    <mergeCell ref="A34:A35"/>
    <mergeCell ref="B34:B35"/>
    <mergeCell ref="C34:C35"/>
    <mergeCell ref="D34:D35"/>
    <mergeCell ref="E34:E35"/>
    <mergeCell ref="G34:G35"/>
    <mergeCell ref="H34:H35"/>
    <mergeCell ref="I34:I35"/>
    <mergeCell ref="J34:J35"/>
    <mergeCell ref="A32:A33"/>
    <mergeCell ref="B32:B33"/>
    <mergeCell ref="C32:C33"/>
    <mergeCell ref="D32:D33"/>
    <mergeCell ref="E32:E33"/>
    <mergeCell ref="G32:G33"/>
    <mergeCell ref="H32:H33"/>
    <mergeCell ref="I32:I33"/>
    <mergeCell ref="J32:J33"/>
    <mergeCell ref="K28:K29"/>
    <mergeCell ref="L28:L29"/>
    <mergeCell ref="M28:M29"/>
    <mergeCell ref="O28:O29"/>
    <mergeCell ref="P28:P29"/>
    <mergeCell ref="Q28:Q29"/>
    <mergeCell ref="R28:R29"/>
    <mergeCell ref="AH26:AH27"/>
    <mergeCell ref="AI26:AI27"/>
    <mergeCell ref="A26:A27"/>
    <mergeCell ref="B26:B27"/>
    <mergeCell ref="C26:C27"/>
    <mergeCell ref="D26:D27"/>
    <mergeCell ref="E26:E27"/>
    <mergeCell ref="G26:G27"/>
    <mergeCell ref="H26:H27"/>
    <mergeCell ref="I26:I27"/>
    <mergeCell ref="J26:J27"/>
    <mergeCell ref="G30:G31"/>
    <mergeCell ref="H30:H31"/>
    <mergeCell ref="I30:I31"/>
    <mergeCell ref="J30:J31"/>
    <mergeCell ref="K30:K31"/>
    <mergeCell ref="L30:L31"/>
    <mergeCell ref="M30:M31"/>
    <mergeCell ref="O30:O31"/>
    <mergeCell ref="P30:P31"/>
    <mergeCell ref="N30:N31"/>
    <mergeCell ref="A28:A29"/>
    <mergeCell ref="B28:B29"/>
    <mergeCell ref="C28:C29"/>
    <mergeCell ref="D28:D29"/>
    <mergeCell ref="E28:E29"/>
    <mergeCell ref="G28:G29"/>
    <mergeCell ref="H28:H29"/>
    <mergeCell ref="I28:I29"/>
    <mergeCell ref="J28:J29"/>
    <mergeCell ref="AH22:AH23"/>
    <mergeCell ref="AI22:AI23"/>
    <mergeCell ref="AJ22:AJ23"/>
    <mergeCell ref="AK22:AK23"/>
    <mergeCell ref="AH30:AH31"/>
    <mergeCell ref="AI30:AI31"/>
    <mergeCell ref="AJ30:AJ31"/>
    <mergeCell ref="AK30:AK31"/>
    <mergeCell ref="Q22:Q23"/>
    <mergeCell ref="R22:R23"/>
    <mergeCell ref="Q30:Q31"/>
    <mergeCell ref="R30:R31"/>
    <mergeCell ref="AI28:AI29"/>
    <mergeCell ref="AJ28:AJ29"/>
    <mergeCell ref="AK28:AK29"/>
    <mergeCell ref="AJ26:AJ27"/>
    <mergeCell ref="AK26:AK27"/>
    <mergeCell ref="AH28:AH29"/>
    <mergeCell ref="AJ24:AJ25"/>
    <mergeCell ref="AK24:AK25"/>
    <mergeCell ref="Q24:Q25"/>
    <mergeCell ref="R24:R25"/>
    <mergeCell ref="AH24:AH25"/>
    <mergeCell ref="AI24:AI25"/>
    <mergeCell ref="D1:AK3"/>
    <mergeCell ref="T6:W10"/>
    <mergeCell ref="X6:AC10"/>
    <mergeCell ref="AD6:AK10"/>
    <mergeCell ref="AH16:AH17"/>
    <mergeCell ref="AI16:AI17"/>
    <mergeCell ref="AJ16:AJ17"/>
    <mergeCell ref="AK16:AK17"/>
    <mergeCell ref="AH18:AH19"/>
    <mergeCell ref="AI18:AI19"/>
    <mergeCell ref="AJ18:AJ19"/>
    <mergeCell ref="AK18:AK19"/>
    <mergeCell ref="H6:I10"/>
    <mergeCell ref="J6:J10"/>
    <mergeCell ref="K6:L10"/>
    <mergeCell ref="M6:M10"/>
    <mergeCell ref="O6:P10"/>
    <mergeCell ref="Q6:S10"/>
    <mergeCell ref="R11:AG11"/>
    <mergeCell ref="AH11:AK11"/>
    <mergeCell ref="U12:U13"/>
    <mergeCell ref="V12:V13"/>
    <mergeCell ref="AC12:AC13"/>
    <mergeCell ref="I16:I17"/>
    <mergeCell ref="AH20:AH21"/>
    <mergeCell ref="AI20:AI21"/>
    <mergeCell ref="AJ20:AJ21"/>
    <mergeCell ref="AK20:AK21"/>
    <mergeCell ref="AD12:AD13"/>
    <mergeCell ref="AE12:AE13"/>
    <mergeCell ref="AF12:AF13"/>
    <mergeCell ref="AG12:AG13"/>
    <mergeCell ref="AH12:AH13"/>
    <mergeCell ref="AI12:AI13"/>
    <mergeCell ref="AJ12:AJ13"/>
    <mergeCell ref="AK12:AK13"/>
    <mergeCell ref="AH14:AH15"/>
    <mergeCell ref="AI14:AI15"/>
    <mergeCell ref="AJ14:AJ15"/>
    <mergeCell ref="AK14:AK15"/>
    <mergeCell ref="A1:C3"/>
    <mergeCell ref="A4:A5"/>
    <mergeCell ref="G4:G5"/>
    <mergeCell ref="A6:B10"/>
    <mergeCell ref="C6:D10"/>
    <mergeCell ref="E6:E10"/>
    <mergeCell ref="G6:G10"/>
    <mergeCell ref="A30:A31"/>
    <mergeCell ref="B30:B31"/>
    <mergeCell ref="C30:C31"/>
    <mergeCell ref="D30:D31"/>
    <mergeCell ref="E30:E31"/>
    <mergeCell ref="A20:A21"/>
    <mergeCell ref="B20:B21"/>
    <mergeCell ref="C20:C21"/>
    <mergeCell ref="D20:D21"/>
    <mergeCell ref="A14:A15"/>
    <mergeCell ref="B14:B15"/>
    <mergeCell ref="C14:C15"/>
    <mergeCell ref="D14:D15"/>
    <mergeCell ref="E14:E15"/>
    <mergeCell ref="G12:G13"/>
    <mergeCell ref="A24:A25"/>
    <mergeCell ref="A22:A23"/>
    <mergeCell ref="W12:W13"/>
    <mergeCell ref="X12:X13"/>
    <mergeCell ref="Y12:Y13"/>
    <mergeCell ref="Z12:Z13"/>
    <mergeCell ref="AA12:AA13"/>
    <mergeCell ref="AB12:AB13"/>
    <mergeCell ref="Q20:Q21"/>
    <mergeCell ref="J18:J19"/>
    <mergeCell ref="K18:K19"/>
    <mergeCell ref="S12:S13"/>
    <mergeCell ref="T12:T13"/>
    <mergeCell ref="K14:K15"/>
    <mergeCell ref="P16:P17"/>
    <mergeCell ref="Q16:Q17"/>
    <mergeCell ref="J16:J17"/>
    <mergeCell ref="K16:K17"/>
    <mergeCell ref="R14:R15"/>
    <mergeCell ref="R16:R17"/>
    <mergeCell ref="R18:R19"/>
    <mergeCell ref="R20:R21"/>
    <mergeCell ref="S14:S15"/>
    <mergeCell ref="S16:S17"/>
    <mergeCell ref="S18:S19"/>
    <mergeCell ref="S20:S21"/>
    <mergeCell ref="M24:M25"/>
    <mergeCell ref="B22:B23"/>
    <mergeCell ref="C22:C23"/>
    <mergeCell ref="D22:D23"/>
    <mergeCell ref="E22:E23"/>
    <mergeCell ref="L22:L23"/>
    <mergeCell ref="G22:G23"/>
    <mergeCell ref="H22:H23"/>
    <mergeCell ref="I22:I23"/>
    <mergeCell ref="J22:J23"/>
    <mergeCell ref="K22:K23"/>
    <mergeCell ref="B24:B25"/>
    <mergeCell ref="C24:C25"/>
    <mergeCell ref="D24:D25"/>
    <mergeCell ref="E24:E25"/>
    <mergeCell ref="G24:G25"/>
    <mergeCell ref="H24:H25"/>
    <mergeCell ref="I24:I25"/>
    <mergeCell ref="J24:J25"/>
    <mergeCell ref="K24:K25"/>
    <mergeCell ref="L24:L25"/>
    <mergeCell ref="P20:P21"/>
    <mergeCell ref="M20:M21"/>
    <mergeCell ref="O20:O21"/>
    <mergeCell ref="M22:M23"/>
    <mergeCell ref="O22:O23"/>
    <mergeCell ref="P22:P23"/>
    <mergeCell ref="I20:I21"/>
    <mergeCell ref="J20:J21"/>
    <mergeCell ref="K20:K21"/>
    <mergeCell ref="L20:L21"/>
    <mergeCell ref="N20:N21"/>
    <mergeCell ref="A18:A19"/>
    <mergeCell ref="B18:B19"/>
    <mergeCell ref="C18:C19"/>
    <mergeCell ref="D18:D19"/>
    <mergeCell ref="E18:E19"/>
    <mergeCell ref="E20:E21"/>
    <mergeCell ref="G20:G21"/>
    <mergeCell ref="H20:H21"/>
    <mergeCell ref="R12:R13"/>
    <mergeCell ref="A16:A17"/>
    <mergeCell ref="B16:B17"/>
    <mergeCell ref="C16:C17"/>
    <mergeCell ref="D16:D17"/>
    <mergeCell ref="E16:E17"/>
    <mergeCell ref="G16:G17"/>
    <mergeCell ref="H16:H17"/>
    <mergeCell ref="L14:L15"/>
    <mergeCell ref="M14:M15"/>
    <mergeCell ref="O14:O15"/>
    <mergeCell ref="P14:P15"/>
    <mergeCell ref="Q14:Q15"/>
    <mergeCell ref="G14:G15"/>
    <mergeCell ref="H14:H15"/>
    <mergeCell ref="J14:J15"/>
    <mergeCell ref="A11:E11"/>
    <mergeCell ref="G11:Q11"/>
    <mergeCell ref="A12:A13"/>
    <mergeCell ref="B12:B13"/>
    <mergeCell ref="C12:C13"/>
    <mergeCell ref="D12:D13"/>
    <mergeCell ref="E12:E13"/>
    <mergeCell ref="M12:M13"/>
    <mergeCell ref="O12:O13"/>
    <mergeCell ref="P12:P13"/>
    <mergeCell ref="Q12:Q13"/>
    <mergeCell ref="K12:K13"/>
    <mergeCell ref="L12:L13"/>
    <mergeCell ref="N12:N13"/>
    <mergeCell ref="P18:P19"/>
    <mergeCell ref="L18:L19"/>
    <mergeCell ref="G18:G19"/>
    <mergeCell ref="H18:H19"/>
    <mergeCell ref="I18:I19"/>
    <mergeCell ref="H12:H13"/>
    <mergeCell ref="I12:I13"/>
    <mergeCell ref="J12:J13"/>
    <mergeCell ref="I14:I15"/>
    <mergeCell ref="L16:L17"/>
    <mergeCell ref="M16:M17"/>
    <mergeCell ref="O16:O17"/>
    <mergeCell ref="M18:M19"/>
    <mergeCell ref="O18:O19"/>
    <mergeCell ref="N14:N15"/>
    <mergeCell ref="N16:N17"/>
    <mergeCell ref="N18:N19"/>
  </mergeCells>
  <conditionalFormatting sqref="I4">
    <cfRule type="cellIs" dxfId="79" priority="10" operator="lessThanOrEqual">
      <formula>$C$4</formula>
    </cfRule>
  </conditionalFormatting>
  <conditionalFormatting sqref="J6">
    <cfRule type="cellIs" dxfId="78" priority="11" operator="greaterThanOrEqual">
      <formula>$C$5</formula>
    </cfRule>
    <cfRule type="cellIs" dxfId="77" priority="12" operator="lessThanOrEqual">
      <formula>$C$4</formula>
    </cfRule>
    <cfRule type="cellIs" dxfId="76" priority="13" operator="between">
      <formula>$C$5</formula>
      <formula>$C$4</formula>
    </cfRule>
  </conditionalFormatting>
  <conditionalFormatting sqref="Q6">
    <cfRule type="cellIs" dxfId="75" priority="7" operator="greaterThanOrEqual">
      <formula>$I$5</formula>
    </cfRule>
    <cfRule type="cellIs" dxfId="74" priority="8" operator="lessThanOrEqual">
      <formula>$I$4</formula>
    </cfRule>
    <cfRule type="cellIs" dxfId="73" priority="9" operator="between">
      <formula>$I$5</formula>
      <formula>$I$4</formula>
    </cfRule>
  </conditionalFormatting>
  <conditionalFormatting sqref="T14:T31">
    <cfRule type="cellIs" dxfId="72" priority="1" operator="greaterThanOrEqual">
      <formula>$C$5</formula>
    </cfRule>
    <cfRule type="cellIs" dxfId="71" priority="2" operator="lessThanOrEqual">
      <formula>$C$4</formula>
    </cfRule>
    <cfRule type="cellIs" dxfId="70" priority="3" operator="between">
      <formula>$C$5</formula>
      <formula>$C$4</formula>
    </cfRule>
  </conditionalFormatting>
  <conditionalFormatting sqref="X6">
    <cfRule type="cellIs" dxfId="69" priority="4" operator="greaterThanOrEqual">
      <formula>$I$5</formula>
    </cfRule>
    <cfRule type="cellIs" dxfId="68" priority="5" operator="lessThanOrEqual">
      <formula>$I$4</formula>
    </cfRule>
    <cfRule type="cellIs" dxfId="67" priority="6" operator="between">
      <formula>$I$5</formula>
      <formula>$I$4</formula>
    </cfRule>
  </conditionalFormatting>
  <dataValidations count="7">
    <dataValidation allowBlank="1" showErrorMessage="1" sqref="T14:T31" xr:uid="{CC0EC8F5-D1EA-420F-8704-C2E7ED3E82D0}"/>
    <dataValidation type="decimal" allowBlank="1" showInputMessage="1" showErrorMessage="1" prompt="% de avance en la actividad - indique el % programado de avance durante esta semana_x000a_" sqref="X24:AG31 U31:W31 U29:W29 U27:W27 U14:AG23 U25:W25" xr:uid="{4C90E57F-CB82-4253-A451-5016AFC29FF7}">
      <formula1>0</formula1>
      <formula2>1</formula2>
    </dataValidation>
    <dataValidation type="list" allowBlank="1" showInputMessage="1" showErrorMessage="1" sqref="B14:B37" xr:uid="{C77D428C-3F85-449B-A518-D6A09006917B}">
      <formula1>$A$44:$A$51</formula1>
    </dataValidation>
    <dataValidation type="list" allowBlank="1" showInputMessage="1" showErrorMessage="1" sqref="C14:C37" xr:uid="{E62BC927-7EBC-4782-88B1-748C2BC6D8DD}">
      <formula1>$B$44:$B$53</formula1>
    </dataValidation>
    <dataValidation type="list" allowBlank="1" showInputMessage="1" showErrorMessage="1" sqref="D14:D37" xr:uid="{82E2B076-3367-46C9-A064-A1C5BF275FED}">
      <formula1>$C$44:$C$50</formula1>
    </dataValidation>
    <dataValidation type="list" allowBlank="1" showInputMessage="1" showErrorMessage="1" sqref="E14:F37" xr:uid="{607ED364-A6A7-44D0-85DA-EBB7686BDE82}">
      <formula1>$D$44:$D$62</formula1>
    </dataValidation>
    <dataValidation type="list" allowBlank="1" showInputMessage="1" showErrorMessage="1" sqref="N16:N20 N22:N37" xr:uid="{A40BD0E0-FFD7-4E13-A771-E497149E8285}">
      <formula1>$L$44:$L$46</formula1>
    </dataValidation>
  </dataValidations>
  <pageMargins left="0.7" right="0.7" top="0.75" bottom="0.75" header="0.3" footer="0.3"/>
  <pageSetup scale="10" orientation="portrait" r:id="rId1"/>
  <headerFooter>
    <oddFooter>&amp;C_x000D_&amp;1#&amp;"Calibri"&amp;10&amp;K008000 DOCUMENTO PÚBLICO</oddFooter>
  </headerFooter>
  <colBreaks count="1" manualBreakCount="1">
    <brk id="37" max="1048575" man="1"/>
  </colBreaks>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451CB-FFDF-4B66-9DFF-B1AA7CAF69BE}">
  <dimension ref="A1:AK117"/>
  <sheetViews>
    <sheetView showGridLines="0" view="pageBreakPreview" zoomScale="80" zoomScaleNormal="10" zoomScaleSheetLayoutView="80" zoomScalePageLayoutView="48" workbookViewId="0">
      <selection activeCell="D14" sqref="D14:D15"/>
    </sheetView>
  </sheetViews>
  <sheetFormatPr baseColWidth="10" defaultColWidth="12.54296875" defaultRowHeight="15" customHeight="1" x14ac:dyDescent="0.35"/>
  <cols>
    <col min="1" max="1" width="7.36328125" style="1" customWidth="1"/>
    <col min="2" max="4" width="28.54296875" style="1" customWidth="1"/>
    <col min="5" max="5" width="36.453125" style="1" customWidth="1"/>
    <col min="6" max="6" width="28.54296875" style="1" hidden="1" customWidth="1"/>
    <col min="7" max="10" width="28.54296875" style="1" customWidth="1"/>
    <col min="11" max="12" width="19.54296875" style="1" customWidth="1"/>
    <col min="13" max="13" width="28.54296875" style="1" customWidth="1"/>
    <col min="14" max="17" width="18.36328125" style="1" customWidth="1"/>
    <col min="18" max="20" width="13.6328125" style="1" hidden="1" customWidth="1"/>
    <col min="21" max="33" width="9.54296875" style="1" hidden="1" customWidth="1"/>
    <col min="34" max="34" width="35.6328125" style="1" hidden="1" customWidth="1"/>
    <col min="35" max="37" width="42.54296875" style="1" hidden="1" customWidth="1"/>
    <col min="38" max="16384" width="12.54296875" style="1"/>
  </cols>
  <sheetData>
    <row r="1" spans="1:37" s="55" customFormat="1" ht="15" customHeight="1" x14ac:dyDescent="0.35">
      <c r="A1" s="449"/>
      <c r="B1" s="450"/>
      <c r="C1" s="451"/>
      <c r="D1" s="505" t="s">
        <v>1250</v>
      </c>
      <c r="E1" s="505"/>
      <c r="F1" s="505"/>
      <c r="G1" s="505"/>
      <c r="H1" s="505"/>
      <c r="I1" s="505"/>
      <c r="J1" s="505"/>
      <c r="K1" s="505"/>
      <c r="L1" s="505"/>
      <c r="M1" s="505"/>
      <c r="N1" s="505"/>
      <c r="O1" s="505"/>
      <c r="P1" s="505"/>
      <c r="Q1" s="505"/>
      <c r="R1" s="505"/>
      <c r="S1" s="505"/>
      <c r="T1" s="505"/>
      <c r="U1" s="505"/>
      <c r="V1" s="505"/>
      <c r="W1" s="505"/>
      <c r="X1" s="505"/>
      <c r="Y1" s="505"/>
      <c r="Z1" s="505"/>
      <c r="AA1" s="505"/>
      <c r="AB1" s="505"/>
      <c r="AC1" s="505"/>
      <c r="AD1" s="505"/>
      <c r="AE1" s="505"/>
      <c r="AF1" s="505"/>
      <c r="AG1" s="505"/>
      <c r="AH1" s="505"/>
      <c r="AI1" s="505"/>
      <c r="AJ1" s="505"/>
      <c r="AK1" s="505"/>
    </row>
    <row r="2" spans="1:37" s="55" customFormat="1" ht="20.149999999999999" customHeight="1" x14ac:dyDescent="0.35">
      <c r="A2" s="452"/>
      <c r="B2" s="453"/>
      <c r="C2" s="454"/>
      <c r="D2" s="505"/>
      <c r="E2" s="505"/>
      <c r="F2" s="505"/>
      <c r="G2" s="505"/>
      <c r="H2" s="505"/>
      <c r="I2" s="505"/>
      <c r="J2" s="505"/>
      <c r="K2" s="505"/>
      <c r="L2" s="505"/>
      <c r="M2" s="505"/>
      <c r="N2" s="505"/>
      <c r="O2" s="505"/>
      <c r="P2" s="505"/>
      <c r="Q2" s="505"/>
      <c r="R2" s="505"/>
      <c r="S2" s="505"/>
      <c r="T2" s="505"/>
      <c r="U2" s="505"/>
      <c r="V2" s="505"/>
      <c r="W2" s="505"/>
      <c r="X2" s="505"/>
      <c r="Y2" s="505"/>
      <c r="Z2" s="505"/>
      <c r="AA2" s="505"/>
      <c r="AB2" s="505"/>
      <c r="AC2" s="505"/>
      <c r="AD2" s="505"/>
      <c r="AE2" s="505"/>
      <c r="AF2" s="505"/>
      <c r="AG2" s="505"/>
      <c r="AH2" s="505"/>
      <c r="AI2" s="505"/>
      <c r="AJ2" s="505"/>
      <c r="AK2" s="505"/>
    </row>
    <row r="3" spans="1:37" s="55" customFormat="1" ht="60" customHeight="1" x14ac:dyDescent="0.35">
      <c r="A3" s="455"/>
      <c r="B3" s="456"/>
      <c r="C3" s="457"/>
      <c r="D3" s="505"/>
      <c r="E3" s="505"/>
      <c r="F3" s="505"/>
      <c r="G3" s="505"/>
      <c r="H3" s="505"/>
      <c r="I3" s="505"/>
      <c r="J3" s="505"/>
      <c r="K3" s="505"/>
      <c r="L3" s="505"/>
      <c r="M3" s="505"/>
      <c r="N3" s="505"/>
      <c r="O3" s="505"/>
      <c r="P3" s="505"/>
      <c r="Q3" s="505"/>
      <c r="R3" s="505"/>
      <c r="S3" s="505"/>
      <c r="T3" s="505"/>
      <c r="U3" s="505"/>
      <c r="V3" s="505"/>
      <c r="W3" s="505"/>
      <c r="X3" s="505"/>
      <c r="Y3" s="505"/>
      <c r="Z3" s="505"/>
      <c r="AA3" s="505"/>
      <c r="AB3" s="505"/>
      <c r="AC3" s="505"/>
      <c r="AD3" s="505"/>
      <c r="AE3" s="505"/>
      <c r="AF3" s="505"/>
      <c r="AG3" s="505"/>
      <c r="AH3" s="505"/>
      <c r="AI3" s="505"/>
      <c r="AJ3" s="505"/>
      <c r="AK3" s="505"/>
    </row>
    <row r="4" spans="1:37" s="55" customFormat="1" ht="60" hidden="1" customHeight="1" x14ac:dyDescent="0.35">
      <c r="A4" s="447" t="s">
        <v>34</v>
      </c>
      <c r="B4" s="8" t="s">
        <v>35</v>
      </c>
      <c r="C4" s="10">
        <v>0.7</v>
      </c>
      <c r="D4" s="10"/>
      <c r="E4" s="10"/>
      <c r="F4" s="9"/>
      <c r="G4" s="447" t="s">
        <v>36</v>
      </c>
      <c r="H4" s="8" t="s">
        <v>35</v>
      </c>
      <c r="I4" s="10">
        <v>0.7</v>
      </c>
      <c r="J4" s="56"/>
      <c r="K4" s="57"/>
      <c r="L4" s="57"/>
      <c r="M4" s="57"/>
      <c r="N4" s="57"/>
      <c r="O4" s="57"/>
      <c r="P4" s="57"/>
      <c r="Q4" s="57"/>
      <c r="R4" s="57"/>
      <c r="S4" s="57"/>
      <c r="T4" s="57"/>
      <c r="U4" s="57"/>
      <c r="V4" s="57"/>
      <c r="W4" s="57"/>
      <c r="X4" s="57"/>
      <c r="Y4" s="57"/>
      <c r="Z4" s="57"/>
      <c r="AA4" s="57"/>
      <c r="AB4" s="57"/>
      <c r="AC4" s="57"/>
      <c r="AD4" s="57"/>
      <c r="AE4" s="57"/>
      <c r="AF4" s="57"/>
      <c r="AG4" s="57"/>
      <c r="AH4" s="57"/>
      <c r="AI4" s="57"/>
    </row>
    <row r="5" spans="1:37" s="55" customFormat="1" ht="60" hidden="1" customHeight="1" thickBot="1" x14ac:dyDescent="0.4">
      <c r="A5" s="447"/>
      <c r="B5" s="8" t="s">
        <v>37</v>
      </c>
      <c r="C5" s="11">
        <v>0.9</v>
      </c>
      <c r="D5" s="11"/>
      <c r="E5" s="11"/>
      <c r="F5" s="11">
        <v>1</v>
      </c>
      <c r="G5" s="447"/>
      <c r="H5" s="8" t="s">
        <v>37</v>
      </c>
      <c r="I5" s="11">
        <v>0.95</v>
      </c>
      <c r="J5" s="56"/>
      <c r="K5" s="57"/>
      <c r="L5" s="57"/>
      <c r="M5" s="57"/>
      <c r="N5" s="57"/>
      <c r="O5" s="57"/>
      <c r="P5" s="57"/>
      <c r="Q5" s="57"/>
      <c r="R5" s="57"/>
      <c r="S5" s="57"/>
      <c r="T5" s="57"/>
      <c r="U5" s="57"/>
      <c r="V5" s="57"/>
      <c r="W5" s="57"/>
      <c r="X5" s="57"/>
      <c r="Y5" s="57"/>
      <c r="Z5" s="57"/>
      <c r="AA5" s="57"/>
      <c r="AB5" s="57"/>
      <c r="AC5" s="57"/>
      <c r="AD5" s="57"/>
      <c r="AE5" s="57"/>
      <c r="AF5" s="57"/>
      <c r="AG5" s="57"/>
      <c r="AH5" s="57"/>
      <c r="AI5" s="57"/>
    </row>
    <row r="6" spans="1:37" ht="20.149999999999999" hidden="1" customHeight="1" x14ac:dyDescent="0.35">
      <c r="A6" s="597" t="s">
        <v>38</v>
      </c>
      <c r="B6" s="597"/>
      <c r="C6" s="534" t="s">
        <v>132</v>
      </c>
      <c r="D6" s="534"/>
      <c r="E6" s="598" t="s">
        <v>40</v>
      </c>
      <c r="F6" s="598"/>
      <c r="G6" s="536" t="e">
        <f>+S15+S17+S19+S21+S23+S25+S27+S29+S31+S33+S35+S37+S39+S41+S43+S45+S47+S49+S51+S53+S55+S57+S59+S61+S63+S65+S67+S69+S71+S73+S75+S77+S79+S81+S83+#REF!+#REF!+#REF!+#REF!+#REF!+#REF!+#REF!+#REF!+#REF!+#REF!+#REF!+#REF!+#REF!+#REF!</f>
        <v>#REF!</v>
      </c>
      <c r="H6" s="598" t="s">
        <v>256</v>
      </c>
      <c r="I6" s="598"/>
      <c r="J6" s="650" t="e">
        <f>+S14+S16+S18+S20+S22+S24+S26+S28+S30+S32+S34+S36+S38+S40+S42+S44+S46+S48+S50+S52+S54+S56+S58+S60+S62+S64+S66+S70+S72+S74+S76+S78+S80+S82+#REF!+#REF!+#REF!+#REF!+#REF!+#REF!+#REF!+#REF!+#REF!+#REF!+#REF!+#REF!+#REF!+#REF!+S68</f>
        <v>#REF!</v>
      </c>
      <c r="K6" s="603" t="s">
        <v>41</v>
      </c>
      <c r="L6" s="604"/>
      <c r="M6" s="485">
        <v>0.95</v>
      </c>
      <c r="N6" s="609" t="s">
        <v>42</v>
      </c>
      <c r="O6" s="610"/>
      <c r="P6" s="610"/>
      <c r="Q6" s="611"/>
      <c r="R6" s="470" t="e">
        <f>(SUM(X14,X16,X18,X20,X22,X24,X26,X28,X30,X32,X34,V36:X36,X40,X42,X44,X46,X48,X50,X52,X54,X56,V58:X58,V62:X62,X64,X66,X68,V70:X70,X72,V74:X74,X76,X78,V80:X80,X82,#REF!,#REF!,#REF!,#REF!,#REF!,#REF!,#REF!,#REF!,#REF!,#REF!,#REF!,#REF!,#REF!,V38:X38,V60:X60)/SUM(X15,X17,X19,X21,X23,X25,X27,X29,X31,X33,X35,V37:X37,X41,X43,X45,X47,X49,X51,X53,X55,X57,V59:X59,X61,V63:X63,X65,X67,X69,V71:X71,X73,V75:X75,X77,X79,V81:X81,X83,#REF!,#REF!,#REF!,#REF!,#REF!,#REF!,#REF!,#REF!,#REF!,#REF!,#REF!,#REF!,#REF!,#REF!,V39:X39,))/M6</f>
        <v>#REF!</v>
      </c>
      <c r="S6" s="471"/>
      <c r="T6" s="472"/>
      <c r="U6" s="609" t="s">
        <v>43</v>
      </c>
      <c r="V6" s="610"/>
      <c r="W6" s="610"/>
      <c r="X6" s="611"/>
      <c r="Y6" s="470" t="e">
        <f>(SUM(Y14:AA14,Y16:AA16,Y18:AA18,Y20:AA20,Y22:AA22,Y24:AA24,Y26:AA26,Y28:AA28,Y30:AA30,Y32:AA32,Y34:AA34,Y36:AA36,Y40:AA40,Y42:AA42,Y44:AA44,Y46:AA46,Y48:AA48,Y50:AA50,Y52:AA52,Y54:AA54,Y56:AA56,Y58:AA58,Y62:AA62,Y64:AA64,Y66:AA66,Y68:AA68,Y70:AA70,Y72:AA72,Y74:AA74,Y76:AA76,Y78:AA78,Y80:AA80,Y82:AA82,#REF!,#REF!,#REF!,#REF!,#REF!,#REF!,#REF!,#REF!,#REF!,#REF!,#REF!,#REF!,#REF!,#REF!,Y38:AA38,Y60:AA60)/SUM(Y15:AA15,Y17:AA17,Y19:AA19,Y21:AA21,Y23:AA23,Y25:AA25,Y27:AA27,Y29:AA29,Y31:AA31,Y33:AA33,Y35:AA35,Y37:AA37,Y41:AA41,Y43:AA43,Y45:AA45,Y47:AA47,Y49:AA49,Y51:AA51,Y53:AA53,Y55:AA55,Y57:AA57,Y59:AA59,Y61:AA61,Y63:AA63,Y65:AA65,Y67:AA67,AA69,Y71:AA71,Y73:AA73,Y75:AA75,Y77:AA77,Y79:AA79,Y81:AA81,Y83:AA83,#REF!,#REF!,#REF!,#REF!,#REF!,#REF!,#REF!,#REF!,#REF!,#REF!,#REF!,#REF!,#REF!,#REF!,Y39:AA39,))/M6</f>
        <v>#REF!</v>
      </c>
      <c r="Z6" s="471"/>
      <c r="AA6" s="471"/>
      <c r="AB6" s="472"/>
      <c r="AC6" s="609" t="s">
        <v>44</v>
      </c>
      <c r="AD6" s="610"/>
      <c r="AE6" s="610"/>
      <c r="AF6" s="611"/>
      <c r="AG6" s="470" t="e">
        <f>(SUM(AD14,AD16,AD18,AD20,AD22,AD24,AD26,AD28,AD30,AD32,AD34,AB36:AD36,AD40,AD42,AD44,AD46,AD48,AD50,AD52,AD54,AD56,AB58:AD58,AD62:AD62,AD64,AD66,AD68,AB70:AD70,AD72,AB74:AD74,AD76,AD78,AB80:AD80,AD82,#REF!,#REF!,#REF!,#REF!,#REF!,#REF!,#REF!,#REF!,#REF!,#REF!,#REF!,#REF!,#REF!,#REF!,AD38:AD38,AD60:AD60)/SUM(AD15,AD17,AD19,AD21,AD23,AD25,AD27,AD29,AD31,AD33,AD35,AB37:AD37,AD41,AD43,AD45,AD47,AD49,AD51,AD53,AD55,AD57,AB59:AD59,AD61,AD63:AD63,AD65,AD67,AD69,AB71:AD71,AD73,AB75:AD75,AD77,AD79,AB81:AD81,AD83,#REF!,#REF!,#REF!,#REF!,#REF!,#REF!,#REF!,#REF!,#REF!,#REF!,#REF!,#REF!,#REF!,#REF!,AD39:AD39,))/M6</f>
        <v>#REF!</v>
      </c>
      <c r="AH6" s="472"/>
      <c r="AI6" s="609" t="s">
        <v>45</v>
      </c>
      <c r="AJ6" s="470" t="e">
        <f>(SUM(AG14,AG16,AG18,AG20,AG22,AG24,AG26,AG28,AG30,AG32,AG34,AE36:AG36,AG40,AG42,AG44,AG46,AG48,AG50,AG52,AG54,AG56,AE58:AG58,AG62:AG62,AG64,AG66,AG68,AE70:AG70,AG72,AE74:AG74,AG76,AG78,AE80:AG80,AG82,#REF!,#REF!,#REF!,#REF!,#REF!,#REF!,#REF!,#REF!,#REF!,#REF!,#REF!,AG8,#REF!,#REF!,AG38:AG38,AG60:AG60)/SUM(AG15,AG17,AG19,AG21,AG23,AG25,AG27,AG29,AG31,AG33,AG35,AE37:AG37,AG41,AG43,AG45,AG47,AG49,AG51,AG53,AG55,AG57,AE59:AG59,AG61,AG63:AG63,AG65,AG67,AG69,AE71:AG71,AG73,AE75:AG75,AG77,AG79,AE81:AG81,AG83,#REF!,#REF!,#REF!,#REF!,#REF!,#REF!,#REF!,#REF!,#REF!,#REF!,#REF!,#REF!,#REF!,#REF!,AG39:AG39,))/M6</f>
        <v>#REF!</v>
      </c>
    </row>
    <row r="7" spans="1:37" ht="15" hidden="1" customHeight="1" x14ac:dyDescent="0.35">
      <c r="A7" s="597"/>
      <c r="B7" s="597"/>
      <c r="C7" s="534"/>
      <c r="D7" s="534"/>
      <c r="E7" s="598"/>
      <c r="F7" s="598"/>
      <c r="G7" s="537"/>
      <c r="H7" s="598"/>
      <c r="I7" s="598"/>
      <c r="J7" s="651"/>
      <c r="K7" s="605"/>
      <c r="L7" s="606"/>
      <c r="M7" s="486"/>
      <c r="N7" s="612"/>
      <c r="O7" s="613"/>
      <c r="P7" s="613"/>
      <c r="Q7" s="614"/>
      <c r="R7" s="473"/>
      <c r="S7" s="474"/>
      <c r="T7" s="475"/>
      <c r="U7" s="612"/>
      <c r="V7" s="613"/>
      <c r="W7" s="613"/>
      <c r="X7" s="614"/>
      <c r="Y7" s="473"/>
      <c r="Z7" s="474"/>
      <c r="AA7" s="474"/>
      <c r="AB7" s="475"/>
      <c r="AC7" s="612"/>
      <c r="AD7" s="613"/>
      <c r="AE7" s="613"/>
      <c r="AF7" s="614"/>
      <c r="AG7" s="473"/>
      <c r="AH7" s="475"/>
      <c r="AI7" s="612"/>
      <c r="AJ7" s="473"/>
    </row>
    <row r="8" spans="1:37" ht="25.4" hidden="1" customHeight="1" thickBot="1" x14ac:dyDescent="0.4">
      <c r="A8" s="597"/>
      <c r="B8" s="597"/>
      <c r="C8" s="534"/>
      <c r="D8" s="534"/>
      <c r="E8" s="598"/>
      <c r="F8" s="598"/>
      <c r="G8" s="537"/>
      <c r="H8" s="598"/>
      <c r="I8" s="598"/>
      <c r="J8" s="651"/>
      <c r="K8" s="605"/>
      <c r="L8" s="606"/>
      <c r="M8" s="486"/>
      <c r="N8" s="612"/>
      <c r="O8" s="613"/>
      <c r="P8" s="613"/>
      <c r="Q8" s="614"/>
      <c r="R8" s="473"/>
      <c r="S8" s="474"/>
      <c r="T8" s="475"/>
      <c r="U8" s="612"/>
      <c r="V8" s="613"/>
      <c r="W8" s="613"/>
      <c r="X8" s="614"/>
      <c r="Y8" s="473"/>
      <c r="Z8" s="474"/>
      <c r="AA8" s="474"/>
      <c r="AB8" s="475"/>
      <c r="AC8" s="612"/>
      <c r="AD8" s="613"/>
      <c r="AE8" s="613"/>
      <c r="AF8" s="614"/>
      <c r="AG8" s="473"/>
      <c r="AH8" s="475"/>
      <c r="AI8" s="612"/>
      <c r="AJ8" s="473"/>
    </row>
    <row r="9" spans="1:37" ht="25.4" hidden="1" customHeight="1" thickBot="1" x14ac:dyDescent="0.4">
      <c r="A9" s="597"/>
      <c r="B9" s="597"/>
      <c r="C9" s="534"/>
      <c r="D9" s="534"/>
      <c r="E9" s="598"/>
      <c r="F9" s="598"/>
      <c r="G9" s="537"/>
      <c r="H9" s="598"/>
      <c r="I9" s="598"/>
      <c r="J9" s="651"/>
      <c r="K9" s="605"/>
      <c r="L9" s="606"/>
      <c r="M9" s="486"/>
      <c r="N9" s="612"/>
      <c r="O9" s="613"/>
      <c r="P9" s="613"/>
      <c r="Q9" s="614"/>
      <c r="R9" s="473"/>
      <c r="S9" s="474"/>
      <c r="T9" s="475"/>
      <c r="U9" s="612"/>
      <c r="V9" s="613"/>
      <c r="W9" s="613"/>
      <c r="X9" s="614"/>
      <c r="Y9" s="473"/>
      <c r="Z9" s="474"/>
      <c r="AA9" s="474"/>
      <c r="AB9" s="475"/>
      <c r="AC9" s="612"/>
      <c r="AD9" s="613"/>
      <c r="AE9" s="613"/>
      <c r="AF9" s="614"/>
      <c r="AG9" s="473"/>
      <c r="AH9" s="475"/>
      <c r="AI9" s="612"/>
      <c r="AJ9" s="473"/>
    </row>
    <row r="10" spans="1:37" ht="15" hidden="1" customHeight="1" thickBot="1" x14ac:dyDescent="0.4">
      <c r="A10" s="597"/>
      <c r="B10" s="597"/>
      <c r="C10" s="534"/>
      <c r="D10" s="534"/>
      <c r="E10" s="598"/>
      <c r="F10" s="598"/>
      <c r="G10" s="599"/>
      <c r="H10" s="598"/>
      <c r="I10" s="598"/>
      <c r="J10" s="652"/>
      <c r="K10" s="607"/>
      <c r="L10" s="608"/>
      <c r="M10" s="487"/>
      <c r="N10" s="615"/>
      <c r="O10" s="616"/>
      <c r="P10" s="616"/>
      <c r="Q10" s="617"/>
      <c r="R10" s="476"/>
      <c r="S10" s="477"/>
      <c r="T10" s="478"/>
      <c r="U10" s="615"/>
      <c r="V10" s="616"/>
      <c r="W10" s="616"/>
      <c r="X10" s="617"/>
      <c r="Y10" s="476"/>
      <c r="Z10" s="477"/>
      <c r="AA10" s="477"/>
      <c r="AB10" s="478"/>
      <c r="AC10" s="615"/>
      <c r="AD10" s="616"/>
      <c r="AE10" s="616"/>
      <c r="AF10" s="617"/>
      <c r="AG10" s="476"/>
      <c r="AH10" s="478"/>
      <c r="AI10" s="615"/>
      <c r="AJ10" s="476"/>
    </row>
    <row r="11" spans="1:37" s="12" customFormat="1" ht="40.4" customHeight="1" thickBot="1" x14ac:dyDescent="0.4">
      <c r="A11" s="432" t="s">
        <v>46</v>
      </c>
      <c r="B11" s="432"/>
      <c r="C11" s="432"/>
      <c r="D11" s="432"/>
      <c r="E11" s="432"/>
      <c r="F11" s="433"/>
      <c r="G11" s="743" t="s">
        <v>47</v>
      </c>
      <c r="H11" s="744"/>
      <c r="I11" s="744"/>
      <c r="J11" s="744"/>
      <c r="K11" s="744"/>
      <c r="L11" s="744"/>
      <c r="M11" s="744"/>
      <c r="N11" s="744"/>
      <c r="O11" s="744"/>
      <c r="P11" s="744"/>
      <c r="Q11" s="745"/>
      <c r="R11" s="653" t="s">
        <v>48</v>
      </c>
      <c r="S11" s="654"/>
      <c r="T11" s="654"/>
      <c r="U11" s="654"/>
      <c r="V11" s="654"/>
      <c r="W11" s="654"/>
      <c r="X11" s="654"/>
      <c r="Y11" s="654"/>
      <c r="Z11" s="654"/>
      <c r="AA11" s="654"/>
      <c r="AB11" s="654"/>
      <c r="AC11" s="654"/>
      <c r="AD11" s="654"/>
      <c r="AE11" s="654"/>
      <c r="AF11" s="654"/>
      <c r="AG11" s="655"/>
      <c r="AH11" s="653" t="s">
        <v>49</v>
      </c>
      <c r="AI11" s="654"/>
      <c r="AJ11" s="654"/>
      <c r="AK11" s="654"/>
    </row>
    <row r="12" spans="1:37" ht="39" customHeight="1" x14ac:dyDescent="0.35">
      <c r="A12" s="437" t="s">
        <v>50</v>
      </c>
      <c r="B12" s="439" t="s">
        <v>51</v>
      </c>
      <c r="C12" s="439" t="s">
        <v>52</v>
      </c>
      <c r="D12" s="439" t="s">
        <v>53</v>
      </c>
      <c r="E12" s="439" t="s">
        <v>54</v>
      </c>
      <c r="F12" s="439" t="s">
        <v>29</v>
      </c>
      <c r="G12" s="439" t="s">
        <v>1251</v>
      </c>
      <c r="H12" s="439" t="s">
        <v>41</v>
      </c>
      <c r="I12" s="439" t="s">
        <v>1252</v>
      </c>
      <c r="J12" s="439" t="s">
        <v>1253</v>
      </c>
      <c r="K12" s="439" t="s">
        <v>1254</v>
      </c>
      <c r="L12" s="439" t="s">
        <v>1255</v>
      </c>
      <c r="M12" s="439" t="s">
        <v>57</v>
      </c>
      <c r="N12" s="439" t="s">
        <v>58</v>
      </c>
      <c r="O12" s="439" t="s">
        <v>1256</v>
      </c>
      <c r="P12" s="439" t="s">
        <v>61</v>
      </c>
      <c r="Q12" s="439" t="s">
        <v>62</v>
      </c>
      <c r="R12" s="681" t="s">
        <v>63</v>
      </c>
      <c r="S12" s="682" t="s">
        <v>64</v>
      </c>
      <c r="T12" s="683" t="s">
        <v>65</v>
      </c>
      <c r="U12" s="669" t="s">
        <v>66</v>
      </c>
      <c r="V12" s="667" t="s">
        <v>67</v>
      </c>
      <c r="W12" s="665" t="s">
        <v>68</v>
      </c>
      <c r="X12" s="671" t="s">
        <v>69</v>
      </c>
      <c r="Y12" s="673" t="s">
        <v>70</v>
      </c>
      <c r="Z12" s="671" t="s">
        <v>71</v>
      </c>
      <c r="AA12" s="665" t="s">
        <v>72</v>
      </c>
      <c r="AB12" s="667" t="s">
        <v>73</v>
      </c>
      <c r="AC12" s="669" t="s">
        <v>74</v>
      </c>
      <c r="AD12" s="667" t="s">
        <v>75</v>
      </c>
      <c r="AE12" s="665" t="s">
        <v>76</v>
      </c>
      <c r="AF12" s="671" t="s">
        <v>77</v>
      </c>
      <c r="AG12" s="662" t="s">
        <v>78</v>
      </c>
      <c r="AH12" s="664" t="s">
        <v>79</v>
      </c>
      <c r="AI12" s="664" t="s">
        <v>80</v>
      </c>
      <c r="AJ12" s="664" t="s">
        <v>81</v>
      </c>
      <c r="AK12" s="664" t="s">
        <v>82</v>
      </c>
    </row>
    <row r="13" spans="1:37" ht="60" customHeight="1" thickBot="1" x14ac:dyDescent="0.4">
      <c r="A13" s="438"/>
      <c r="B13" s="438"/>
      <c r="C13" s="438"/>
      <c r="D13" s="438"/>
      <c r="E13" s="438"/>
      <c r="F13" s="438"/>
      <c r="G13" s="438"/>
      <c r="H13" s="438"/>
      <c r="I13" s="438"/>
      <c r="J13" s="438"/>
      <c r="K13" s="438"/>
      <c r="L13" s="438"/>
      <c r="M13" s="438"/>
      <c r="N13" s="438"/>
      <c r="O13" s="438"/>
      <c r="P13" s="438"/>
      <c r="Q13" s="438"/>
      <c r="R13" s="681"/>
      <c r="S13" s="682"/>
      <c r="T13" s="683"/>
      <c r="U13" s="670"/>
      <c r="V13" s="668"/>
      <c r="W13" s="666"/>
      <c r="X13" s="672"/>
      <c r="Y13" s="674"/>
      <c r="Z13" s="672"/>
      <c r="AA13" s="666"/>
      <c r="AB13" s="668"/>
      <c r="AC13" s="670"/>
      <c r="AD13" s="668"/>
      <c r="AE13" s="666"/>
      <c r="AF13" s="672"/>
      <c r="AG13" s="663"/>
      <c r="AH13" s="664"/>
      <c r="AI13" s="664"/>
      <c r="AJ13" s="664"/>
      <c r="AK13" s="664"/>
    </row>
    <row r="14" spans="1:37" ht="57.65" customHeight="1" thickBot="1" x14ac:dyDescent="0.4">
      <c r="A14" s="426">
        <v>1</v>
      </c>
      <c r="B14" s="426" t="s">
        <v>99</v>
      </c>
      <c r="C14" s="426" t="s">
        <v>142</v>
      </c>
      <c r="D14" s="426" t="s">
        <v>130</v>
      </c>
      <c r="E14" s="426" t="s">
        <v>131</v>
      </c>
      <c r="F14" s="424" t="s">
        <v>1118</v>
      </c>
      <c r="G14" s="445" t="s">
        <v>1257</v>
      </c>
      <c r="H14" s="750" t="s">
        <v>1258</v>
      </c>
      <c r="I14" s="733" t="s">
        <v>1259</v>
      </c>
      <c r="J14" s="735" t="s">
        <v>1260</v>
      </c>
      <c r="K14" s="735" t="s">
        <v>1261</v>
      </c>
      <c r="L14" s="426" t="s">
        <v>132</v>
      </c>
      <c r="M14" s="735" t="s">
        <v>286</v>
      </c>
      <c r="N14" s="735" t="s">
        <v>1262</v>
      </c>
      <c r="O14" s="735" t="s">
        <v>286</v>
      </c>
      <c r="P14" s="739">
        <v>46296</v>
      </c>
      <c r="Q14" s="739">
        <v>46356</v>
      </c>
      <c r="R14" s="59" t="s">
        <v>93</v>
      </c>
      <c r="S14" s="53">
        <f>+(S15*T14)</f>
        <v>2.0408163265306121E-2</v>
      </c>
      <c r="T14" s="65">
        <f t="shared" ref="T14:T45" si="0">SUM(U14:AG14)</f>
        <v>1</v>
      </c>
      <c r="U14" s="43"/>
      <c r="V14" s="43"/>
      <c r="W14" s="43"/>
      <c r="X14" s="43"/>
      <c r="Y14" s="43"/>
      <c r="Z14" s="43"/>
      <c r="AA14" s="43"/>
      <c r="AB14" s="43"/>
      <c r="AC14" s="44"/>
      <c r="AD14" s="44"/>
      <c r="AE14" s="44"/>
      <c r="AF14" s="44"/>
      <c r="AG14" s="44">
        <v>1</v>
      </c>
      <c r="AH14" s="741"/>
      <c r="AI14" s="737"/>
      <c r="AJ14" s="746"/>
      <c r="AK14" s="741" t="s">
        <v>1263</v>
      </c>
    </row>
    <row r="15" spans="1:37" ht="57.65" customHeight="1" thickBot="1" x14ac:dyDescent="0.4">
      <c r="A15" s="427"/>
      <c r="B15" s="427"/>
      <c r="C15" s="427"/>
      <c r="D15" s="427"/>
      <c r="E15" s="427"/>
      <c r="F15" s="441"/>
      <c r="G15" s="445"/>
      <c r="H15" s="750"/>
      <c r="I15" s="734"/>
      <c r="J15" s="736"/>
      <c r="K15" s="736"/>
      <c r="L15" s="427"/>
      <c r="M15" s="736"/>
      <c r="N15" s="736"/>
      <c r="O15" s="736"/>
      <c r="P15" s="740"/>
      <c r="Q15" s="740"/>
      <c r="R15" s="59" t="s">
        <v>98</v>
      </c>
      <c r="S15" s="52">
        <f>100%/49</f>
        <v>2.0408163265306121E-2</v>
      </c>
      <c r="T15" s="65">
        <f t="shared" si="0"/>
        <v>1</v>
      </c>
      <c r="U15" s="42"/>
      <c r="V15" s="42"/>
      <c r="W15" s="42"/>
      <c r="X15" s="42"/>
      <c r="Y15" s="42"/>
      <c r="Z15" s="42"/>
      <c r="AA15" s="42"/>
      <c r="AB15" s="42"/>
      <c r="AC15" s="42"/>
      <c r="AD15" s="42"/>
      <c r="AE15" s="42"/>
      <c r="AF15" s="42"/>
      <c r="AG15" s="42">
        <v>1</v>
      </c>
      <c r="AH15" s="742"/>
      <c r="AI15" s="738"/>
      <c r="AJ15" s="747"/>
      <c r="AK15" s="742"/>
    </row>
    <row r="16" spans="1:37" ht="57.65" customHeight="1" thickBot="1" x14ac:dyDescent="0.4">
      <c r="A16" s="426">
        <v>2</v>
      </c>
      <c r="B16" s="426" t="s">
        <v>99</v>
      </c>
      <c r="C16" s="426" t="s">
        <v>142</v>
      </c>
      <c r="D16" s="426" t="s">
        <v>130</v>
      </c>
      <c r="E16" s="426" t="s">
        <v>131</v>
      </c>
      <c r="F16" s="424" t="s">
        <v>1118</v>
      </c>
      <c r="G16" s="445"/>
      <c r="H16" s="750"/>
      <c r="I16" s="733" t="s">
        <v>1259</v>
      </c>
      <c r="J16" s="748" t="s">
        <v>1264</v>
      </c>
      <c r="K16" s="748" t="s">
        <v>1265</v>
      </c>
      <c r="L16" s="426" t="s">
        <v>132</v>
      </c>
      <c r="M16" s="748" t="s">
        <v>179</v>
      </c>
      <c r="N16" s="748" t="s">
        <v>1262</v>
      </c>
      <c r="O16" s="748" t="s">
        <v>179</v>
      </c>
      <c r="P16" s="751">
        <v>46233</v>
      </c>
      <c r="Q16" s="751">
        <v>46386</v>
      </c>
      <c r="R16" s="59" t="s">
        <v>93</v>
      </c>
      <c r="S16" s="53">
        <f>+(S17*T16)</f>
        <v>2.0408163265306121E-2</v>
      </c>
      <c r="T16" s="65">
        <f t="shared" si="0"/>
        <v>1</v>
      </c>
      <c r="U16" s="43"/>
      <c r="V16" s="43"/>
      <c r="W16" s="43"/>
      <c r="X16" s="43"/>
      <c r="Y16" s="43"/>
      <c r="Z16" s="43"/>
      <c r="AA16" s="43"/>
      <c r="AB16" s="43"/>
      <c r="AC16" s="44"/>
      <c r="AD16" s="44"/>
      <c r="AE16" s="44"/>
      <c r="AF16" s="44"/>
      <c r="AG16" s="146">
        <v>1</v>
      </c>
      <c r="AH16" s="741"/>
      <c r="AI16" s="737"/>
      <c r="AJ16" s="746"/>
      <c r="AK16" s="746" t="s">
        <v>1266</v>
      </c>
    </row>
    <row r="17" spans="1:37" ht="57.65" customHeight="1" thickBot="1" x14ac:dyDescent="0.4">
      <c r="A17" s="427"/>
      <c r="B17" s="427"/>
      <c r="C17" s="427"/>
      <c r="D17" s="427"/>
      <c r="E17" s="427"/>
      <c r="F17" s="425"/>
      <c r="G17" s="445"/>
      <c r="H17" s="750"/>
      <c r="I17" s="734" t="s">
        <v>1259</v>
      </c>
      <c r="J17" s="749"/>
      <c r="K17" s="749"/>
      <c r="L17" s="427"/>
      <c r="M17" s="749"/>
      <c r="N17" s="749"/>
      <c r="O17" s="749"/>
      <c r="P17" s="752"/>
      <c r="Q17" s="752"/>
      <c r="R17" s="59" t="s">
        <v>98</v>
      </c>
      <c r="S17" s="52">
        <f>100%/49</f>
        <v>2.0408163265306121E-2</v>
      </c>
      <c r="T17" s="65">
        <f t="shared" si="0"/>
        <v>1</v>
      </c>
      <c r="U17" s="42"/>
      <c r="V17" s="42"/>
      <c r="W17" s="42"/>
      <c r="X17" s="42"/>
      <c r="Y17" s="42"/>
      <c r="Z17" s="42"/>
      <c r="AA17" s="42"/>
      <c r="AB17" s="42"/>
      <c r="AC17" s="42"/>
      <c r="AD17" s="42"/>
      <c r="AE17" s="42"/>
      <c r="AF17" s="42"/>
      <c r="AG17" s="42">
        <v>1</v>
      </c>
      <c r="AH17" s="742"/>
      <c r="AI17" s="738"/>
      <c r="AJ17" s="747"/>
      <c r="AK17" s="747"/>
    </row>
    <row r="18" spans="1:37" ht="57.65" customHeight="1" thickBot="1" x14ac:dyDescent="0.4">
      <c r="A18" s="426">
        <v>3</v>
      </c>
      <c r="B18" s="426" t="s">
        <v>99</v>
      </c>
      <c r="C18" s="426" t="s">
        <v>142</v>
      </c>
      <c r="D18" s="426" t="s">
        <v>130</v>
      </c>
      <c r="E18" s="426" t="s">
        <v>131</v>
      </c>
      <c r="F18" s="424" t="s">
        <v>1118</v>
      </c>
      <c r="G18" s="445"/>
      <c r="H18" s="750"/>
      <c r="I18" s="733" t="s">
        <v>1259</v>
      </c>
      <c r="J18" s="735" t="s">
        <v>1267</v>
      </c>
      <c r="K18" s="735" t="s">
        <v>1268</v>
      </c>
      <c r="L18" s="426" t="s">
        <v>132</v>
      </c>
      <c r="M18" s="735" t="s">
        <v>179</v>
      </c>
      <c r="N18" s="735" t="s">
        <v>1262</v>
      </c>
      <c r="O18" s="735" t="s">
        <v>179</v>
      </c>
      <c r="P18" s="739">
        <v>46204</v>
      </c>
      <c r="Q18" s="739">
        <v>46387</v>
      </c>
      <c r="R18" s="59" t="s">
        <v>93</v>
      </c>
      <c r="S18" s="53">
        <f>+(S19*T18)</f>
        <v>2.0408163265306121E-2</v>
      </c>
      <c r="T18" s="65">
        <f t="shared" si="0"/>
        <v>1</v>
      </c>
      <c r="U18" s="43"/>
      <c r="V18" s="43"/>
      <c r="W18" s="43"/>
      <c r="X18" s="43"/>
      <c r="Y18" s="43"/>
      <c r="Z18" s="43"/>
      <c r="AA18" s="43">
        <v>0.5</v>
      </c>
      <c r="AB18" s="43"/>
      <c r="AC18" s="44"/>
      <c r="AD18" s="44"/>
      <c r="AE18" s="44"/>
      <c r="AF18" s="44"/>
      <c r="AG18" s="43">
        <v>0.5</v>
      </c>
      <c r="AH18" s="741"/>
      <c r="AI18" s="737" t="s">
        <v>1269</v>
      </c>
      <c r="AJ18" s="746"/>
      <c r="AK18" s="737" t="s">
        <v>1269</v>
      </c>
    </row>
    <row r="19" spans="1:37" ht="57.65" customHeight="1" thickBot="1" x14ac:dyDescent="0.4">
      <c r="A19" s="427"/>
      <c r="B19" s="427"/>
      <c r="C19" s="427"/>
      <c r="D19" s="427"/>
      <c r="E19" s="427"/>
      <c r="F19" s="425"/>
      <c r="G19" s="445"/>
      <c r="H19" s="750"/>
      <c r="I19" s="734" t="s">
        <v>1259</v>
      </c>
      <c r="J19" s="736"/>
      <c r="K19" s="736"/>
      <c r="L19" s="427"/>
      <c r="M19" s="736"/>
      <c r="N19" s="736"/>
      <c r="O19" s="736"/>
      <c r="P19" s="740"/>
      <c r="Q19" s="740"/>
      <c r="R19" s="59" t="s">
        <v>98</v>
      </c>
      <c r="S19" s="52">
        <f>100%/49</f>
        <v>2.0408163265306121E-2</v>
      </c>
      <c r="T19" s="65">
        <f t="shared" si="0"/>
        <v>1</v>
      </c>
      <c r="U19" s="42"/>
      <c r="V19" s="42"/>
      <c r="W19" s="42"/>
      <c r="X19" s="42"/>
      <c r="Y19" s="42"/>
      <c r="Z19" s="42"/>
      <c r="AA19" s="42">
        <v>0.5</v>
      </c>
      <c r="AB19" s="42"/>
      <c r="AC19" s="42"/>
      <c r="AD19" s="42"/>
      <c r="AE19" s="42"/>
      <c r="AF19" s="42"/>
      <c r="AG19" s="42">
        <v>0.5</v>
      </c>
      <c r="AH19" s="742"/>
      <c r="AI19" s="738"/>
      <c r="AJ19" s="747"/>
      <c r="AK19" s="738"/>
    </row>
    <row r="20" spans="1:37" ht="57.65" customHeight="1" thickBot="1" x14ac:dyDescent="0.4">
      <c r="A20" s="426">
        <v>4</v>
      </c>
      <c r="B20" s="426" t="s">
        <v>99</v>
      </c>
      <c r="C20" s="426" t="s">
        <v>142</v>
      </c>
      <c r="D20" s="426" t="s">
        <v>130</v>
      </c>
      <c r="E20" s="426" t="s">
        <v>131</v>
      </c>
      <c r="F20" s="424" t="s">
        <v>1118</v>
      </c>
      <c r="G20" s="445"/>
      <c r="H20" s="750"/>
      <c r="I20" s="733" t="s">
        <v>1259</v>
      </c>
      <c r="J20" s="735" t="s">
        <v>1270</v>
      </c>
      <c r="K20" s="735" t="s">
        <v>1271</v>
      </c>
      <c r="L20" s="426" t="s">
        <v>132</v>
      </c>
      <c r="M20" s="735" t="s">
        <v>171</v>
      </c>
      <c r="N20" s="735" t="s">
        <v>1262</v>
      </c>
      <c r="O20" s="735" t="s">
        <v>171</v>
      </c>
      <c r="P20" s="739">
        <v>46054</v>
      </c>
      <c r="Q20" s="739">
        <v>46387</v>
      </c>
      <c r="R20" s="59" t="s">
        <v>93</v>
      </c>
      <c r="S20" s="53">
        <f>+(S21*T20)</f>
        <v>2.0408163265306121E-2</v>
      </c>
      <c r="T20" s="65">
        <f t="shared" si="0"/>
        <v>1</v>
      </c>
      <c r="U20" s="43"/>
      <c r="V20" s="43"/>
      <c r="W20" s="43"/>
      <c r="X20" s="43"/>
      <c r="Y20" s="43"/>
      <c r="Z20" s="43"/>
      <c r="AA20" s="43"/>
      <c r="AB20" s="43"/>
      <c r="AC20" s="44"/>
      <c r="AD20" s="44"/>
      <c r="AE20" s="44"/>
      <c r="AF20" s="44"/>
      <c r="AG20" s="44">
        <v>1</v>
      </c>
      <c r="AH20" s="741"/>
      <c r="AI20" s="737"/>
      <c r="AJ20" s="746"/>
      <c r="AK20" s="746" t="s">
        <v>1266</v>
      </c>
    </row>
    <row r="21" spans="1:37" ht="57.65" customHeight="1" thickBot="1" x14ac:dyDescent="0.4">
      <c r="A21" s="427"/>
      <c r="B21" s="427"/>
      <c r="C21" s="427"/>
      <c r="D21" s="427"/>
      <c r="E21" s="427"/>
      <c r="F21" s="425"/>
      <c r="G21" s="445"/>
      <c r="H21" s="750"/>
      <c r="I21" s="734" t="s">
        <v>1259</v>
      </c>
      <c r="J21" s="736"/>
      <c r="K21" s="736"/>
      <c r="L21" s="427"/>
      <c r="M21" s="736"/>
      <c r="N21" s="736"/>
      <c r="O21" s="736"/>
      <c r="P21" s="740"/>
      <c r="Q21" s="740"/>
      <c r="R21" s="59" t="s">
        <v>98</v>
      </c>
      <c r="S21" s="52">
        <f>100%/49</f>
        <v>2.0408163265306121E-2</v>
      </c>
      <c r="T21" s="65">
        <f t="shared" si="0"/>
        <v>1</v>
      </c>
      <c r="U21" s="42"/>
      <c r="V21" s="42"/>
      <c r="W21" s="42"/>
      <c r="X21" s="42"/>
      <c r="Y21" s="42"/>
      <c r="Z21" s="42"/>
      <c r="AA21" s="42"/>
      <c r="AB21" s="42"/>
      <c r="AC21" s="42"/>
      <c r="AD21" s="42"/>
      <c r="AE21" s="42"/>
      <c r="AF21" s="42"/>
      <c r="AG21" s="42">
        <v>1</v>
      </c>
      <c r="AH21" s="742"/>
      <c r="AI21" s="738"/>
      <c r="AJ21" s="747"/>
      <c r="AK21" s="747"/>
    </row>
    <row r="22" spans="1:37" ht="57.65" customHeight="1" thickBot="1" x14ac:dyDescent="0.4">
      <c r="A22" s="426">
        <v>5</v>
      </c>
      <c r="B22" s="426" t="s">
        <v>99</v>
      </c>
      <c r="C22" s="426" t="s">
        <v>142</v>
      </c>
      <c r="D22" s="426" t="s">
        <v>130</v>
      </c>
      <c r="E22" s="426" t="s">
        <v>131</v>
      </c>
      <c r="F22" s="424" t="s">
        <v>1118</v>
      </c>
      <c r="G22" s="445"/>
      <c r="H22" s="750"/>
      <c r="I22" s="733" t="s">
        <v>1259</v>
      </c>
      <c r="J22" s="735" t="s">
        <v>1270</v>
      </c>
      <c r="K22" s="735" t="s">
        <v>1272</v>
      </c>
      <c r="L22" s="426" t="s">
        <v>132</v>
      </c>
      <c r="M22" s="735" t="s">
        <v>286</v>
      </c>
      <c r="N22" s="735" t="s">
        <v>1262</v>
      </c>
      <c r="O22" s="735" t="s">
        <v>286</v>
      </c>
      <c r="P22" s="739">
        <v>46054</v>
      </c>
      <c r="Q22" s="739">
        <v>46295</v>
      </c>
      <c r="R22" s="59" t="s">
        <v>93</v>
      </c>
      <c r="S22" s="53">
        <f>+(S23*T22)</f>
        <v>2.0408163265306121E-2</v>
      </c>
      <c r="T22" s="65">
        <f t="shared" si="0"/>
        <v>1</v>
      </c>
      <c r="U22" s="45"/>
      <c r="V22" s="45"/>
      <c r="W22" s="45"/>
      <c r="X22" s="43"/>
      <c r="Y22" s="43"/>
      <c r="Z22" s="43"/>
      <c r="AA22" s="43"/>
      <c r="AB22" s="43"/>
      <c r="AC22" s="44"/>
      <c r="AD22" s="44"/>
      <c r="AE22" s="44"/>
      <c r="AF22" s="44"/>
      <c r="AG22" s="44">
        <v>1</v>
      </c>
      <c r="AH22" s="741"/>
      <c r="AI22" s="737"/>
      <c r="AJ22" s="746"/>
      <c r="AK22" s="746" t="s">
        <v>1273</v>
      </c>
    </row>
    <row r="23" spans="1:37" ht="57.65" customHeight="1" thickBot="1" x14ac:dyDescent="0.4">
      <c r="A23" s="427"/>
      <c r="B23" s="427"/>
      <c r="C23" s="427"/>
      <c r="D23" s="427"/>
      <c r="E23" s="427"/>
      <c r="F23" s="425"/>
      <c r="G23" s="445"/>
      <c r="H23" s="750"/>
      <c r="I23" s="734" t="s">
        <v>1259</v>
      </c>
      <c r="J23" s="736"/>
      <c r="K23" s="736"/>
      <c r="L23" s="427"/>
      <c r="M23" s="736"/>
      <c r="N23" s="736"/>
      <c r="O23" s="736"/>
      <c r="P23" s="740"/>
      <c r="Q23" s="740"/>
      <c r="R23" s="59" t="s">
        <v>98</v>
      </c>
      <c r="S23" s="52">
        <f>100%/49</f>
        <v>2.0408163265306121E-2</v>
      </c>
      <c r="T23" s="65">
        <f t="shared" si="0"/>
        <v>1</v>
      </c>
      <c r="U23" s="42"/>
      <c r="V23" s="42"/>
      <c r="W23" s="42"/>
      <c r="X23" s="42"/>
      <c r="Y23" s="42"/>
      <c r="Z23" s="42"/>
      <c r="AA23" s="42"/>
      <c r="AB23" s="42"/>
      <c r="AC23" s="42"/>
      <c r="AD23" s="42"/>
      <c r="AE23" s="42"/>
      <c r="AF23" s="42"/>
      <c r="AG23" s="42">
        <v>1</v>
      </c>
      <c r="AH23" s="742"/>
      <c r="AI23" s="738"/>
      <c r="AJ23" s="747"/>
      <c r="AK23" s="747"/>
    </row>
    <row r="24" spans="1:37" ht="57.65" customHeight="1" thickBot="1" x14ac:dyDescent="0.4">
      <c r="A24" s="426">
        <v>6</v>
      </c>
      <c r="B24" s="426" t="s">
        <v>99</v>
      </c>
      <c r="C24" s="426" t="s">
        <v>142</v>
      </c>
      <c r="D24" s="426" t="s">
        <v>130</v>
      </c>
      <c r="E24" s="426" t="s">
        <v>131</v>
      </c>
      <c r="F24" s="424" t="s">
        <v>1118</v>
      </c>
      <c r="G24" s="445"/>
      <c r="H24" s="750"/>
      <c r="I24" s="733" t="s">
        <v>1259</v>
      </c>
      <c r="J24" s="735" t="s">
        <v>1270</v>
      </c>
      <c r="K24" s="735" t="s">
        <v>1274</v>
      </c>
      <c r="L24" s="426" t="s">
        <v>132</v>
      </c>
      <c r="M24" s="735" t="s">
        <v>1275</v>
      </c>
      <c r="N24" s="735" t="s">
        <v>1262</v>
      </c>
      <c r="O24" s="735" t="s">
        <v>1275</v>
      </c>
      <c r="P24" s="739">
        <v>46054</v>
      </c>
      <c r="Q24" s="739">
        <v>46387</v>
      </c>
      <c r="R24" s="59" t="s">
        <v>93</v>
      </c>
      <c r="S24" s="53">
        <f>+(S25*T24)</f>
        <v>2.0408163265306121E-2</v>
      </c>
      <c r="T24" s="65">
        <f>SUM(U24:AG24)</f>
        <v>1</v>
      </c>
      <c r="U24" s="58"/>
      <c r="V24" s="58"/>
      <c r="W24" s="58"/>
      <c r="X24" s="43"/>
      <c r="Y24" s="43"/>
      <c r="Z24" s="43"/>
      <c r="AA24" s="43"/>
      <c r="AB24" s="43"/>
      <c r="AC24" s="44"/>
      <c r="AD24" s="44"/>
      <c r="AE24" s="44"/>
      <c r="AF24" s="44"/>
      <c r="AG24" s="44">
        <v>1</v>
      </c>
      <c r="AH24" s="741"/>
      <c r="AI24" s="737"/>
      <c r="AJ24" s="746"/>
      <c r="AK24" s="746" t="s">
        <v>1276</v>
      </c>
    </row>
    <row r="25" spans="1:37" ht="57.65" customHeight="1" thickBot="1" x14ac:dyDescent="0.4">
      <c r="A25" s="427"/>
      <c r="B25" s="427"/>
      <c r="C25" s="427"/>
      <c r="D25" s="427"/>
      <c r="E25" s="427"/>
      <c r="F25" s="425"/>
      <c r="G25" s="445"/>
      <c r="H25" s="750"/>
      <c r="I25" s="734" t="s">
        <v>1259</v>
      </c>
      <c r="J25" s="736"/>
      <c r="K25" s="736"/>
      <c r="L25" s="427"/>
      <c r="M25" s="736"/>
      <c r="N25" s="736"/>
      <c r="O25" s="736"/>
      <c r="P25" s="740"/>
      <c r="Q25" s="740"/>
      <c r="R25" s="59" t="s">
        <v>98</v>
      </c>
      <c r="S25" s="52">
        <f>100%/49</f>
        <v>2.0408163265306121E-2</v>
      </c>
      <c r="T25" s="65">
        <f t="shared" si="0"/>
        <v>1</v>
      </c>
      <c r="U25" s="42"/>
      <c r="V25" s="42"/>
      <c r="W25" s="42"/>
      <c r="X25" s="42"/>
      <c r="Y25" s="42"/>
      <c r="Z25" s="42"/>
      <c r="AA25" s="42"/>
      <c r="AB25" s="42"/>
      <c r="AC25" s="42"/>
      <c r="AD25" s="42"/>
      <c r="AE25" s="42"/>
      <c r="AF25" s="42"/>
      <c r="AG25" s="42">
        <v>1</v>
      </c>
      <c r="AH25" s="742"/>
      <c r="AI25" s="738"/>
      <c r="AJ25" s="747"/>
      <c r="AK25" s="747"/>
    </row>
    <row r="26" spans="1:37" ht="57.65" customHeight="1" thickBot="1" x14ac:dyDescent="0.4">
      <c r="A26" s="426">
        <v>7</v>
      </c>
      <c r="B26" s="426" t="s">
        <v>99</v>
      </c>
      <c r="C26" s="426" t="s">
        <v>142</v>
      </c>
      <c r="D26" s="426" t="s">
        <v>130</v>
      </c>
      <c r="E26" s="426" t="s">
        <v>131</v>
      </c>
      <c r="F26" s="446" t="s">
        <v>1118</v>
      </c>
      <c r="G26" s="445"/>
      <c r="H26" s="750"/>
      <c r="I26" s="733" t="s">
        <v>1259</v>
      </c>
      <c r="J26" s="735" t="s">
        <v>1270</v>
      </c>
      <c r="K26" s="735" t="s">
        <v>1277</v>
      </c>
      <c r="L26" s="426" t="s">
        <v>132</v>
      </c>
      <c r="M26" s="735" t="s">
        <v>286</v>
      </c>
      <c r="N26" s="735" t="s">
        <v>1262</v>
      </c>
      <c r="O26" s="735" t="s">
        <v>286</v>
      </c>
      <c r="P26" s="739">
        <v>46113</v>
      </c>
      <c r="Q26" s="739">
        <v>46387</v>
      </c>
      <c r="R26" s="59" t="s">
        <v>93</v>
      </c>
      <c r="S26" s="53">
        <f>+(S27*T26)</f>
        <v>2.0408163265306121E-2</v>
      </c>
      <c r="T26" s="65">
        <f t="shared" si="0"/>
        <v>1</v>
      </c>
      <c r="U26" s="45"/>
      <c r="V26" s="45"/>
      <c r="W26" s="45"/>
      <c r="X26" s="45"/>
      <c r="Y26" s="45"/>
      <c r="Z26" s="45"/>
      <c r="AA26" s="45"/>
      <c r="AB26" s="45"/>
      <c r="AC26" s="45"/>
      <c r="AD26" s="45"/>
      <c r="AE26" s="45"/>
      <c r="AF26" s="45"/>
      <c r="AG26" s="44">
        <v>1</v>
      </c>
      <c r="AH26" s="741"/>
      <c r="AI26" s="737"/>
      <c r="AJ26" s="746"/>
      <c r="AK26" s="746" t="s">
        <v>1278</v>
      </c>
    </row>
    <row r="27" spans="1:37" ht="57.65" customHeight="1" thickBot="1" x14ac:dyDescent="0.4">
      <c r="A27" s="427"/>
      <c r="B27" s="427"/>
      <c r="C27" s="427"/>
      <c r="D27" s="427"/>
      <c r="E27" s="427"/>
      <c r="F27" s="446"/>
      <c r="G27" s="445"/>
      <c r="H27" s="750"/>
      <c r="I27" s="734" t="s">
        <v>1259</v>
      </c>
      <c r="J27" s="736"/>
      <c r="K27" s="736"/>
      <c r="L27" s="427"/>
      <c r="M27" s="736"/>
      <c r="N27" s="736"/>
      <c r="O27" s="736"/>
      <c r="P27" s="740"/>
      <c r="Q27" s="740"/>
      <c r="R27" s="59" t="s">
        <v>98</v>
      </c>
      <c r="S27" s="52">
        <f>100%/49</f>
        <v>2.0408163265306121E-2</v>
      </c>
      <c r="T27" s="65">
        <f t="shared" si="0"/>
        <v>1</v>
      </c>
      <c r="U27" s="42"/>
      <c r="V27" s="42"/>
      <c r="W27" s="42"/>
      <c r="X27" s="42"/>
      <c r="Y27" s="42"/>
      <c r="Z27" s="42"/>
      <c r="AA27" s="42"/>
      <c r="AB27" s="42"/>
      <c r="AC27" s="42"/>
      <c r="AD27" s="42"/>
      <c r="AE27" s="42"/>
      <c r="AF27" s="42"/>
      <c r="AG27" s="42">
        <v>1</v>
      </c>
      <c r="AH27" s="742"/>
      <c r="AI27" s="738"/>
      <c r="AJ27" s="747"/>
      <c r="AK27" s="747"/>
    </row>
    <row r="28" spans="1:37" ht="57.65" customHeight="1" thickBot="1" x14ac:dyDescent="0.4">
      <c r="A28" s="426">
        <v>8</v>
      </c>
      <c r="B28" s="445" t="s">
        <v>99</v>
      </c>
      <c r="C28" s="426" t="s">
        <v>142</v>
      </c>
      <c r="D28" s="445" t="s">
        <v>130</v>
      </c>
      <c r="E28" s="445" t="s">
        <v>131</v>
      </c>
      <c r="F28" s="446" t="s">
        <v>1118</v>
      </c>
      <c r="G28" s="445"/>
      <c r="H28" s="750"/>
      <c r="I28" s="733" t="s">
        <v>1259</v>
      </c>
      <c r="J28" s="735" t="s">
        <v>1270</v>
      </c>
      <c r="K28" s="735" t="s">
        <v>1279</v>
      </c>
      <c r="L28" s="426" t="s">
        <v>132</v>
      </c>
      <c r="M28" s="735" t="s">
        <v>92</v>
      </c>
      <c r="N28" s="735" t="s">
        <v>1262</v>
      </c>
      <c r="O28" s="735" t="s">
        <v>1280</v>
      </c>
      <c r="P28" s="739">
        <v>46113</v>
      </c>
      <c r="Q28" s="739">
        <v>46387</v>
      </c>
      <c r="R28" s="59" t="s">
        <v>93</v>
      </c>
      <c r="S28" s="53">
        <f>+(S29*T28)</f>
        <v>2.0408163265306121E-2</v>
      </c>
      <c r="T28" s="65">
        <f t="shared" si="0"/>
        <v>1</v>
      </c>
      <c r="U28" s="45"/>
      <c r="V28" s="45"/>
      <c r="W28" s="45"/>
      <c r="X28" s="45"/>
      <c r="Y28" s="45"/>
      <c r="Z28" s="45"/>
      <c r="AA28" s="45"/>
      <c r="AB28" s="45"/>
      <c r="AC28" s="45"/>
      <c r="AD28" s="45"/>
      <c r="AE28" s="45"/>
      <c r="AF28" s="45"/>
      <c r="AG28" s="44">
        <v>1</v>
      </c>
      <c r="AH28" s="741"/>
      <c r="AI28" s="737"/>
      <c r="AJ28" s="746"/>
      <c r="AK28" s="746" t="s">
        <v>1281</v>
      </c>
    </row>
    <row r="29" spans="1:37" ht="57.65" customHeight="1" thickBot="1" x14ac:dyDescent="0.4">
      <c r="A29" s="427"/>
      <c r="B29" s="445"/>
      <c r="C29" s="427"/>
      <c r="D29" s="445"/>
      <c r="E29" s="445"/>
      <c r="F29" s="446"/>
      <c r="G29" s="445"/>
      <c r="H29" s="750"/>
      <c r="I29" s="734" t="s">
        <v>1259</v>
      </c>
      <c r="J29" s="736"/>
      <c r="K29" s="736"/>
      <c r="L29" s="427"/>
      <c r="M29" s="736"/>
      <c r="N29" s="736"/>
      <c r="O29" s="736"/>
      <c r="P29" s="740"/>
      <c r="Q29" s="740"/>
      <c r="R29" s="59" t="s">
        <v>98</v>
      </c>
      <c r="S29" s="52">
        <f>100%/49</f>
        <v>2.0408163265306121E-2</v>
      </c>
      <c r="T29" s="65">
        <f t="shared" si="0"/>
        <v>1</v>
      </c>
      <c r="U29" s="42"/>
      <c r="V29" s="42"/>
      <c r="W29" s="42"/>
      <c r="X29" s="42"/>
      <c r="Y29" s="42"/>
      <c r="Z29" s="42"/>
      <c r="AA29" s="42"/>
      <c r="AB29" s="42"/>
      <c r="AC29" s="42"/>
      <c r="AD29" s="42"/>
      <c r="AE29" s="42"/>
      <c r="AF29" s="42"/>
      <c r="AG29" s="42">
        <v>1</v>
      </c>
      <c r="AH29" s="742"/>
      <c r="AI29" s="738"/>
      <c r="AJ29" s="747"/>
      <c r="AK29" s="747"/>
    </row>
    <row r="30" spans="1:37" ht="57.65" customHeight="1" thickBot="1" x14ac:dyDescent="0.4">
      <c r="A30" s="426">
        <v>9</v>
      </c>
      <c r="B30" s="445" t="s">
        <v>99</v>
      </c>
      <c r="C30" s="426" t="s">
        <v>142</v>
      </c>
      <c r="D30" s="445" t="s">
        <v>130</v>
      </c>
      <c r="E30" s="445" t="s">
        <v>131</v>
      </c>
      <c r="F30" s="446" t="s">
        <v>1118</v>
      </c>
      <c r="G30" s="445"/>
      <c r="H30" s="750"/>
      <c r="I30" s="733" t="s">
        <v>1259</v>
      </c>
      <c r="J30" s="735" t="s">
        <v>1282</v>
      </c>
      <c r="K30" s="735" t="s">
        <v>1283</v>
      </c>
      <c r="L30" s="426" t="s">
        <v>132</v>
      </c>
      <c r="M30" s="735" t="s">
        <v>92</v>
      </c>
      <c r="N30" s="735" t="s">
        <v>1262</v>
      </c>
      <c r="O30" s="735" t="s">
        <v>92</v>
      </c>
      <c r="P30" s="739">
        <v>46142</v>
      </c>
      <c r="Q30" s="739">
        <v>46387</v>
      </c>
      <c r="R30" s="59" t="s">
        <v>93</v>
      </c>
      <c r="S30" s="53">
        <f>+(S31*T30)</f>
        <v>2.0408163265306121E-2</v>
      </c>
      <c r="T30" s="65">
        <f>SUM(U30:AG30)</f>
        <v>1</v>
      </c>
      <c r="U30" s="45"/>
      <c r="V30" s="45"/>
      <c r="W30" s="45"/>
      <c r="X30" s="45">
        <v>0.25</v>
      </c>
      <c r="Y30" s="45"/>
      <c r="Z30" s="45"/>
      <c r="AA30" s="45">
        <v>0.25</v>
      </c>
      <c r="AB30" s="45"/>
      <c r="AC30" s="45"/>
      <c r="AD30" s="45">
        <v>0.25</v>
      </c>
      <c r="AE30" s="45"/>
      <c r="AF30" s="45"/>
      <c r="AG30" s="44">
        <v>0.25</v>
      </c>
      <c r="AH30" s="741" t="s">
        <v>1284</v>
      </c>
      <c r="AI30" s="741" t="s">
        <v>1284</v>
      </c>
      <c r="AJ30" s="741" t="s">
        <v>1284</v>
      </c>
      <c r="AK30" s="741" t="s">
        <v>1284</v>
      </c>
    </row>
    <row r="31" spans="1:37" ht="57.65" customHeight="1" thickBot="1" x14ac:dyDescent="0.4">
      <c r="A31" s="427"/>
      <c r="B31" s="445"/>
      <c r="C31" s="427"/>
      <c r="D31" s="445"/>
      <c r="E31" s="445"/>
      <c r="F31" s="446"/>
      <c r="G31" s="445"/>
      <c r="H31" s="750"/>
      <c r="I31" s="734" t="s">
        <v>1259</v>
      </c>
      <c r="J31" s="736"/>
      <c r="K31" s="736"/>
      <c r="L31" s="427"/>
      <c r="M31" s="736"/>
      <c r="N31" s="736"/>
      <c r="O31" s="736"/>
      <c r="P31" s="740"/>
      <c r="Q31" s="740"/>
      <c r="R31" s="59" t="s">
        <v>98</v>
      </c>
      <c r="S31" s="52">
        <f>100%/49</f>
        <v>2.0408163265306121E-2</v>
      </c>
      <c r="T31" s="65">
        <f t="shared" si="0"/>
        <v>1</v>
      </c>
      <c r="U31" s="42"/>
      <c r="V31" s="42"/>
      <c r="W31" s="42"/>
      <c r="X31" s="42">
        <v>0.25</v>
      </c>
      <c r="Y31" s="42"/>
      <c r="Z31" s="42"/>
      <c r="AA31" s="42">
        <v>0.25</v>
      </c>
      <c r="AB31" s="42"/>
      <c r="AC31" s="42"/>
      <c r="AD31" s="42">
        <v>0.25</v>
      </c>
      <c r="AE31" s="42"/>
      <c r="AF31" s="42"/>
      <c r="AG31" s="42">
        <v>0.25</v>
      </c>
      <c r="AH31" s="742"/>
      <c r="AI31" s="742"/>
      <c r="AJ31" s="742"/>
      <c r="AK31" s="742"/>
    </row>
    <row r="32" spans="1:37" ht="57.65" customHeight="1" thickBot="1" x14ac:dyDescent="0.4">
      <c r="A32" s="426">
        <v>10</v>
      </c>
      <c r="B32" s="445" t="s">
        <v>99</v>
      </c>
      <c r="C32" s="426" t="s">
        <v>142</v>
      </c>
      <c r="D32" s="445" t="s">
        <v>130</v>
      </c>
      <c r="E32" s="445" t="s">
        <v>131</v>
      </c>
      <c r="F32" s="446" t="s">
        <v>1118</v>
      </c>
      <c r="G32" s="445"/>
      <c r="H32" s="750"/>
      <c r="I32" s="733" t="s">
        <v>1259</v>
      </c>
      <c r="J32" s="735" t="s">
        <v>1285</v>
      </c>
      <c r="K32" s="735" t="s">
        <v>1286</v>
      </c>
      <c r="L32" s="426" t="s">
        <v>132</v>
      </c>
      <c r="M32" s="735" t="s">
        <v>92</v>
      </c>
      <c r="N32" s="735" t="s">
        <v>1262</v>
      </c>
      <c r="O32" s="735" t="s">
        <v>92</v>
      </c>
      <c r="P32" s="739">
        <v>46142</v>
      </c>
      <c r="Q32" s="739">
        <v>46387</v>
      </c>
      <c r="R32" s="59" t="s">
        <v>93</v>
      </c>
      <c r="S32" s="53">
        <f>+(S33*T32)</f>
        <v>2.0408163265306121E-2</v>
      </c>
      <c r="T32" s="65">
        <f t="shared" si="0"/>
        <v>1</v>
      </c>
      <c r="U32" s="45"/>
      <c r="V32" s="45"/>
      <c r="W32" s="45"/>
      <c r="X32" s="45"/>
      <c r="Y32" s="45"/>
      <c r="Z32" s="45"/>
      <c r="AA32" s="45"/>
      <c r="AB32" s="45"/>
      <c r="AC32" s="45"/>
      <c r="AD32" s="45"/>
      <c r="AE32" s="45"/>
      <c r="AF32" s="45"/>
      <c r="AG32" s="45">
        <v>1</v>
      </c>
      <c r="AH32" s="741"/>
      <c r="AI32" s="737"/>
      <c r="AJ32" s="746"/>
      <c r="AK32" s="746" t="s">
        <v>1287</v>
      </c>
    </row>
    <row r="33" spans="1:37" ht="57.65" customHeight="1" thickBot="1" x14ac:dyDescent="0.4">
      <c r="A33" s="427"/>
      <c r="B33" s="445"/>
      <c r="C33" s="427"/>
      <c r="D33" s="445"/>
      <c r="E33" s="445"/>
      <c r="F33" s="446"/>
      <c r="G33" s="445"/>
      <c r="H33" s="750"/>
      <c r="I33" s="734" t="s">
        <v>1259</v>
      </c>
      <c r="J33" s="736"/>
      <c r="K33" s="736"/>
      <c r="L33" s="427"/>
      <c r="M33" s="736"/>
      <c r="N33" s="736"/>
      <c r="O33" s="736"/>
      <c r="P33" s="740"/>
      <c r="Q33" s="740"/>
      <c r="R33" s="59" t="s">
        <v>98</v>
      </c>
      <c r="S33" s="52">
        <f>100%/49</f>
        <v>2.0408163265306121E-2</v>
      </c>
      <c r="T33" s="65">
        <f t="shared" si="0"/>
        <v>1</v>
      </c>
      <c r="U33" s="42"/>
      <c r="V33" s="42"/>
      <c r="W33" s="42"/>
      <c r="X33" s="42"/>
      <c r="Y33" s="42"/>
      <c r="Z33" s="42"/>
      <c r="AA33" s="42"/>
      <c r="AB33" s="42"/>
      <c r="AC33" s="42"/>
      <c r="AD33" s="42"/>
      <c r="AE33" s="42"/>
      <c r="AF33" s="42"/>
      <c r="AG33" s="42">
        <v>1</v>
      </c>
      <c r="AH33" s="742"/>
      <c r="AI33" s="738"/>
      <c r="AJ33" s="747"/>
      <c r="AK33" s="747"/>
    </row>
    <row r="34" spans="1:37" ht="57.65" customHeight="1" thickBot="1" x14ac:dyDescent="0.4">
      <c r="A34" s="426">
        <v>11</v>
      </c>
      <c r="B34" s="445" t="s">
        <v>99</v>
      </c>
      <c r="C34" s="426" t="s">
        <v>142</v>
      </c>
      <c r="D34" s="445" t="s">
        <v>130</v>
      </c>
      <c r="E34" s="445" t="s">
        <v>131</v>
      </c>
      <c r="F34" s="446" t="s">
        <v>1118</v>
      </c>
      <c r="G34" s="753" t="s">
        <v>1288</v>
      </c>
      <c r="H34" s="753" t="s">
        <v>1288</v>
      </c>
      <c r="I34" s="733" t="s">
        <v>1289</v>
      </c>
      <c r="J34" s="735" t="s">
        <v>1290</v>
      </c>
      <c r="K34" s="735" t="s">
        <v>1291</v>
      </c>
      <c r="L34" s="426" t="s">
        <v>132</v>
      </c>
      <c r="M34" s="735" t="s">
        <v>286</v>
      </c>
      <c r="N34" s="735" t="s">
        <v>1262</v>
      </c>
      <c r="O34" s="735" t="s">
        <v>286</v>
      </c>
      <c r="P34" s="739">
        <v>46266</v>
      </c>
      <c r="Q34" s="739">
        <v>46387</v>
      </c>
      <c r="R34" s="59" t="s">
        <v>93</v>
      </c>
      <c r="S34" s="53">
        <f>+(S35*T34)</f>
        <v>2.0408163265306121E-2</v>
      </c>
      <c r="T34" s="65">
        <f t="shared" si="0"/>
        <v>1</v>
      </c>
      <c r="U34" s="45"/>
      <c r="V34" s="45"/>
      <c r="W34" s="45"/>
      <c r="X34" s="45"/>
      <c r="Y34" s="45"/>
      <c r="Z34" s="45"/>
      <c r="AA34" s="45"/>
      <c r="AB34" s="45"/>
      <c r="AC34" s="45"/>
      <c r="AD34" s="45"/>
      <c r="AE34" s="45"/>
      <c r="AF34" s="45"/>
      <c r="AG34" s="45">
        <v>1</v>
      </c>
      <c r="AH34" s="741"/>
      <c r="AI34" s="737"/>
      <c r="AJ34" s="746"/>
      <c r="AK34" s="746" t="s">
        <v>1292</v>
      </c>
    </row>
    <row r="35" spans="1:37" ht="57.65" customHeight="1" thickBot="1" x14ac:dyDescent="0.4">
      <c r="A35" s="427"/>
      <c r="B35" s="445"/>
      <c r="C35" s="427"/>
      <c r="D35" s="445"/>
      <c r="E35" s="445"/>
      <c r="F35" s="446"/>
      <c r="G35" s="754"/>
      <c r="H35" s="754"/>
      <c r="I35" s="734" t="s">
        <v>1289</v>
      </c>
      <c r="J35" s="736"/>
      <c r="K35" s="736"/>
      <c r="L35" s="427"/>
      <c r="M35" s="736"/>
      <c r="N35" s="736"/>
      <c r="O35" s="736"/>
      <c r="P35" s="740"/>
      <c r="Q35" s="740"/>
      <c r="R35" s="59" t="s">
        <v>98</v>
      </c>
      <c r="S35" s="52">
        <f>100%/49</f>
        <v>2.0408163265306121E-2</v>
      </c>
      <c r="T35" s="65">
        <f t="shared" si="0"/>
        <v>1</v>
      </c>
      <c r="U35" s="42"/>
      <c r="V35" s="42"/>
      <c r="W35" s="42"/>
      <c r="X35" s="42"/>
      <c r="Y35" s="42"/>
      <c r="Z35" s="42"/>
      <c r="AA35" s="42"/>
      <c r="AB35" s="42"/>
      <c r="AC35" s="42"/>
      <c r="AD35" s="42"/>
      <c r="AE35" s="42"/>
      <c r="AF35" s="42"/>
      <c r="AG35" s="42">
        <v>1</v>
      </c>
      <c r="AH35" s="742"/>
      <c r="AI35" s="738"/>
      <c r="AJ35" s="747"/>
      <c r="AK35" s="747"/>
    </row>
    <row r="36" spans="1:37" ht="57.65" customHeight="1" thickBot="1" x14ac:dyDescent="0.4">
      <c r="A36" s="426">
        <v>12</v>
      </c>
      <c r="B36" s="445" t="s">
        <v>99</v>
      </c>
      <c r="C36" s="426" t="s">
        <v>142</v>
      </c>
      <c r="D36" s="445" t="s">
        <v>130</v>
      </c>
      <c r="E36" s="445" t="s">
        <v>131</v>
      </c>
      <c r="F36" s="446" t="s">
        <v>1118</v>
      </c>
      <c r="G36" s="754"/>
      <c r="H36" s="754"/>
      <c r="I36" s="733" t="s">
        <v>1289</v>
      </c>
      <c r="J36" s="735" t="s">
        <v>1293</v>
      </c>
      <c r="K36" s="735" t="s">
        <v>1294</v>
      </c>
      <c r="L36" s="426" t="s">
        <v>132</v>
      </c>
      <c r="M36" s="735" t="s">
        <v>286</v>
      </c>
      <c r="N36" s="735" t="s">
        <v>1262</v>
      </c>
      <c r="O36" s="735" t="s">
        <v>286</v>
      </c>
      <c r="P36" s="739">
        <v>46082</v>
      </c>
      <c r="Q36" s="739" t="s">
        <v>1295</v>
      </c>
      <c r="R36" s="59" t="s">
        <v>93</v>
      </c>
      <c r="S36" s="53">
        <f>+(S37*T36)</f>
        <v>1.9999999999999997E-2</v>
      </c>
      <c r="T36" s="65">
        <f t="shared" si="0"/>
        <v>0.97999999999999987</v>
      </c>
      <c r="U36" s="45"/>
      <c r="V36" s="42">
        <v>8.3333333333333343E-2</v>
      </c>
      <c r="W36" s="42">
        <v>8.3333333333333343E-2</v>
      </c>
      <c r="X36" s="42">
        <v>8.3333333333333343E-2</v>
      </c>
      <c r="Y36" s="42">
        <v>8.3333333333333343E-2</v>
      </c>
      <c r="Z36" s="42">
        <v>8.3333333333333343E-2</v>
      </c>
      <c r="AA36" s="42">
        <v>8.3333333333333343E-2</v>
      </c>
      <c r="AB36" s="45">
        <v>0.08</v>
      </c>
      <c r="AC36" s="45">
        <v>0.08</v>
      </c>
      <c r="AD36" s="45">
        <v>0.08</v>
      </c>
      <c r="AE36" s="45">
        <v>0.08</v>
      </c>
      <c r="AF36" s="45">
        <v>0.08</v>
      </c>
      <c r="AG36" s="45">
        <v>0.08</v>
      </c>
      <c r="AH36" s="741" t="s">
        <v>1296</v>
      </c>
      <c r="AI36" s="741" t="s">
        <v>1297</v>
      </c>
      <c r="AJ36" s="741" t="s">
        <v>1298</v>
      </c>
      <c r="AK36" s="741" t="s">
        <v>1299</v>
      </c>
    </row>
    <row r="37" spans="1:37" ht="57.65" customHeight="1" thickBot="1" x14ac:dyDescent="0.4">
      <c r="A37" s="427"/>
      <c r="B37" s="445"/>
      <c r="C37" s="427"/>
      <c r="D37" s="445"/>
      <c r="E37" s="445"/>
      <c r="F37" s="446"/>
      <c r="G37" s="754"/>
      <c r="H37" s="754"/>
      <c r="I37" s="734" t="s">
        <v>1289</v>
      </c>
      <c r="J37" s="736"/>
      <c r="K37" s="736"/>
      <c r="L37" s="427"/>
      <c r="M37" s="736"/>
      <c r="N37" s="736"/>
      <c r="O37" s="736"/>
      <c r="P37" s="740"/>
      <c r="Q37" s="740"/>
      <c r="R37" s="59" t="s">
        <v>98</v>
      </c>
      <c r="S37" s="52">
        <f>100%/49</f>
        <v>2.0408163265306121E-2</v>
      </c>
      <c r="T37" s="65">
        <f t="shared" si="0"/>
        <v>1.0000000000000002</v>
      </c>
      <c r="U37" s="42"/>
      <c r="V37" s="42">
        <v>8.3333333333333343E-2</v>
      </c>
      <c r="W37" s="42">
        <v>8.3333333333333343E-2</v>
      </c>
      <c r="X37" s="42">
        <v>8.3333333333333343E-2</v>
      </c>
      <c r="Y37" s="42">
        <v>8.3333333333333343E-2</v>
      </c>
      <c r="Z37" s="42">
        <v>8.3333333333333343E-2</v>
      </c>
      <c r="AA37" s="42">
        <v>8.3333333333333343E-2</v>
      </c>
      <c r="AB37" s="42">
        <v>8.3333333333333343E-2</v>
      </c>
      <c r="AC37" s="42">
        <v>8.3333333333333343E-2</v>
      </c>
      <c r="AD37" s="42">
        <v>8.3333333333333343E-2</v>
      </c>
      <c r="AE37" s="42">
        <v>8.3333333333333343E-2</v>
      </c>
      <c r="AF37" s="42">
        <v>8.3333333333333343E-2</v>
      </c>
      <c r="AG37" s="42">
        <v>8.3333333333333343E-2</v>
      </c>
      <c r="AH37" s="742"/>
      <c r="AI37" s="742"/>
      <c r="AJ37" s="742"/>
      <c r="AK37" s="742"/>
    </row>
    <row r="38" spans="1:37" ht="57.65" customHeight="1" thickBot="1" x14ac:dyDescent="0.4">
      <c r="A38" s="426">
        <v>13</v>
      </c>
      <c r="B38" s="445" t="s">
        <v>99</v>
      </c>
      <c r="C38" s="426" t="s">
        <v>142</v>
      </c>
      <c r="D38" s="445" t="s">
        <v>130</v>
      </c>
      <c r="E38" s="445" t="s">
        <v>131</v>
      </c>
      <c r="F38" s="446" t="s">
        <v>1118</v>
      </c>
      <c r="G38" s="754"/>
      <c r="H38" s="754"/>
      <c r="I38" s="733" t="s">
        <v>1289</v>
      </c>
      <c r="J38" s="735" t="s">
        <v>1300</v>
      </c>
      <c r="K38" s="735" t="s">
        <v>1301</v>
      </c>
      <c r="L38" s="426" t="s">
        <v>132</v>
      </c>
      <c r="M38" s="735" t="s">
        <v>286</v>
      </c>
      <c r="N38" s="735" t="s">
        <v>1262</v>
      </c>
      <c r="O38" s="735" t="s">
        <v>286</v>
      </c>
      <c r="P38" s="739">
        <v>46113</v>
      </c>
      <c r="Q38" s="739">
        <v>46174</v>
      </c>
      <c r="R38" s="59" t="s">
        <v>93</v>
      </c>
      <c r="S38" s="53">
        <f>+(S39*T38)</f>
        <v>2.0408163265306121E-2</v>
      </c>
      <c r="T38" s="65">
        <f t="shared" si="0"/>
        <v>1</v>
      </c>
      <c r="U38" s="45"/>
      <c r="W38" s="45"/>
      <c r="X38" s="45">
        <v>0.25</v>
      </c>
      <c r="Y38" s="45"/>
      <c r="Z38" s="45"/>
      <c r="AA38" s="45">
        <v>0.25</v>
      </c>
      <c r="AB38" s="45"/>
      <c r="AC38" s="45"/>
      <c r="AD38" s="45">
        <v>0.25</v>
      </c>
      <c r="AE38" s="45"/>
      <c r="AF38" s="45"/>
      <c r="AG38" s="45">
        <v>0.25</v>
      </c>
      <c r="AH38" s="741" t="s">
        <v>1302</v>
      </c>
      <c r="AI38" s="741" t="s">
        <v>1303</v>
      </c>
      <c r="AJ38" s="741" t="s">
        <v>1304</v>
      </c>
      <c r="AK38" s="741" t="s">
        <v>1305</v>
      </c>
    </row>
    <row r="39" spans="1:37" ht="57.65" customHeight="1" thickBot="1" x14ac:dyDescent="0.4">
      <c r="A39" s="427"/>
      <c r="B39" s="445"/>
      <c r="C39" s="427"/>
      <c r="D39" s="445"/>
      <c r="E39" s="445"/>
      <c r="F39" s="446"/>
      <c r="G39" s="754"/>
      <c r="H39" s="754"/>
      <c r="I39" s="734" t="s">
        <v>1289</v>
      </c>
      <c r="J39" s="736"/>
      <c r="K39" s="736"/>
      <c r="L39" s="427"/>
      <c r="M39" s="736"/>
      <c r="N39" s="736"/>
      <c r="O39" s="736"/>
      <c r="P39" s="740"/>
      <c r="Q39" s="740"/>
      <c r="R39" s="59" t="s">
        <v>98</v>
      </c>
      <c r="S39" s="52">
        <f>100%/49</f>
        <v>2.0408163265306121E-2</v>
      </c>
      <c r="T39" s="65">
        <f t="shared" si="0"/>
        <v>1</v>
      </c>
      <c r="U39" s="42"/>
      <c r="V39" s="42"/>
      <c r="W39" s="42"/>
      <c r="X39" s="42">
        <v>0.25</v>
      </c>
      <c r="Y39" s="42"/>
      <c r="Z39" s="42"/>
      <c r="AA39" s="42">
        <v>0.25</v>
      </c>
      <c r="AB39" s="42"/>
      <c r="AC39" s="42"/>
      <c r="AD39" s="42">
        <v>0.25</v>
      </c>
      <c r="AE39" s="42"/>
      <c r="AF39" s="42"/>
      <c r="AG39" s="42">
        <v>0.25</v>
      </c>
      <c r="AH39" s="742"/>
      <c r="AI39" s="742"/>
      <c r="AJ39" s="742"/>
      <c r="AK39" s="742"/>
    </row>
    <row r="40" spans="1:37" ht="57.65" customHeight="1" thickBot="1" x14ac:dyDescent="0.4">
      <c r="A40" s="426">
        <v>14</v>
      </c>
      <c r="B40" s="445" t="s">
        <v>99</v>
      </c>
      <c r="C40" s="426" t="s">
        <v>142</v>
      </c>
      <c r="D40" s="445" t="s">
        <v>130</v>
      </c>
      <c r="E40" s="445" t="s">
        <v>131</v>
      </c>
      <c r="F40" s="446" t="s">
        <v>1118</v>
      </c>
      <c r="G40" s="754"/>
      <c r="H40" s="754"/>
      <c r="I40" s="733" t="s">
        <v>1289</v>
      </c>
      <c r="J40" s="735" t="s">
        <v>1306</v>
      </c>
      <c r="K40" s="735" t="s">
        <v>1307</v>
      </c>
      <c r="L40" s="426" t="s">
        <v>132</v>
      </c>
      <c r="M40" s="735" t="s">
        <v>286</v>
      </c>
      <c r="N40" s="735" t="s">
        <v>1262</v>
      </c>
      <c r="O40" s="735" t="s">
        <v>286</v>
      </c>
      <c r="P40" s="739">
        <v>46266</v>
      </c>
      <c r="Q40" s="739">
        <v>46356</v>
      </c>
      <c r="R40" s="59" t="s">
        <v>93</v>
      </c>
      <c r="S40" s="53">
        <f>+(S41*T40)</f>
        <v>2.0408163265306121E-2</v>
      </c>
      <c r="T40" s="65">
        <f t="shared" si="0"/>
        <v>1</v>
      </c>
      <c r="U40" s="45"/>
      <c r="V40" s="45"/>
      <c r="W40" s="45"/>
      <c r="X40" s="45"/>
      <c r="Y40" s="45"/>
      <c r="Z40" s="45"/>
      <c r="AA40" s="45"/>
      <c r="AB40" s="45"/>
      <c r="AC40" s="45"/>
      <c r="AD40" s="45"/>
      <c r="AE40" s="45"/>
      <c r="AF40" s="45"/>
      <c r="AG40" s="45">
        <v>1</v>
      </c>
      <c r="AH40" s="741"/>
      <c r="AI40" s="737"/>
      <c r="AJ40" s="746"/>
      <c r="AK40" s="746" t="s">
        <v>1308</v>
      </c>
    </row>
    <row r="41" spans="1:37" ht="57.65" customHeight="1" thickBot="1" x14ac:dyDescent="0.4">
      <c r="A41" s="427"/>
      <c r="B41" s="445"/>
      <c r="C41" s="427"/>
      <c r="D41" s="445"/>
      <c r="E41" s="445"/>
      <c r="F41" s="446"/>
      <c r="G41" s="754"/>
      <c r="H41" s="754"/>
      <c r="I41" s="734" t="s">
        <v>1289</v>
      </c>
      <c r="J41" s="736"/>
      <c r="K41" s="736"/>
      <c r="L41" s="427"/>
      <c r="M41" s="736"/>
      <c r="N41" s="736"/>
      <c r="O41" s="736"/>
      <c r="P41" s="740"/>
      <c r="Q41" s="740"/>
      <c r="R41" s="59" t="s">
        <v>98</v>
      </c>
      <c r="S41" s="52">
        <f>100%/49</f>
        <v>2.0408163265306121E-2</v>
      </c>
      <c r="T41" s="65">
        <f t="shared" si="0"/>
        <v>1</v>
      </c>
      <c r="U41" s="42"/>
      <c r="V41" s="42"/>
      <c r="W41" s="42"/>
      <c r="X41" s="42"/>
      <c r="Y41" s="42"/>
      <c r="Z41" s="42"/>
      <c r="AA41" s="42"/>
      <c r="AB41" s="42"/>
      <c r="AC41" s="42"/>
      <c r="AD41" s="42"/>
      <c r="AE41" s="42"/>
      <c r="AF41" s="42"/>
      <c r="AG41" s="42">
        <v>1</v>
      </c>
      <c r="AH41" s="742"/>
      <c r="AI41" s="738"/>
      <c r="AJ41" s="747"/>
      <c r="AK41" s="747"/>
    </row>
    <row r="42" spans="1:37" ht="57.65" customHeight="1" thickBot="1" x14ac:dyDescent="0.4">
      <c r="A42" s="426">
        <v>15</v>
      </c>
      <c r="B42" s="445" t="s">
        <v>99</v>
      </c>
      <c r="C42" s="426" t="s">
        <v>142</v>
      </c>
      <c r="D42" s="445" t="s">
        <v>130</v>
      </c>
      <c r="E42" s="445" t="s">
        <v>131</v>
      </c>
      <c r="F42" s="446" t="s">
        <v>1118</v>
      </c>
      <c r="G42" s="754"/>
      <c r="H42" s="754"/>
      <c r="I42" s="733" t="s">
        <v>1289</v>
      </c>
      <c r="J42" s="735" t="s">
        <v>1309</v>
      </c>
      <c r="K42" s="735" t="s">
        <v>1310</v>
      </c>
      <c r="L42" s="426" t="s">
        <v>132</v>
      </c>
      <c r="M42" s="735" t="s">
        <v>286</v>
      </c>
      <c r="N42" s="735" t="s">
        <v>1262</v>
      </c>
      <c r="O42" s="735" t="s">
        <v>179</v>
      </c>
      <c r="P42" s="739">
        <v>46204</v>
      </c>
      <c r="Q42" s="739">
        <v>46264</v>
      </c>
      <c r="R42" s="59" t="s">
        <v>93</v>
      </c>
      <c r="S42" s="53">
        <f>+(S43*T42)</f>
        <v>2.0408163265306121E-2</v>
      </c>
      <c r="T42" s="65">
        <f t="shared" si="0"/>
        <v>1</v>
      </c>
      <c r="U42" s="45"/>
      <c r="V42" s="45"/>
      <c r="W42" s="45"/>
      <c r="X42" s="45"/>
      <c r="Y42" s="45"/>
      <c r="Z42" s="45"/>
      <c r="AA42" s="45"/>
      <c r="AB42" s="45"/>
      <c r="AC42" s="45"/>
      <c r="AD42" s="45"/>
      <c r="AE42" s="45"/>
      <c r="AF42" s="45"/>
      <c r="AG42" s="45">
        <v>1</v>
      </c>
      <c r="AH42" s="741"/>
      <c r="AI42" s="737"/>
      <c r="AJ42" s="746"/>
      <c r="AK42" s="746" t="s">
        <v>1311</v>
      </c>
    </row>
    <row r="43" spans="1:37" ht="57.65" customHeight="1" thickBot="1" x14ac:dyDescent="0.4">
      <c r="A43" s="427"/>
      <c r="B43" s="445"/>
      <c r="C43" s="427"/>
      <c r="D43" s="445"/>
      <c r="E43" s="445"/>
      <c r="F43" s="446"/>
      <c r="G43" s="754"/>
      <c r="H43" s="754"/>
      <c r="I43" s="734" t="s">
        <v>1289</v>
      </c>
      <c r="J43" s="736"/>
      <c r="K43" s="736"/>
      <c r="L43" s="427"/>
      <c r="M43" s="736"/>
      <c r="N43" s="736"/>
      <c r="O43" s="736"/>
      <c r="P43" s="740"/>
      <c r="Q43" s="740"/>
      <c r="R43" s="59" t="s">
        <v>98</v>
      </c>
      <c r="S43" s="52">
        <f>100%/49</f>
        <v>2.0408163265306121E-2</v>
      </c>
      <c r="T43" s="65">
        <f t="shared" si="0"/>
        <v>1</v>
      </c>
      <c r="U43" s="42"/>
      <c r="V43" s="42"/>
      <c r="W43" s="42"/>
      <c r="X43" s="42"/>
      <c r="Y43" s="42"/>
      <c r="Z43" s="42"/>
      <c r="AA43" s="42"/>
      <c r="AB43" s="42"/>
      <c r="AC43" s="42"/>
      <c r="AD43" s="42"/>
      <c r="AE43" s="42"/>
      <c r="AF43" s="42"/>
      <c r="AG43" s="42">
        <v>1</v>
      </c>
      <c r="AH43" s="742"/>
      <c r="AI43" s="738"/>
      <c r="AJ43" s="747"/>
      <c r="AK43" s="747"/>
    </row>
    <row r="44" spans="1:37" ht="57.65" customHeight="1" thickBot="1" x14ac:dyDescent="0.4">
      <c r="A44" s="426">
        <v>16</v>
      </c>
      <c r="B44" s="445" t="s">
        <v>99</v>
      </c>
      <c r="C44" s="426" t="s">
        <v>142</v>
      </c>
      <c r="D44" s="445" t="s">
        <v>130</v>
      </c>
      <c r="E44" s="445" t="s">
        <v>131</v>
      </c>
      <c r="F44" s="446" t="s">
        <v>1118</v>
      </c>
      <c r="G44" s="754"/>
      <c r="H44" s="754"/>
      <c r="I44" s="733" t="s">
        <v>1289</v>
      </c>
      <c r="J44" s="735" t="s">
        <v>1309</v>
      </c>
      <c r="K44" s="735" t="s">
        <v>1312</v>
      </c>
      <c r="L44" s="426" t="s">
        <v>132</v>
      </c>
      <c r="M44" s="735" t="s">
        <v>286</v>
      </c>
      <c r="N44" s="735" t="s">
        <v>1262</v>
      </c>
      <c r="O44" s="735" t="s">
        <v>286</v>
      </c>
      <c r="P44" s="739">
        <v>46204</v>
      </c>
      <c r="Q44" s="739">
        <v>46386</v>
      </c>
      <c r="R44" s="59" t="s">
        <v>93</v>
      </c>
      <c r="S44" s="53">
        <f>+(S45*T44)</f>
        <v>2.0408163265306121E-2</v>
      </c>
      <c r="T44" s="65">
        <f t="shared" si="0"/>
        <v>1</v>
      </c>
      <c r="U44" s="45"/>
      <c r="V44" s="45"/>
      <c r="W44" s="45"/>
      <c r="X44" s="45"/>
      <c r="Y44" s="45"/>
      <c r="Z44" s="45"/>
      <c r="AA44" s="45"/>
      <c r="AB44" s="45"/>
      <c r="AC44" s="45"/>
      <c r="AD44" s="45"/>
      <c r="AE44" s="45"/>
      <c r="AF44" s="45"/>
      <c r="AG44" s="45">
        <v>1</v>
      </c>
      <c r="AH44" s="741"/>
      <c r="AI44" s="737"/>
      <c r="AJ44" s="746"/>
      <c r="AK44" s="746" t="s">
        <v>1313</v>
      </c>
    </row>
    <row r="45" spans="1:37" ht="57.65" customHeight="1" thickBot="1" x14ac:dyDescent="0.4">
      <c r="A45" s="427"/>
      <c r="B45" s="445"/>
      <c r="C45" s="427"/>
      <c r="D45" s="445"/>
      <c r="E45" s="445"/>
      <c r="F45" s="446"/>
      <c r="G45" s="754"/>
      <c r="H45" s="754"/>
      <c r="I45" s="734" t="s">
        <v>1289</v>
      </c>
      <c r="J45" s="736"/>
      <c r="K45" s="736"/>
      <c r="L45" s="427"/>
      <c r="M45" s="736"/>
      <c r="N45" s="736"/>
      <c r="O45" s="736"/>
      <c r="P45" s="740"/>
      <c r="Q45" s="740"/>
      <c r="R45" s="59" t="s">
        <v>98</v>
      </c>
      <c r="S45" s="52">
        <f>100%/49</f>
        <v>2.0408163265306121E-2</v>
      </c>
      <c r="T45" s="65">
        <f t="shared" si="0"/>
        <v>1</v>
      </c>
      <c r="U45" s="42"/>
      <c r="V45" s="42"/>
      <c r="W45" s="42"/>
      <c r="X45" s="42"/>
      <c r="Y45" s="42"/>
      <c r="Z45" s="42"/>
      <c r="AA45" s="42"/>
      <c r="AB45" s="42"/>
      <c r="AC45" s="42"/>
      <c r="AD45" s="42"/>
      <c r="AE45" s="42"/>
      <c r="AF45" s="42"/>
      <c r="AG45" s="42">
        <v>1</v>
      </c>
      <c r="AH45" s="742"/>
      <c r="AI45" s="738"/>
      <c r="AJ45" s="747"/>
      <c r="AK45" s="747"/>
    </row>
    <row r="46" spans="1:37" ht="57.65" customHeight="1" thickBot="1" x14ac:dyDescent="0.4">
      <c r="A46" s="426">
        <v>17</v>
      </c>
      <c r="B46" s="445" t="s">
        <v>99</v>
      </c>
      <c r="C46" s="426" t="s">
        <v>142</v>
      </c>
      <c r="D46" s="445" t="s">
        <v>130</v>
      </c>
      <c r="E46" s="445" t="s">
        <v>131</v>
      </c>
      <c r="F46" s="446" t="s">
        <v>1118</v>
      </c>
      <c r="G46" s="754"/>
      <c r="H46" s="754"/>
      <c r="I46" s="733" t="s">
        <v>1289</v>
      </c>
      <c r="J46" s="735" t="s">
        <v>1314</v>
      </c>
      <c r="K46" s="735" t="s">
        <v>1315</v>
      </c>
      <c r="L46" s="426" t="s">
        <v>132</v>
      </c>
      <c r="M46" s="735" t="s">
        <v>286</v>
      </c>
      <c r="N46" s="735" t="s">
        <v>1262</v>
      </c>
      <c r="O46" s="735" t="s">
        <v>286</v>
      </c>
      <c r="P46" s="739">
        <v>46235</v>
      </c>
      <c r="Q46" s="739">
        <v>46386</v>
      </c>
      <c r="R46" s="59" t="s">
        <v>93</v>
      </c>
      <c r="S46" s="53">
        <f>+(S47*T46)</f>
        <v>2.0408163265306121E-2</v>
      </c>
      <c r="T46" s="65">
        <f t="shared" ref="T46:T75" si="1">SUM(U46:AG46)</f>
        <v>1</v>
      </c>
      <c r="U46" s="45"/>
      <c r="V46" s="45"/>
      <c r="W46" s="45"/>
      <c r="X46" s="45"/>
      <c r="Y46" s="45"/>
      <c r="Z46" s="45"/>
      <c r="AA46" s="45"/>
      <c r="AB46" s="45"/>
      <c r="AC46" s="45"/>
      <c r="AD46" s="45"/>
      <c r="AE46" s="45"/>
      <c r="AF46" s="45"/>
      <c r="AG46" s="45">
        <v>1</v>
      </c>
      <c r="AH46" s="741"/>
      <c r="AI46" s="737"/>
      <c r="AJ46" s="746"/>
      <c r="AK46" s="746" t="s">
        <v>1316</v>
      </c>
    </row>
    <row r="47" spans="1:37" ht="57.65" customHeight="1" thickBot="1" x14ac:dyDescent="0.4">
      <c r="A47" s="427"/>
      <c r="B47" s="445"/>
      <c r="C47" s="427"/>
      <c r="D47" s="445"/>
      <c r="E47" s="445"/>
      <c r="F47" s="446"/>
      <c r="G47" s="754"/>
      <c r="H47" s="754"/>
      <c r="I47" s="734" t="s">
        <v>1289</v>
      </c>
      <c r="J47" s="736"/>
      <c r="K47" s="736"/>
      <c r="L47" s="427"/>
      <c r="M47" s="736"/>
      <c r="N47" s="736"/>
      <c r="O47" s="736"/>
      <c r="P47" s="740"/>
      <c r="Q47" s="740"/>
      <c r="R47" s="59" t="s">
        <v>98</v>
      </c>
      <c r="S47" s="52">
        <f>100%/49</f>
        <v>2.0408163265306121E-2</v>
      </c>
      <c r="T47" s="65">
        <f t="shared" si="1"/>
        <v>1</v>
      </c>
      <c r="U47" s="42"/>
      <c r="V47" s="42"/>
      <c r="W47" s="42"/>
      <c r="X47" s="42"/>
      <c r="Y47" s="42"/>
      <c r="Z47" s="42"/>
      <c r="AA47" s="42"/>
      <c r="AB47" s="42"/>
      <c r="AC47" s="42"/>
      <c r="AD47" s="42"/>
      <c r="AE47" s="42"/>
      <c r="AF47" s="42"/>
      <c r="AG47" s="42">
        <v>1</v>
      </c>
      <c r="AH47" s="742"/>
      <c r="AI47" s="738"/>
      <c r="AJ47" s="747"/>
      <c r="AK47" s="747"/>
    </row>
    <row r="48" spans="1:37" ht="57.65" customHeight="1" thickBot="1" x14ac:dyDescent="0.4">
      <c r="A48" s="426">
        <v>18</v>
      </c>
      <c r="B48" s="445" t="s">
        <v>99</v>
      </c>
      <c r="C48" s="426" t="s">
        <v>142</v>
      </c>
      <c r="D48" s="445" t="s">
        <v>130</v>
      </c>
      <c r="E48" s="445" t="s">
        <v>131</v>
      </c>
      <c r="F48" s="446" t="s">
        <v>1118</v>
      </c>
      <c r="G48" s="754"/>
      <c r="H48" s="754"/>
      <c r="I48" s="733" t="s">
        <v>1289</v>
      </c>
      <c r="J48" s="735" t="s">
        <v>1314</v>
      </c>
      <c r="K48" s="735" t="s">
        <v>1317</v>
      </c>
      <c r="L48" s="426" t="s">
        <v>132</v>
      </c>
      <c r="M48" s="735" t="s">
        <v>1318</v>
      </c>
      <c r="N48" s="735" t="s">
        <v>1262</v>
      </c>
      <c r="O48" s="735" t="s">
        <v>1318</v>
      </c>
      <c r="P48" s="739">
        <v>46054</v>
      </c>
      <c r="Q48" s="739">
        <v>46387</v>
      </c>
      <c r="R48" s="59" t="s">
        <v>93</v>
      </c>
      <c r="S48" s="53">
        <f>+(S49*T48)</f>
        <v>2.0408163265306121E-2</v>
      </c>
      <c r="T48" s="65">
        <f t="shared" si="1"/>
        <v>1</v>
      </c>
      <c r="U48" s="45"/>
      <c r="V48" s="45"/>
      <c r="W48" s="45"/>
      <c r="X48" s="45"/>
      <c r="Y48" s="45"/>
      <c r="Z48" s="45"/>
      <c r="AA48" s="45">
        <v>0.5</v>
      </c>
      <c r="AB48" s="45"/>
      <c r="AC48" s="45"/>
      <c r="AD48" s="45"/>
      <c r="AE48" s="45"/>
      <c r="AF48" s="45"/>
      <c r="AG48" s="45">
        <v>0.5</v>
      </c>
      <c r="AH48" s="741"/>
      <c r="AI48" s="737" t="s">
        <v>1319</v>
      </c>
      <c r="AJ48" s="746"/>
      <c r="AK48" s="746" t="s">
        <v>1320</v>
      </c>
    </row>
    <row r="49" spans="1:37" ht="57.65" customHeight="1" thickBot="1" x14ac:dyDescent="0.4">
      <c r="A49" s="427"/>
      <c r="B49" s="445"/>
      <c r="C49" s="427"/>
      <c r="D49" s="445"/>
      <c r="E49" s="445"/>
      <c r="F49" s="446"/>
      <c r="G49" s="754"/>
      <c r="H49" s="754"/>
      <c r="I49" s="734" t="s">
        <v>1289</v>
      </c>
      <c r="J49" s="736"/>
      <c r="K49" s="736"/>
      <c r="L49" s="427"/>
      <c r="M49" s="736"/>
      <c r="N49" s="736"/>
      <c r="O49" s="736"/>
      <c r="P49" s="740"/>
      <c r="Q49" s="740"/>
      <c r="R49" s="59" t="s">
        <v>98</v>
      </c>
      <c r="S49" s="52">
        <f>100%/49</f>
        <v>2.0408163265306121E-2</v>
      </c>
      <c r="T49" s="65">
        <f t="shared" si="1"/>
        <v>1</v>
      </c>
      <c r="U49" s="42"/>
      <c r="V49" s="42"/>
      <c r="W49" s="42"/>
      <c r="X49" s="42"/>
      <c r="Y49" s="42"/>
      <c r="Z49" s="42"/>
      <c r="AA49" s="42">
        <v>0.5</v>
      </c>
      <c r="AB49" s="42"/>
      <c r="AC49" s="42"/>
      <c r="AD49" s="42"/>
      <c r="AE49" s="42"/>
      <c r="AF49" s="42"/>
      <c r="AG49" s="42">
        <v>0.5</v>
      </c>
      <c r="AH49" s="742"/>
      <c r="AI49" s="738"/>
      <c r="AJ49" s="747"/>
      <c r="AK49" s="747"/>
    </row>
    <row r="50" spans="1:37" ht="57.65" customHeight="1" thickBot="1" x14ac:dyDescent="0.4">
      <c r="A50" s="426">
        <v>19</v>
      </c>
      <c r="B50" s="445" t="s">
        <v>99</v>
      </c>
      <c r="C50" s="426" t="s">
        <v>142</v>
      </c>
      <c r="D50" s="445" t="s">
        <v>130</v>
      </c>
      <c r="E50" s="445" t="s">
        <v>131</v>
      </c>
      <c r="F50" s="446" t="s">
        <v>1118</v>
      </c>
      <c r="G50" s="754"/>
      <c r="H50" s="754"/>
      <c r="I50" s="733" t="s">
        <v>1289</v>
      </c>
      <c r="J50" s="735" t="s">
        <v>1321</v>
      </c>
      <c r="K50" s="735" t="s">
        <v>1322</v>
      </c>
      <c r="L50" s="426" t="s">
        <v>132</v>
      </c>
      <c r="M50" s="735" t="s">
        <v>179</v>
      </c>
      <c r="N50" s="735" t="s">
        <v>1262</v>
      </c>
      <c r="O50" s="735" t="s">
        <v>179</v>
      </c>
      <c r="P50" s="739">
        <v>46204</v>
      </c>
      <c r="Q50" s="739">
        <v>46387</v>
      </c>
      <c r="R50" s="59" t="s">
        <v>93</v>
      </c>
      <c r="S50" s="53">
        <f>+(S51*T50)</f>
        <v>2.0408163265306121E-2</v>
      </c>
      <c r="T50" s="65">
        <f t="shared" si="1"/>
        <v>1</v>
      </c>
      <c r="U50" s="45"/>
      <c r="V50" s="45"/>
      <c r="W50" s="45"/>
      <c r="X50" s="45"/>
      <c r="Y50" s="45"/>
      <c r="Z50" s="45"/>
      <c r="AA50" s="45"/>
      <c r="AB50" s="45"/>
      <c r="AC50" s="45"/>
      <c r="AD50" s="45"/>
      <c r="AE50" s="45"/>
      <c r="AF50" s="45"/>
      <c r="AG50" s="45">
        <v>1</v>
      </c>
      <c r="AH50" s="741"/>
      <c r="AI50" s="737"/>
      <c r="AJ50" s="746"/>
      <c r="AK50" s="746" t="s">
        <v>1323</v>
      </c>
    </row>
    <row r="51" spans="1:37" ht="57.65" customHeight="1" thickBot="1" x14ac:dyDescent="0.4">
      <c r="A51" s="427"/>
      <c r="B51" s="445"/>
      <c r="C51" s="427"/>
      <c r="D51" s="445"/>
      <c r="E51" s="445"/>
      <c r="F51" s="446"/>
      <c r="G51" s="755"/>
      <c r="H51" s="755"/>
      <c r="I51" s="734" t="s">
        <v>1289</v>
      </c>
      <c r="J51" s="736"/>
      <c r="K51" s="736"/>
      <c r="L51" s="427"/>
      <c r="M51" s="736"/>
      <c r="N51" s="736"/>
      <c r="O51" s="736"/>
      <c r="P51" s="740"/>
      <c r="Q51" s="740"/>
      <c r="R51" s="59" t="s">
        <v>98</v>
      </c>
      <c r="S51" s="52">
        <f>100%/49</f>
        <v>2.0408163265306121E-2</v>
      </c>
      <c r="T51" s="65">
        <f t="shared" si="1"/>
        <v>1</v>
      </c>
      <c r="U51" s="42"/>
      <c r="V51" s="42"/>
      <c r="W51" s="42"/>
      <c r="X51" s="42"/>
      <c r="Y51" s="42"/>
      <c r="Z51" s="42"/>
      <c r="AA51" s="42"/>
      <c r="AB51" s="42"/>
      <c r="AC51" s="42"/>
      <c r="AD51" s="42"/>
      <c r="AE51" s="42"/>
      <c r="AF51" s="42"/>
      <c r="AG51" s="42">
        <v>1</v>
      </c>
      <c r="AH51" s="742"/>
      <c r="AI51" s="738"/>
      <c r="AJ51" s="747"/>
      <c r="AK51" s="747"/>
    </row>
    <row r="52" spans="1:37" ht="57.65" customHeight="1" thickBot="1" x14ac:dyDescent="0.4">
      <c r="A52" s="426">
        <v>20</v>
      </c>
      <c r="B52" s="445" t="s">
        <v>99</v>
      </c>
      <c r="C52" s="426" t="s">
        <v>142</v>
      </c>
      <c r="D52" s="445" t="s">
        <v>130</v>
      </c>
      <c r="E52" s="445" t="s">
        <v>131</v>
      </c>
      <c r="F52" s="446" t="s">
        <v>1118</v>
      </c>
      <c r="G52" s="445" t="s">
        <v>1324</v>
      </c>
      <c r="H52" s="750" t="s">
        <v>1288</v>
      </c>
      <c r="I52" s="758" t="s">
        <v>1325</v>
      </c>
      <c r="J52" s="760" t="s">
        <v>1326</v>
      </c>
      <c r="K52" s="756" t="s">
        <v>1327</v>
      </c>
      <c r="L52" s="767" t="s">
        <v>132</v>
      </c>
      <c r="M52" s="756" t="s">
        <v>286</v>
      </c>
      <c r="N52" s="756" t="s">
        <v>1262</v>
      </c>
      <c r="O52" s="756" t="s">
        <v>286</v>
      </c>
      <c r="P52" s="579">
        <v>46067</v>
      </c>
      <c r="Q52" s="579">
        <v>46108</v>
      </c>
      <c r="R52" s="59" t="s">
        <v>93</v>
      </c>
      <c r="S52" s="53">
        <f>+(S53*T52)</f>
        <v>2.0408163265306121E-2</v>
      </c>
      <c r="T52" s="65">
        <f t="shared" si="1"/>
        <v>1</v>
      </c>
      <c r="U52" s="45"/>
      <c r="V52" s="45"/>
      <c r="W52" s="45"/>
      <c r="X52" s="45"/>
      <c r="Y52" s="45"/>
      <c r="Z52" s="45"/>
      <c r="AA52" s="45"/>
      <c r="AB52" s="45"/>
      <c r="AC52" s="45"/>
      <c r="AD52" s="45"/>
      <c r="AE52" s="45"/>
      <c r="AF52" s="45"/>
      <c r="AG52" s="45">
        <v>1</v>
      </c>
      <c r="AH52" s="741"/>
      <c r="AI52" s="737"/>
      <c r="AJ52" s="746"/>
      <c r="AK52" s="746" t="s">
        <v>1328</v>
      </c>
    </row>
    <row r="53" spans="1:37" ht="57.65" customHeight="1" thickBot="1" x14ac:dyDescent="0.4">
      <c r="A53" s="427"/>
      <c r="B53" s="445"/>
      <c r="C53" s="427"/>
      <c r="D53" s="445"/>
      <c r="E53" s="445"/>
      <c r="F53" s="446"/>
      <c r="G53" s="445"/>
      <c r="H53" s="750"/>
      <c r="I53" s="759" t="s">
        <v>1325</v>
      </c>
      <c r="J53" s="761"/>
      <c r="K53" s="757"/>
      <c r="L53" s="768"/>
      <c r="M53" s="757"/>
      <c r="N53" s="757"/>
      <c r="O53" s="757"/>
      <c r="P53" s="770"/>
      <c r="Q53" s="770"/>
      <c r="R53" s="59" t="s">
        <v>98</v>
      </c>
      <c r="S53" s="52">
        <f>100%/49</f>
        <v>2.0408163265306121E-2</v>
      </c>
      <c r="T53" s="65">
        <f t="shared" si="1"/>
        <v>1</v>
      </c>
      <c r="U53" s="42"/>
      <c r="V53" s="42"/>
      <c r="W53" s="42"/>
      <c r="X53" s="42"/>
      <c r="Y53" s="42"/>
      <c r="Z53" s="42"/>
      <c r="AA53" s="42"/>
      <c r="AB53" s="42"/>
      <c r="AC53" s="42"/>
      <c r="AD53" s="42"/>
      <c r="AE53" s="42"/>
      <c r="AF53" s="42"/>
      <c r="AG53" s="42">
        <v>1</v>
      </c>
      <c r="AH53" s="742"/>
      <c r="AI53" s="738"/>
      <c r="AJ53" s="747"/>
      <c r="AK53" s="747"/>
    </row>
    <row r="54" spans="1:37" ht="57.65" customHeight="1" thickBot="1" x14ac:dyDescent="0.4">
      <c r="A54" s="426">
        <v>21</v>
      </c>
      <c r="B54" s="445" t="s">
        <v>99</v>
      </c>
      <c r="C54" s="426" t="s">
        <v>142</v>
      </c>
      <c r="D54" s="445" t="s">
        <v>130</v>
      </c>
      <c r="E54" s="445" t="s">
        <v>131</v>
      </c>
      <c r="F54" s="446" t="s">
        <v>1118</v>
      </c>
      <c r="G54" s="445"/>
      <c r="H54" s="764"/>
      <c r="I54" s="758" t="s">
        <v>1325</v>
      </c>
      <c r="J54" s="771" t="s">
        <v>1329</v>
      </c>
      <c r="K54" s="765" t="s">
        <v>1330</v>
      </c>
      <c r="L54" s="767" t="s">
        <v>132</v>
      </c>
      <c r="M54" s="771" t="s">
        <v>92</v>
      </c>
      <c r="N54" s="756" t="s">
        <v>1262</v>
      </c>
      <c r="O54" s="762" t="s">
        <v>92</v>
      </c>
      <c r="P54" s="773">
        <v>46113</v>
      </c>
      <c r="Q54" s="773">
        <v>46356</v>
      </c>
      <c r="R54" s="59" t="s">
        <v>93</v>
      </c>
      <c r="S54" s="53">
        <f>+(S55*T54)</f>
        <v>2.0408163265306121E-2</v>
      </c>
      <c r="T54" s="65">
        <f t="shared" si="1"/>
        <v>1</v>
      </c>
      <c r="U54" s="45"/>
      <c r="V54" s="45"/>
      <c r="W54" s="45"/>
      <c r="X54" s="45"/>
      <c r="Y54" s="45"/>
      <c r="Z54" s="45"/>
      <c r="AA54" s="45">
        <v>0.5</v>
      </c>
      <c r="AB54" s="45"/>
      <c r="AC54" s="45"/>
      <c r="AD54" s="45"/>
      <c r="AE54" s="45"/>
      <c r="AF54" s="45"/>
      <c r="AG54" s="45">
        <v>0.5</v>
      </c>
      <c r="AH54" s="741"/>
      <c r="AI54" s="737" t="s">
        <v>1331</v>
      </c>
      <c r="AJ54" s="746"/>
      <c r="AK54" s="746" t="s">
        <v>1332</v>
      </c>
    </row>
    <row r="55" spans="1:37" ht="57.65" customHeight="1" thickBot="1" x14ac:dyDescent="0.4">
      <c r="A55" s="427"/>
      <c r="B55" s="445"/>
      <c r="C55" s="427"/>
      <c r="D55" s="445"/>
      <c r="E55" s="445"/>
      <c r="F55" s="446"/>
      <c r="G55" s="445"/>
      <c r="H55" s="764"/>
      <c r="I55" s="759" t="s">
        <v>1325</v>
      </c>
      <c r="J55" s="772"/>
      <c r="K55" s="766"/>
      <c r="L55" s="768"/>
      <c r="M55" s="772"/>
      <c r="N55" s="757"/>
      <c r="O55" s="763"/>
      <c r="P55" s="774"/>
      <c r="Q55" s="774"/>
      <c r="R55" s="59" t="s">
        <v>98</v>
      </c>
      <c r="S55" s="52">
        <f>100%/49</f>
        <v>2.0408163265306121E-2</v>
      </c>
      <c r="T55" s="65">
        <f t="shared" si="1"/>
        <v>1</v>
      </c>
      <c r="U55" s="42"/>
      <c r="V55" s="42"/>
      <c r="W55" s="42"/>
      <c r="X55" s="42"/>
      <c r="Y55" s="42"/>
      <c r="Z55" s="42"/>
      <c r="AA55" s="42">
        <v>0.5</v>
      </c>
      <c r="AB55" s="42"/>
      <c r="AC55" s="42"/>
      <c r="AD55" s="42"/>
      <c r="AE55" s="42"/>
      <c r="AF55" s="42"/>
      <c r="AG55" s="42">
        <v>0.5</v>
      </c>
      <c r="AH55" s="742"/>
      <c r="AI55" s="738"/>
      <c r="AJ55" s="747"/>
      <c r="AK55" s="747"/>
    </row>
    <row r="56" spans="1:37" ht="57.65" customHeight="1" thickBot="1" x14ac:dyDescent="0.4">
      <c r="A56" s="426">
        <v>22</v>
      </c>
      <c r="B56" s="445" t="s">
        <v>99</v>
      </c>
      <c r="C56" s="426" t="s">
        <v>142</v>
      </c>
      <c r="D56" s="445" t="s">
        <v>130</v>
      </c>
      <c r="E56" s="445" t="s">
        <v>131</v>
      </c>
      <c r="F56" s="446" t="s">
        <v>1118</v>
      </c>
      <c r="G56" s="445"/>
      <c r="H56" s="764"/>
      <c r="I56" s="769" t="s">
        <v>1325</v>
      </c>
      <c r="J56" s="771" t="s">
        <v>1333</v>
      </c>
      <c r="K56" s="765" t="s">
        <v>1334</v>
      </c>
      <c r="L56" s="767" t="s">
        <v>132</v>
      </c>
      <c r="M56" s="771" t="s">
        <v>92</v>
      </c>
      <c r="N56" s="756" t="s">
        <v>1262</v>
      </c>
      <c r="O56" s="762" t="s">
        <v>92</v>
      </c>
      <c r="P56" s="773">
        <v>46113</v>
      </c>
      <c r="Q56" s="773">
        <v>46356</v>
      </c>
      <c r="R56" s="59" t="s">
        <v>93</v>
      </c>
      <c r="S56" s="53">
        <f>+(S57*T56)</f>
        <v>2.0408163265306121E-2</v>
      </c>
      <c r="T56" s="65">
        <f t="shared" si="1"/>
        <v>1</v>
      </c>
      <c r="U56" s="45"/>
      <c r="V56" s="45"/>
      <c r="W56" s="45"/>
      <c r="X56" s="45"/>
      <c r="Y56" s="45"/>
      <c r="Z56" s="45"/>
      <c r="AA56" s="45"/>
      <c r="AB56" s="45"/>
      <c r="AC56" s="45"/>
      <c r="AD56" s="45"/>
      <c r="AE56" s="45"/>
      <c r="AF56" s="45"/>
      <c r="AG56" s="45">
        <v>1</v>
      </c>
      <c r="AH56" s="741"/>
      <c r="AI56" s="737"/>
      <c r="AJ56" s="746"/>
      <c r="AK56" s="746" t="s">
        <v>1335</v>
      </c>
    </row>
    <row r="57" spans="1:37" ht="57.65" customHeight="1" thickBot="1" x14ac:dyDescent="0.4">
      <c r="A57" s="427"/>
      <c r="B57" s="445"/>
      <c r="C57" s="427"/>
      <c r="D57" s="445"/>
      <c r="E57" s="445"/>
      <c r="F57" s="446"/>
      <c r="G57" s="445"/>
      <c r="H57" s="764"/>
      <c r="I57" s="769"/>
      <c r="J57" s="772"/>
      <c r="K57" s="766"/>
      <c r="L57" s="768"/>
      <c r="M57" s="772"/>
      <c r="N57" s="757"/>
      <c r="O57" s="763"/>
      <c r="P57" s="774"/>
      <c r="Q57" s="774"/>
      <c r="R57" s="59" t="s">
        <v>98</v>
      </c>
      <c r="S57" s="52">
        <f>100%/49</f>
        <v>2.0408163265306121E-2</v>
      </c>
      <c r="T57" s="65">
        <f t="shared" si="1"/>
        <v>1</v>
      </c>
      <c r="U57" s="42"/>
      <c r="V57" s="42"/>
      <c r="W57" s="42"/>
      <c r="X57" s="42"/>
      <c r="Y57" s="42"/>
      <c r="Z57" s="42"/>
      <c r="AA57" s="42"/>
      <c r="AB57" s="42"/>
      <c r="AC57" s="42"/>
      <c r="AD57" s="42"/>
      <c r="AE57" s="42"/>
      <c r="AF57" s="42"/>
      <c r="AG57" s="42">
        <v>1</v>
      </c>
      <c r="AH57" s="742"/>
      <c r="AI57" s="738"/>
      <c r="AJ57" s="747"/>
      <c r="AK57" s="747"/>
    </row>
    <row r="58" spans="1:37" ht="57.65" customHeight="1" thickBot="1" x14ac:dyDescent="0.4">
      <c r="A58" s="426">
        <v>23</v>
      </c>
      <c r="B58" s="445" t="s">
        <v>99</v>
      </c>
      <c r="C58" s="426" t="s">
        <v>142</v>
      </c>
      <c r="D58" s="445" t="s">
        <v>130</v>
      </c>
      <c r="E58" s="445" t="s">
        <v>131</v>
      </c>
      <c r="F58" s="446" t="s">
        <v>1118</v>
      </c>
      <c r="G58" s="445"/>
      <c r="H58" s="764"/>
      <c r="I58" s="769"/>
      <c r="J58" s="771" t="s">
        <v>1336</v>
      </c>
      <c r="K58" s="765" t="s">
        <v>1337</v>
      </c>
      <c r="L58" s="767" t="s">
        <v>132</v>
      </c>
      <c r="M58" s="771" t="s">
        <v>92</v>
      </c>
      <c r="N58" s="756" t="s">
        <v>1262</v>
      </c>
      <c r="O58" s="762" t="s">
        <v>1338</v>
      </c>
      <c r="P58" s="773">
        <v>46113</v>
      </c>
      <c r="Q58" s="773">
        <v>46356</v>
      </c>
      <c r="R58" s="59" t="s">
        <v>93</v>
      </c>
      <c r="S58" s="53">
        <f>+(S59*T58)</f>
        <v>1.9999999999999997E-2</v>
      </c>
      <c r="T58" s="65">
        <f t="shared" si="1"/>
        <v>0.97999999999999987</v>
      </c>
      <c r="U58" s="45"/>
      <c r="V58" s="42">
        <v>8.3333333333333343E-2</v>
      </c>
      <c r="W58" s="42">
        <v>8.3333333333333343E-2</v>
      </c>
      <c r="X58" s="42">
        <v>8.3333333333333343E-2</v>
      </c>
      <c r="Y58" s="42">
        <v>8.3333333333333343E-2</v>
      </c>
      <c r="Z58" s="42">
        <v>8.3333333333333343E-2</v>
      </c>
      <c r="AA58" s="42">
        <v>8.3333333333333343E-2</v>
      </c>
      <c r="AB58" s="45">
        <v>0.08</v>
      </c>
      <c r="AC58" s="45">
        <v>0.08</v>
      </c>
      <c r="AD58" s="45">
        <v>0.08</v>
      </c>
      <c r="AE58" s="45">
        <v>0.08</v>
      </c>
      <c r="AF58" s="45">
        <v>0.08</v>
      </c>
      <c r="AG58" s="45">
        <v>0.08</v>
      </c>
      <c r="AH58" s="741" t="s">
        <v>1339</v>
      </c>
      <c r="AI58" s="741" t="s">
        <v>1340</v>
      </c>
      <c r="AJ58" s="741" t="s">
        <v>1340</v>
      </c>
      <c r="AK58" s="746" t="s">
        <v>1341</v>
      </c>
    </row>
    <row r="59" spans="1:37" ht="57.65" customHeight="1" thickBot="1" x14ac:dyDescent="0.4">
      <c r="A59" s="427"/>
      <c r="B59" s="445"/>
      <c r="C59" s="427"/>
      <c r="D59" s="445"/>
      <c r="E59" s="445"/>
      <c r="F59" s="446"/>
      <c r="G59" s="445"/>
      <c r="H59" s="764"/>
      <c r="I59" s="769" t="s">
        <v>1325</v>
      </c>
      <c r="J59" s="772"/>
      <c r="K59" s="766"/>
      <c r="L59" s="768"/>
      <c r="M59" s="772"/>
      <c r="N59" s="757"/>
      <c r="O59" s="763"/>
      <c r="P59" s="774"/>
      <c r="Q59" s="774"/>
      <c r="R59" s="59" t="s">
        <v>98</v>
      </c>
      <c r="S59" s="52">
        <f>100%/49</f>
        <v>2.0408163265306121E-2</v>
      </c>
      <c r="T59" s="65">
        <f t="shared" si="1"/>
        <v>1.0000000000000002</v>
      </c>
      <c r="U59" s="42"/>
      <c r="V59" s="42">
        <v>8.3333333333333301E-2</v>
      </c>
      <c r="W59" s="42">
        <v>8.3333333333333343E-2</v>
      </c>
      <c r="X59" s="42">
        <v>8.3333333333333343E-2</v>
      </c>
      <c r="Y59" s="42">
        <v>8.3333333333333343E-2</v>
      </c>
      <c r="Z59" s="42">
        <v>8.3333333333333343E-2</v>
      </c>
      <c r="AA59" s="42">
        <v>8.3333333333333343E-2</v>
      </c>
      <c r="AB59" s="42">
        <v>8.3333333333333343E-2</v>
      </c>
      <c r="AC59" s="42">
        <v>8.3333333333333343E-2</v>
      </c>
      <c r="AD59" s="42">
        <v>8.3333333333333343E-2</v>
      </c>
      <c r="AE59" s="42">
        <v>8.3333333333333343E-2</v>
      </c>
      <c r="AF59" s="42">
        <v>8.3333333333333343E-2</v>
      </c>
      <c r="AG59" s="42">
        <v>8.3333333333333343E-2</v>
      </c>
      <c r="AH59" s="742"/>
      <c r="AI59" s="742"/>
      <c r="AJ59" s="742"/>
      <c r="AK59" s="747"/>
    </row>
    <row r="60" spans="1:37" ht="57.65" customHeight="1" thickBot="1" x14ac:dyDescent="0.4">
      <c r="A60" s="426">
        <v>24</v>
      </c>
      <c r="B60" s="445" t="s">
        <v>99</v>
      </c>
      <c r="C60" s="426" t="s">
        <v>142</v>
      </c>
      <c r="D60" s="445" t="s">
        <v>130</v>
      </c>
      <c r="E60" s="445" t="s">
        <v>131</v>
      </c>
      <c r="F60" s="446" t="s">
        <v>1118</v>
      </c>
      <c r="G60" s="445"/>
      <c r="H60" s="750"/>
      <c r="I60" s="344" t="s">
        <v>1325</v>
      </c>
      <c r="J60" s="228" t="s">
        <v>1342</v>
      </c>
      <c r="K60" s="228" t="s">
        <v>1343</v>
      </c>
      <c r="L60" s="152" t="s">
        <v>132</v>
      </c>
      <c r="M60" s="228" t="s">
        <v>286</v>
      </c>
      <c r="N60" s="345" t="s">
        <v>1262</v>
      </c>
      <c r="O60" s="346" t="s">
        <v>286</v>
      </c>
      <c r="P60" s="347">
        <v>46054</v>
      </c>
      <c r="Q60" s="347">
        <v>46142</v>
      </c>
      <c r="R60" s="59" t="s">
        <v>93</v>
      </c>
      <c r="S60" s="53">
        <f>+(S61*T60)</f>
        <v>2.0408163265306121E-2</v>
      </c>
      <c r="T60" s="65">
        <f t="shared" si="1"/>
        <v>1</v>
      </c>
      <c r="U60" s="45"/>
      <c r="V60" s="45"/>
      <c r="X60" s="45">
        <v>0.25</v>
      </c>
      <c r="Y60" s="45"/>
      <c r="Z60" s="45"/>
      <c r="AA60" s="45">
        <v>0.25</v>
      </c>
      <c r="AB60" s="45"/>
      <c r="AC60" s="45"/>
      <c r="AD60" s="45">
        <v>0.25</v>
      </c>
      <c r="AE60" s="45"/>
      <c r="AF60" s="45"/>
      <c r="AG60" s="45">
        <v>0.25</v>
      </c>
      <c r="AH60" s="741" t="s">
        <v>1344</v>
      </c>
      <c r="AI60" s="741" t="s">
        <v>1345</v>
      </c>
      <c r="AJ60" s="741" t="s">
        <v>1346</v>
      </c>
      <c r="AK60" s="746" t="s">
        <v>1347</v>
      </c>
    </row>
    <row r="61" spans="1:37" ht="57.65" customHeight="1" thickBot="1" x14ac:dyDescent="0.4">
      <c r="A61" s="427"/>
      <c r="B61" s="445"/>
      <c r="C61" s="427"/>
      <c r="D61" s="445"/>
      <c r="E61" s="445"/>
      <c r="F61" s="446"/>
      <c r="G61" s="445"/>
      <c r="H61" s="750"/>
      <c r="I61" s="733" t="s">
        <v>1325</v>
      </c>
      <c r="J61" s="735" t="s">
        <v>1342</v>
      </c>
      <c r="K61" s="748" t="s">
        <v>1348</v>
      </c>
      <c r="L61" s="426" t="s">
        <v>132</v>
      </c>
      <c r="M61" s="735" t="s">
        <v>286</v>
      </c>
      <c r="N61" s="775" t="s">
        <v>1262</v>
      </c>
      <c r="O61" s="735" t="s">
        <v>286</v>
      </c>
      <c r="P61" s="751">
        <v>46174</v>
      </c>
      <c r="Q61" s="751">
        <v>46233</v>
      </c>
      <c r="R61" s="59" t="s">
        <v>98</v>
      </c>
      <c r="S61" s="52">
        <f>100%/49</f>
        <v>2.0408163265306121E-2</v>
      </c>
      <c r="T61" s="65">
        <f t="shared" si="1"/>
        <v>1</v>
      </c>
      <c r="U61" s="42"/>
      <c r="V61" s="42"/>
      <c r="W61" s="42"/>
      <c r="X61" s="42">
        <v>0.25</v>
      </c>
      <c r="Y61" s="42"/>
      <c r="Z61" s="42"/>
      <c r="AA61" s="42">
        <v>0.25</v>
      </c>
      <c r="AB61" s="42"/>
      <c r="AC61" s="42"/>
      <c r="AD61" s="42">
        <v>0.25</v>
      </c>
      <c r="AE61" s="42"/>
      <c r="AF61" s="42"/>
      <c r="AG61" s="42">
        <v>0.25</v>
      </c>
      <c r="AH61" s="742"/>
      <c r="AI61" s="742"/>
      <c r="AJ61" s="742"/>
      <c r="AK61" s="747"/>
    </row>
    <row r="62" spans="1:37" ht="57.65" customHeight="1" thickBot="1" x14ac:dyDescent="0.4">
      <c r="A62" s="426">
        <v>25</v>
      </c>
      <c r="B62" s="445" t="s">
        <v>99</v>
      </c>
      <c r="C62" s="426" t="s">
        <v>142</v>
      </c>
      <c r="D62" s="445" t="s">
        <v>130</v>
      </c>
      <c r="E62" s="445" t="s">
        <v>131</v>
      </c>
      <c r="F62" s="446" t="s">
        <v>1118</v>
      </c>
      <c r="G62" s="445"/>
      <c r="H62" s="750"/>
      <c r="I62" s="734" t="s">
        <v>1325</v>
      </c>
      <c r="J62" s="736"/>
      <c r="K62" s="749"/>
      <c r="L62" s="427"/>
      <c r="M62" s="736"/>
      <c r="N62" s="736"/>
      <c r="O62" s="736"/>
      <c r="P62" s="752"/>
      <c r="Q62" s="752"/>
      <c r="R62" s="59" t="s">
        <v>93</v>
      </c>
      <c r="S62" s="53">
        <f>+(S63*T62)</f>
        <v>2.0408163265306121E-2</v>
      </c>
      <c r="T62" s="65">
        <f t="shared" si="1"/>
        <v>1</v>
      </c>
      <c r="U62" s="45"/>
      <c r="V62" s="45"/>
      <c r="X62" s="45">
        <v>0.25</v>
      </c>
      <c r="Y62" s="45"/>
      <c r="Z62" s="45"/>
      <c r="AA62" s="45">
        <v>0.25</v>
      </c>
      <c r="AB62" s="45"/>
      <c r="AC62" s="45"/>
      <c r="AD62" s="45">
        <v>0.25</v>
      </c>
      <c r="AE62" s="45"/>
      <c r="AF62" s="45"/>
      <c r="AG62" s="45">
        <v>0.25</v>
      </c>
      <c r="AH62" s="741" t="s">
        <v>1349</v>
      </c>
      <c r="AI62" s="737" t="s">
        <v>1350</v>
      </c>
      <c r="AJ62" s="746" t="s">
        <v>1351</v>
      </c>
      <c r="AK62" s="746" t="s">
        <v>1352</v>
      </c>
    </row>
    <row r="63" spans="1:37" ht="57.65" customHeight="1" thickBot="1" x14ac:dyDescent="0.4">
      <c r="A63" s="427"/>
      <c r="B63" s="445"/>
      <c r="C63" s="427"/>
      <c r="D63" s="445"/>
      <c r="E63" s="445"/>
      <c r="F63" s="446"/>
      <c r="G63" s="445"/>
      <c r="H63" s="750"/>
      <c r="I63" s="733" t="s">
        <v>1325</v>
      </c>
      <c r="J63" s="735" t="s">
        <v>1342</v>
      </c>
      <c r="K63" s="748" t="s">
        <v>1353</v>
      </c>
      <c r="L63" s="426" t="s">
        <v>132</v>
      </c>
      <c r="M63" s="735" t="s">
        <v>286</v>
      </c>
      <c r="N63" s="735" t="s">
        <v>1262</v>
      </c>
      <c r="O63" s="735" t="s">
        <v>286</v>
      </c>
      <c r="P63" s="751">
        <v>46082</v>
      </c>
      <c r="Q63" s="751">
        <v>46356</v>
      </c>
      <c r="R63" s="59" t="s">
        <v>98</v>
      </c>
      <c r="S63" s="52">
        <f>100%/49</f>
        <v>2.0408163265306121E-2</v>
      </c>
      <c r="T63" s="65">
        <f t="shared" si="1"/>
        <v>1</v>
      </c>
      <c r="U63" s="42"/>
      <c r="V63" s="42"/>
      <c r="W63" s="42"/>
      <c r="X63" s="42">
        <v>0.25</v>
      </c>
      <c r="Y63" s="42"/>
      <c r="Z63" s="42"/>
      <c r="AA63" s="42">
        <v>0.25</v>
      </c>
      <c r="AB63" s="42"/>
      <c r="AC63" s="42"/>
      <c r="AD63" s="42">
        <v>0.25</v>
      </c>
      <c r="AE63" s="42"/>
      <c r="AF63" s="42"/>
      <c r="AG63" s="42">
        <v>0.25</v>
      </c>
      <c r="AH63" s="742"/>
      <c r="AI63" s="738"/>
      <c r="AJ63" s="747"/>
      <c r="AK63" s="747"/>
    </row>
    <row r="64" spans="1:37" ht="57.65" customHeight="1" thickBot="1" x14ac:dyDescent="0.4">
      <c r="A64" s="426">
        <v>26</v>
      </c>
      <c r="B64" s="445" t="s">
        <v>99</v>
      </c>
      <c r="C64" s="426" t="s">
        <v>142</v>
      </c>
      <c r="D64" s="445" t="s">
        <v>130</v>
      </c>
      <c r="E64" s="445" t="s">
        <v>131</v>
      </c>
      <c r="F64" s="446" t="s">
        <v>1118</v>
      </c>
      <c r="G64" s="445"/>
      <c r="H64" s="750"/>
      <c r="I64" s="734" t="s">
        <v>1325</v>
      </c>
      <c r="J64" s="736"/>
      <c r="K64" s="749"/>
      <c r="L64" s="427"/>
      <c r="M64" s="736"/>
      <c r="N64" s="736"/>
      <c r="O64" s="736"/>
      <c r="P64" s="752"/>
      <c r="Q64" s="752"/>
      <c r="R64" s="59" t="s">
        <v>93</v>
      </c>
      <c r="S64" s="53">
        <f>+(S65*T64)</f>
        <v>2.0408163265306121E-2</v>
      </c>
      <c r="T64" s="65">
        <f t="shared" si="1"/>
        <v>1</v>
      </c>
      <c r="U64" s="45"/>
      <c r="V64" s="45"/>
      <c r="W64" s="45"/>
      <c r="X64" s="45"/>
      <c r="Y64" s="45"/>
      <c r="Z64" s="45"/>
      <c r="AA64" s="45"/>
      <c r="AB64" s="45"/>
      <c r="AC64" s="45"/>
      <c r="AD64" s="45"/>
      <c r="AE64" s="45"/>
      <c r="AF64" s="45"/>
      <c r="AG64" s="45">
        <v>1</v>
      </c>
      <c r="AH64" s="741"/>
      <c r="AI64" s="737"/>
      <c r="AJ64" s="746"/>
      <c r="AK64" s="746" t="s">
        <v>1354</v>
      </c>
    </row>
    <row r="65" spans="1:37" ht="57.65" customHeight="1" thickBot="1" x14ac:dyDescent="0.4">
      <c r="A65" s="427"/>
      <c r="B65" s="445"/>
      <c r="C65" s="427"/>
      <c r="D65" s="445"/>
      <c r="E65" s="445"/>
      <c r="F65" s="446"/>
      <c r="G65" s="445"/>
      <c r="H65" s="750"/>
      <c r="I65" s="733" t="s">
        <v>1325</v>
      </c>
      <c r="J65" s="735" t="s">
        <v>1355</v>
      </c>
      <c r="K65" s="748" t="s">
        <v>1356</v>
      </c>
      <c r="L65" s="426" t="s">
        <v>132</v>
      </c>
      <c r="M65" s="735" t="s">
        <v>179</v>
      </c>
      <c r="N65" s="735" t="s">
        <v>1262</v>
      </c>
      <c r="O65" s="735" t="s">
        <v>286</v>
      </c>
      <c r="P65" s="751">
        <v>46174</v>
      </c>
      <c r="Q65" s="739">
        <v>46374</v>
      </c>
      <c r="R65" s="59" t="s">
        <v>98</v>
      </c>
      <c r="S65" s="52">
        <f>100%/49</f>
        <v>2.0408163265306121E-2</v>
      </c>
      <c r="T65" s="65">
        <f t="shared" si="1"/>
        <v>1</v>
      </c>
      <c r="U65" s="42"/>
      <c r="V65" s="42"/>
      <c r="W65" s="42"/>
      <c r="X65" s="42"/>
      <c r="Y65" s="42"/>
      <c r="Z65" s="42"/>
      <c r="AA65" s="42"/>
      <c r="AB65" s="42"/>
      <c r="AC65" s="42"/>
      <c r="AD65" s="42"/>
      <c r="AE65" s="42"/>
      <c r="AF65" s="42"/>
      <c r="AG65" s="42">
        <v>1</v>
      </c>
      <c r="AH65" s="742"/>
      <c r="AI65" s="738"/>
      <c r="AJ65" s="747"/>
      <c r="AK65" s="747"/>
    </row>
    <row r="66" spans="1:37" ht="57.65" customHeight="1" thickBot="1" x14ac:dyDescent="0.4">
      <c r="A66" s="426">
        <v>27</v>
      </c>
      <c r="B66" s="445" t="s">
        <v>99</v>
      </c>
      <c r="C66" s="426" t="s">
        <v>142</v>
      </c>
      <c r="D66" s="445" t="s">
        <v>130</v>
      </c>
      <c r="E66" s="445" t="s">
        <v>131</v>
      </c>
      <c r="F66" s="446" t="s">
        <v>1118</v>
      </c>
      <c r="G66" s="445"/>
      <c r="H66" s="750"/>
      <c r="I66" s="734" t="s">
        <v>1325</v>
      </c>
      <c r="J66" s="736"/>
      <c r="K66" s="749"/>
      <c r="L66" s="427"/>
      <c r="M66" s="736"/>
      <c r="N66" s="736"/>
      <c r="O66" s="736"/>
      <c r="P66" s="752"/>
      <c r="Q66" s="740"/>
      <c r="R66" s="59" t="s">
        <v>93</v>
      </c>
      <c r="S66" s="53">
        <f>+(S67*T66)</f>
        <v>2.0408163265306121E-2</v>
      </c>
      <c r="T66" s="65">
        <f t="shared" si="1"/>
        <v>1</v>
      </c>
      <c r="U66" s="45"/>
      <c r="V66" s="45"/>
      <c r="W66" s="45"/>
      <c r="X66" s="45"/>
      <c r="Y66" s="45"/>
      <c r="Z66" s="45"/>
      <c r="AA66" s="45">
        <v>0.5</v>
      </c>
      <c r="AB66" s="45"/>
      <c r="AC66" s="45"/>
      <c r="AD66" s="45"/>
      <c r="AE66" s="45"/>
      <c r="AF66" s="45"/>
      <c r="AG66" s="45">
        <v>0.5</v>
      </c>
      <c r="AH66" s="741"/>
      <c r="AI66" s="737" t="s">
        <v>1357</v>
      </c>
      <c r="AJ66" s="746"/>
      <c r="AK66" s="746" t="s">
        <v>1358</v>
      </c>
    </row>
    <row r="67" spans="1:37" ht="57.65" customHeight="1" thickBot="1" x14ac:dyDescent="0.4">
      <c r="A67" s="427"/>
      <c r="B67" s="445"/>
      <c r="C67" s="427"/>
      <c r="D67" s="445"/>
      <c r="E67" s="445"/>
      <c r="F67" s="446"/>
      <c r="G67" s="445"/>
      <c r="H67" s="750"/>
      <c r="I67" s="733" t="s">
        <v>1325</v>
      </c>
      <c r="J67" s="735" t="s">
        <v>1355</v>
      </c>
      <c r="K67" s="748" t="s">
        <v>1359</v>
      </c>
      <c r="L67" s="426" t="s">
        <v>132</v>
      </c>
      <c r="M67" s="735" t="s">
        <v>286</v>
      </c>
      <c r="N67" s="735" t="s">
        <v>1262</v>
      </c>
      <c r="O67" s="735" t="s">
        <v>286</v>
      </c>
      <c r="P67" s="751">
        <v>46174</v>
      </c>
      <c r="Q67" s="739">
        <v>46203</v>
      </c>
      <c r="R67" s="59" t="s">
        <v>98</v>
      </c>
      <c r="S67" s="52">
        <f>100%/49</f>
        <v>2.0408163265306121E-2</v>
      </c>
      <c r="T67" s="65">
        <f t="shared" si="1"/>
        <v>1</v>
      </c>
      <c r="U67" s="42"/>
      <c r="V67" s="42"/>
      <c r="W67" s="42"/>
      <c r="X67" s="42"/>
      <c r="Y67" s="42"/>
      <c r="Z67" s="42"/>
      <c r="AA67" s="42">
        <v>0.5</v>
      </c>
      <c r="AB67" s="42"/>
      <c r="AC67" s="42"/>
      <c r="AD67" s="42"/>
      <c r="AE67" s="42"/>
      <c r="AF67" s="42"/>
      <c r="AG67" s="42">
        <v>0.5</v>
      </c>
      <c r="AH67" s="742"/>
      <c r="AI67" s="738"/>
      <c r="AJ67" s="747"/>
      <c r="AK67" s="747"/>
    </row>
    <row r="68" spans="1:37" ht="57.65" customHeight="1" thickBot="1" x14ac:dyDescent="0.4">
      <c r="A68" s="426">
        <v>28</v>
      </c>
      <c r="B68" s="445" t="s">
        <v>99</v>
      </c>
      <c r="C68" s="426" t="s">
        <v>142</v>
      </c>
      <c r="D68" s="445" t="s">
        <v>130</v>
      </c>
      <c r="E68" s="445" t="s">
        <v>131</v>
      </c>
      <c r="F68" s="446" t="s">
        <v>1118</v>
      </c>
      <c r="G68" s="445"/>
      <c r="H68" s="750"/>
      <c r="I68" s="734" t="s">
        <v>1325</v>
      </c>
      <c r="J68" s="736"/>
      <c r="K68" s="749"/>
      <c r="L68" s="427"/>
      <c r="M68" s="736"/>
      <c r="N68" s="736"/>
      <c r="O68" s="736"/>
      <c r="P68" s="752"/>
      <c r="Q68" s="740"/>
      <c r="R68" s="59" t="s">
        <v>93</v>
      </c>
      <c r="S68" s="53">
        <f>+(S69*T68)</f>
        <v>2.0408163265306121E-2</v>
      </c>
      <c r="T68" s="65">
        <f t="shared" si="1"/>
        <v>1</v>
      </c>
      <c r="U68" s="45"/>
      <c r="V68" s="45"/>
      <c r="W68" s="45"/>
      <c r="X68" s="45">
        <v>0.25</v>
      </c>
      <c r="Y68" s="45"/>
      <c r="Z68" s="45"/>
      <c r="AA68" s="45">
        <v>0.25</v>
      </c>
      <c r="AB68" s="45"/>
      <c r="AC68" s="45"/>
      <c r="AD68" s="45">
        <v>0.25</v>
      </c>
      <c r="AE68" s="45"/>
      <c r="AF68" s="45"/>
      <c r="AG68" s="45">
        <v>0.25</v>
      </c>
      <c r="AH68" s="741" t="s">
        <v>1360</v>
      </c>
      <c r="AI68" s="741" t="s">
        <v>1360</v>
      </c>
      <c r="AJ68" s="741" t="s">
        <v>1360</v>
      </c>
      <c r="AK68" s="741" t="s">
        <v>1360</v>
      </c>
    </row>
    <row r="69" spans="1:37" ht="57.65" customHeight="1" thickBot="1" x14ac:dyDescent="0.4">
      <c r="A69" s="427"/>
      <c r="B69" s="445"/>
      <c r="C69" s="427"/>
      <c r="D69" s="445"/>
      <c r="E69" s="445"/>
      <c r="F69" s="446"/>
      <c r="G69" s="445"/>
      <c r="H69" s="750"/>
      <c r="I69" s="733" t="s">
        <v>1325</v>
      </c>
      <c r="J69" s="735" t="s">
        <v>1361</v>
      </c>
      <c r="K69" s="748" t="s">
        <v>1362</v>
      </c>
      <c r="L69" s="426" t="s">
        <v>132</v>
      </c>
      <c r="M69" s="735" t="s">
        <v>286</v>
      </c>
      <c r="N69" s="735" t="s">
        <v>1262</v>
      </c>
      <c r="O69" s="735" t="s">
        <v>286</v>
      </c>
      <c r="P69" s="739">
        <v>46327</v>
      </c>
      <c r="Q69" s="739">
        <v>46386</v>
      </c>
      <c r="R69" s="59" t="s">
        <v>98</v>
      </c>
      <c r="S69" s="52">
        <f>100%/49</f>
        <v>2.0408163265306121E-2</v>
      </c>
      <c r="T69" s="65">
        <f t="shared" si="1"/>
        <v>1</v>
      </c>
      <c r="U69" s="42"/>
      <c r="V69" s="42"/>
      <c r="W69" s="42"/>
      <c r="X69" s="42">
        <v>0.25</v>
      </c>
      <c r="Y69" s="42"/>
      <c r="Z69" s="42"/>
      <c r="AA69" s="42">
        <v>0.25</v>
      </c>
      <c r="AB69" s="42"/>
      <c r="AC69" s="42"/>
      <c r="AD69" s="42">
        <v>0.25</v>
      </c>
      <c r="AE69" s="42"/>
      <c r="AF69" s="42"/>
      <c r="AG69" s="42">
        <v>0.25</v>
      </c>
      <c r="AH69" s="742"/>
      <c r="AI69" s="742"/>
      <c r="AJ69" s="742"/>
      <c r="AK69" s="742"/>
    </row>
    <row r="70" spans="1:37" ht="57.65" customHeight="1" thickBot="1" x14ac:dyDescent="0.4">
      <c r="A70" s="426">
        <v>29</v>
      </c>
      <c r="B70" s="445" t="s">
        <v>99</v>
      </c>
      <c r="C70" s="426" t="s">
        <v>142</v>
      </c>
      <c r="D70" s="445" t="s">
        <v>130</v>
      </c>
      <c r="E70" s="445" t="s">
        <v>131</v>
      </c>
      <c r="F70" s="446" t="s">
        <v>1118</v>
      </c>
      <c r="G70" s="445"/>
      <c r="H70" s="750"/>
      <c r="I70" s="734" t="s">
        <v>1325</v>
      </c>
      <c r="J70" s="736"/>
      <c r="K70" s="749"/>
      <c r="L70" s="427"/>
      <c r="M70" s="736"/>
      <c r="N70" s="736"/>
      <c r="O70" s="736"/>
      <c r="P70" s="740"/>
      <c r="Q70" s="740"/>
      <c r="R70" s="59" t="s">
        <v>93</v>
      </c>
      <c r="S70" s="53">
        <f>+(S71*T70)</f>
        <v>1.9999999999999997E-2</v>
      </c>
      <c r="T70" s="65">
        <f t="shared" si="1"/>
        <v>0.97999999999999987</v>
      </c>
      <c r="U70" s="45"/>
      <c r="V70" s="42">
        <v>8.3333333333333343E-2</v>
      </c>
      <c r="W70" s="42">
        <v>8.3333333333333343E-2</v>
      </c>
      <c r="X70" s="42">
        <v>8.3333333333333343E-2</v>
      </c>
      <c r="Y70" s="42">
        <v>8.3333333333333343E-2</v>
      </c>
      <c r="Z70" s="42">
        <v>8.3333333333333343E-2</v>
      </c>
      <c r="AA70" s="42">
        <v>8.3333333333333343E-2</v>
      </c>
      <c r="AB70" s="45">
        <v>0.08</v>
      </c>
      <c r="AC70" s="45">
        <v>0.08</v>
      </c>
      <c r="AD70" s="45">
        <v>0.08</v>
      </c>
      <c r="AE70" s="45">
        <v>0.08</v>
      </c>
      <c r="AF70" s="45">
        <v>0.08</v>
      </c>
      <c r="AG70" s="45">
        <v>0.08</v>
      </c>
      <c r="AH70" s="741" t="s">
        <v>1363</v>
      </c>
      <c r="AI70" s="741" t="s">
        <v>1364</v>
      </c>
      <c r="AJ70" s="741" t="s">
        <v>1364</v>
      </c>
      <c r="AK70" s="741" t="s">
        <v>1364</v>
      </c>
    </row>
    <row r="71" spans="1:37" ht="57.65" customHeight="1" thickBot="1" x14ac:dyDescent="0.4">
      <c r="A71" s="427"/>
      <c r="B71" s="445"/>
      <c r="C71" s="427"/>
      <c r="D71" s="445"/>
      <c r="E71" s="445"/>
      <c r="F71" s="446"/>
      <c r="G71" s="445"/>
      <c r="H71" s="750"/>
      <c r="I71" s="733" t="s">
        <v>1325</v>
      </c>
      <c r="J71" s="735" t="s">
        <v>1365</v>
      </c>
      <c r="K71" s="748" t="s">
        <v>1366</v>
      </c>
      <c r="L71" s="426" t="s">
        <v>132</v>
      </c>
      <c r="M71" s="735" t="s">
        <v>286</v>
      </c>
      <c r="N71" s="735" t="s">
        <v>1262</v>
      </c>
      <c r="O71" s="735" t="s">
        <v>286</v>
      </c>
      <c r="P71" s="739">
        <v>46082</v>
      </c>
      <c r="Q71" s="739">
        <v>46172</v>
      </c>
      <c r="R71" s="59" t="s">
        <v>98</v>
      </c>
      <c r="S71" s="52">
        <f>100%/49</f>
        <v>2.0408163265306121E-2</v>
      </c>
      <c r="T71" s="65">
        <f t="shared" si="1"/>
        <v>1.0000000000000002</v>
      </c>
      <c r="U71" s="42"/>
      <c r="V71" s="42">
        <v>8.3333333333333343E-2</v>
      </c>
      <c r="W71" s="42">
        <v>8.3333333333333343E-2</v>
      </c>
      <c r="X71" s="42">
        <v>8.3333333333333343E-2</v>
      </c>
      <c r="Y71" s="42">
        <v>8.3333333333333343E-2</v>
      </c>
      <c r="Z71" s="42">
        <v>8.3333333333333343E-2</v>
      </c>
      <c r="AA71" s="42">
        <v>8.3333333333333343E-2</v>
      </c>
      <c r="AB71" s="42">
        <v>8.3333333333333343E-2</v>
      </c>
      <c r="AC71" s="42">
        <v>8.3333333333333343E-2</v>
      </c>
      <c r="AD71" s="42">
        <v>8.3333333333333343E-2</v>
      </c>
      <c r="AE71" s="42">
        <v>8.3333333333333343E-2</v>
      </c>
      <c r="AF71" s="42">
        <v>8.3333333333333343E-2</v>
      </c>
      <c r="AG71" s="42">
        <v>8.3333333333333343E-2</v>
      </c>
      <c r="AH71" s="742"/>
      <c r="AI71" s="742"/>
      <c r="AJ71" s="742"/>
      <c r="AK71" s="742"/>
    </row>
    <row r="72" spans="1:37" ht="57.65" customHeight="1" thickBot="1" x14ac:dyDescent="0.4">
      <c r="A72" s="426">
        <v>30</v>
      </c>
      <c r="B72" s="445" t="s">
        <v>99</v>
      </c>
      <c r="C72" s="426" t="s">
        <v>142</v>
      </c>
      <c r="D72" s="445" t="s">
        <v>130</v>
      </c>
      <c r="E72" s="445" t="s">
        <v>131</v>
      </c>
      <c r="F72" s="446" t="s">
        <v>1118</v>
      </c>
      <c r="G72" s="445"/>
      <c r="H72" s="750"/>
      <c r="I72" s="734" t="s">
        <v>1325</v>
      </c>
      <c r="J72" s="736"/>
      <c r="K72" s="749"/>
      <c r="L72" s="427"/>
      <c r="M72" s="736"/>
      <c r="N72" s="736"/>
      <c r="O72" s="736"/>
      <c r="P72" s="740"/>
      <c r="Q72" s="740"/>
      <c r="R72" s="59" t="s">
        <v>93</v>
      </c>
      <c r="S72" s="53">
        <f>+(S73*T72)</f>
        <v>2.0408163265306121E-2</v>
      </c>
      <c r="T72" s="65">
        <f t="shared" si="1"/>
        <v>1</v>
      </c>
      <c r="U72" s="45"/>
      <c r="V72" s="45"/>
      <c r="W72" s="45"/>
      <c r="X72" s="45">
        <v>0.25</v>
      </c>
      <c r="Y72" s="45"/>
      <c r="Z72" s="45"/>
      <c r="AA72" s="45">
        <v>0.25</v>
      </c>
      <c r="AB72" s="45"/>
      <c r="AC72" s="45"/>
      <c r="AD72" s="45">
        <v>0.25</v>
      </c>
      <c r="AE72" s="45"/>
      <c r="AF72" s="45"/>
      <c r="AG72" s="45">
        <v>0.25</v>
      </c>
      <c r="AH72" s="741" t="s">
        <v>1367</v>
      </c>
      <c r="AI72" s="741" t="s">
        <v>1368</v>
      </c>
      <c r="AJ72" s="741" t="s">
        <v>1369</v>
      </c>
      <c r="AK72" s="746" t="s">
        <v>1370</v>
      </c>
    </row>
    <row r="73" spans="1:37" ht="57.65" customHeight="1" thickBot="1" x14ac:dyDescent="0.4">
      <c r="A73" s="427"/>
      <c r="B73" s="445"/>
      <c r="C73" s="427"/>
      <c r="D73" s="445"/>
      <c r="E73" s="445"/>
      <c r="F73" s="446"/>
      <c r="G73" s="445"/>
      <c r="H73" s="750"/>
      <c r="I73" s="733" t="s">
        <v>1325</v>
      </c>
      <c r="J73" s="735" t="s">
        <v>1365</v>
      </c>
      <c r="K73" s="748" t="s">
        <v>1371</v>
      </c>
      <c r="L73" s="426" t="s">
        <v>132</v>
      </c>
      <c r="M73" s="735" t="s">
        <v>171</v>
      </c>
      <c r="N73" s="735" t="s">
        <v>1262</v>
      </c>
      <c r="O73" s="735" t="s">
        <v>171</v>
      </c>
      <c r="P73" s="739">
        <v>46054</v>
      </c>
      <c r="Q73" s="739">
        <v>46386</v>
      </c>
      <c r="R73" s="59" t="s">
        <v>98</v>
      </c>
      <c r="S73" s="52">
        <f>100%/49</f>
        <v>2.0408163265306121E-2</v>
      </c>
      <c r="T73" s="65">
        <f t="shared" si="1"/>
        <v>1</v>
      </c>
      <c r="U73" s="42"/>
      <c r="V73" s="42"/>
      <c r="W73" s="42"/>
      <c r="X73" s="42">
        <v>0.25</v>
      </c>
      <c r="Y73" s="42"/>
      <c r="Z73" s="42"/>
      <c r="AA73" s="42">
        <v>0.25</v>
      </c>
      <c r="AB73" s="42"/>
      <c r="AC73" s="42"/>
      <c r="AD73" s="42">
        <v>0.25</v>
      </c>
      <c r="AE73" s="42"/>
      <c r="AF73" s="42"/>
      <c r="AG73" s="42">
        <v>0.25</v>
      </c>
      <c r="AH73" s="742"/>
      <c r="AI73" s="742"/>
      <c r="AJ73" s="742"/>
      <c r="AK73" s="747"/>
    </row>
    <row r="74" spans="1:37" ht="57.65" customHeight="1" thickBot="1" x14ac:dyDescent="0.4">
      <c r="A74" s="426">
        <v>31</v>
      </c>
      <c r="B74" s="445" t="s">
        <v>99</v>
      </c>
      <c r="C74" s="426" t="s">
        <v>142</v>
      </c>
      <c r="D74" s="445" t="s">
        <v>130</v>
      </c>
      <c r="E74" s="445" t="s">
        <v>131</v>
      </c>
      <c r="F74" s="446" t="s">
        <v>1118</v>
      </c>
      <c r="G74" s="445"/>
      <c r="H74" s="750"/>
      <c r="I74" s="734" t="s">
        <v>1325</v>
      </c>
      <c r="J74" s="736"/>
      <c r="K74" s="749"/>
      <c r="L74" s="427"/>
      <c r="M74" s="736"/>
      <c r="N74" s="736"/>
      <c r="O74" s="736"/>
      <c r="P74" s="740"/>
      <c r="Q74" s="740"/>
      <c r="R74" s="59" t="s">
        <v>93</v>
      </c>
      <c r="S74" s="53">
        <f>+(S75*T74)</f>
        <v>1.9999999999999997E-2</v>
      </c>
      <c r="T74" s="65">
        <f t="shared" si="1"/>
        <v>0.97999999999999987</v>
      </c>
      <c r="U74" s="45"/>
      <c r="V74" s="42">
        <v>8.3333333333333343E-2</v>
      </c>
      <c r="W74" s="42">
        <v>8.3333333333333343E-2</v>
      </c>
      <c r="X74" s="42">
        <v>8.3333333333333343E-2</v>
      </c>
      <c r="Y74" s="42">
        <v>8.3333333333333343E-2</v>
      </c>
      <c r="Z74" s="42">
        <v>8.3333333333333343E-2</v>
      </c>
      <c r="AA74" s="42">
        <v>8.3333333333333343E-2</v>
      </c>
      <c r="AB74" s="45">
        <v>0.08</v>
      </c>
      <c r="AC74" s="45">
        <v>0.08</v>
      </c>
      <c r="AD74" s="45">
        <v>0.08</v>
      </c>
      <c r="AE74" s="45">
        <v>0.08</v>
      </c>
      <c r="AF74" s="45">
        <v>0.08</v>
      </c>
      <c r="AG74" s="45">
        <v>0.08</v>
      </c>
      <c r="AH74" s="741" t="s">
        <v>1372</v>
      </c>
      <c r="AI74" s="737" t="s">
        <v>1373</v>
      </c>
      <c r="AJ74" s="746" t="s">
        <v>1374</v>
      </c>
      <c r="AK74" s="746" t="s">
        <v>1375</v>
      </c>
    </row>
    <row r="75" spans="1:37" ht="57.65" customHeight="1" thickBot="1" x14ac:dyDescent="0.4">
      <c r="A75" s="427"/>
      <c r="B75" s="445"/>
      <c r="C75" s="427"/>
      <c r="D75" s="445"/>
      <c r="E75" s="445"/>
      <c r="F75" s="446"/>
      <c r="G75" s="445"/>
      <c r="H75" s="750"/>
      <c r="I75" s="733" t="s">
        <v>1325</v>
      </c>
      <c r="J75" s="735" t="s">
        <v>1365</v>
      </c>
      <c r="K75" s="748" t="s">
        <v>1376</v>
      </c>
      <c r="L75" s="426" t="s">
        <v>132</v>
      </c>
      <c r="M75" s="735" t="s">
        <v>171</v>
      </c>
      <c r="N75" s="735" t="s">
        <v>1262</v>
      </c>
      <c r="O75" s="735" t="s">
        <v>171</v>
      </c>
      <c r="P75" s="739">
        <v>46054</v>
      </c>
      <c r="Q75" s="739">
        <v>46386</v>
      </c>
      <c r="R75" s="59" t="s">
        <v>98</v>
      </c>
      <c r="S75" s="52">
        <f>100%/49</f>
        <v>2.0408163265306121E-2</v>
      </c>
      <c r="T75" s="65">
        <f t="shared" si="1"/>
        <v>1.0000000000000002</v>
      </c>
      <c r="U75" s="42"/>
      <c r="V75" s="42">
        <v>8.3333333333333343E-2</v>
      </c>
      <c r="W75" s="42">
        <v>8.3333333333333343E-2</v>
      </c>
      <c r="X75" s="42">
        <v>8.3333333333333343E-2</v>
      </c>
      <c r="Y75" s="42">
        <v>8.3333333333333343E-2</v>
      </c>
      <c r="Z75" s="42">
        <v>8.3333333333333343E-2</v>
      </c>
      <c r="AA75" s="42">
        <v>8.3333333333333343E-2</v>
      </c>
      <c r="AB75" s="42">
        <v>8.3333333333333343E-2</v>
      </c>
      <c r="AC75" s="42">
        <v>8.3333333333333343E-2</v>
      </c>
      <c r="AD75" s="42">
        <v>8.3333333333333343E-2</v>
      </c>
      <c r="AE75" s="42">
        <v>8.3333333333333343E-2</v>
      </c>
      <c r="AF75" s="42">
        <v>8.3333333333333343E-2</v>
      </c>
      <c r="AG75" s="42">
        <v>8.3333333333333343E-2</v>
      </c>
      <c r="AH75" s="742"/>
      <c r="AI75" s="738"/>
      <c r="AJ75" s="747"/>
      <c r="AK75" s="747"/>
    </row>
    <row r="76" spans="1:37" ht="57.65" customHeight="1" thickBot="1" x14ac:dyDescent="0.4">
      <c r="A76" s="426">
        <v>32</v>
      </c>
      <c r="B76" s="445" t="s">
        <v>99</v>
      </c>
      <c r="C76" s="426" t="s">
        <v>142</v>
      </c>
      <c r="D76" s="445" t="s">
        <v>130</v>
      </c>
      <c r="E76" s="445" t="s">
        <v>131</v>
      </c>
      <c r="F76" s="446" t="s">
        <v>1118</v>
      </c>
      <c r="G76" s="445"/>
      <c r="H76" s="750"/>
      <c r="I76" s="734" t="s">
        <v>1325</v>
      </c>
      <c r="J76" s="736"/>
      <c r="K76" s="749"/>
      <c r="L76" s="427"/>
      <c r="M76" s="736"/>
      <c r="N76" s="736"/>
      <c r="O76" s="736"/>
      <c r="P76" s="740"/>
      <c r="Q76" s="740"/>
      <c r="R76" s="59" t="s">
        <v>93</v>
      </c>
      <c r="S76" s="53">
        <f>+(S77*T76)</f>
        <v>2.0408163265306121E-2</v>
      </c>
      <c r="T76" s="65">
        <f t="shared" ref="T76:T83" si="2">SUM(U76:AG76)</f>
        <v>1</v>
      </c>
      <c r="U76" s="45"/>
      <c r="V76" s="45"/>
      <c r="W76" s="45"/>
      <c r="X76" s="45"/>
      <c r="Y76" s="45"/>
      <c r="Z76" s="45"/>
      <c r="AA76" s="45"/>
      <c r="AB76" s="45"/>
      <c r="AC76" s="45"/>
      <c r="AD76" s="45"/>
      <c r="AE76" s="45"/>
      <c r="AF76" s="45"/>
      <c r="AG76" s="45">
        <v>1</v>
      </c>
      <c r="AH76" s="741"/>
      <c r="AI76" s="737"/>
      <c r="AJ76" s="746"/>
      <c r="AK76" s="746" t="s">
        <v>1377</v>
      </c>
    </row>
    <row r="77" spans="1:37" ht="57.65" customHeight="1" thickBot="1" x14ac:dyDescent="0.4">
      <c r="A77" s="427"/>
      <c r="B77" s="445"/>
      <c r="C77" s="427"/>
      <c r="D77" s="445"/>
      <c r="E77" s="445"/>
      <c r="F77" s="446"/>
      <c r="G77" s="445"/>
      <c r="H77" s="750"/>
      <c r="I77" s="733" t="s">
        <v>1325</v>
      </c>
      <c r="J77" s="735" t="s">
        <v>1378</v>
      </c>
      <c r="K77" s="748" t="s">
        <v>1379</v>
      </c>
      <c r="L77" s="426" t="s">
        <v>132</v>
      </c>
      <c r="M77" s="735" t="s">
        <v>171</v>
      </c>
      <c r="N77" s="735" t="s">
        <v>1262</v>
      </c>
      <c r="O77" s="735" t="s">
        <v>171</v>
      </c>
      <c r="P77" s="739">
        <v>46054</v>
      </c>
      <c r="Q77" s="739">
        <v>46386</v>
      </c>
      <c r="R77" s="59" t="s">
        <v>98</v>
      </c>
      <c r="S77" s="52">
        <f>100%/49</f>
        <v>2.0408163265306121E-2</v>
      </c>
      <c r="T77" s="65">
        <f t="shared" si="2"/>
        <v>1</v>
      </c>
      <c r="U77" s="42"/>
      <c r="V77" s="42"/>
      <c r="W77" s="42"/>
      <c r="X77" s="42"/>
      <c r="Y77" s="42"/>
      <c r="Z77" s="42"/>
      <c r="AA77" s="42"/>
      <c r="AB77" s="42"/>
      <c r="AC77" s="42"/>
      <c r="AD77" s="42"/>
      <c r="AE77" s="42"/>
      <c r="AF77" s="42"/>
      <c r="AG77" s="42">
        <v>1</v>
      </c>
      <c r="AH77" s="742"/>
      <c r="AI77" s="738"/>
      <c r="AJ77" s="747"/>
      <c r="AK77" s="747"/>
    </row>
    <row r="78" spans="1:37" ht="57.65" customHeight="1" thickBot="1" x14ac:dyDescent="0.4">
      <c r="A78" s="426">
        <v>33</v>
      </c>
      <c r="B78" s="445" t="s">
        <v>99</v>
      </c>
      <c r="C78" s="426" t="s">
        <v>142</v>
      </c>
      <c r="D78" s="445" t="s">
        <v>130</v>
      </c>
      <c r="E78" s="445" t="s">
        <v>131</v>
      </c>
      <c r="F78" s="446" t="s">
        <v>1118</v>
      </c>
      <c r="G78" s="445"/>
      <c r="H78" s="750"/>
      <c r="I78" s="776"/>
      <c r="J78" s="775"/>
      <c r="K78" s="777"/>
      <c r="L78" s="440"/>
      <c r="M78" s="775"/>
      <c r="N78" s="775"/>
      <c r="O78" s="775"/>
      <c r="P78" s="778"/>
      <c r="Q78" s="778"/>
      <c r="R78" s="59" t="s">
        <v>93</v>
      </c>
      <c r="S78" s="53">
        <f>+(S79*T78)</f>
        <v>2.0408163265306121E-2</v>
      </c>
      <c r="T78" s="65">
        <f t="shared" si="2"/>
        <v>1</v>
      </c>
      <c r="U78" s="45"/>
      <c r="V78" s="45"/>
      <c r="W78" s="45"/>
      <c r="X78" s="45"/>
      <c r="Y78" s="45"/>
      <c r="Z78" s="45"/>
      <c r="AA78" s="45"/>
      <c r="AB78" s="45"/>
      <c r="AC78" s="45"/>
      <c r="AD78" s="45"/>
      <c r="AE78" s="45"/>
      <c r="AF78" s="45"/>
      <c r="AG78" s="45">
        <v>1</v>
      </c>
      <c r="AH78" s="741"/>
      <c r="AI78" s="737"/>
      <c r="AJ78" s="746"/>
      <c r="AK78" s="746" t="s">
        <v>1380</v>
      </c>
    </row>
    <row r="79" spans="1:37" ht="57.65" customHeight="1" thickBot="1" x14ac:dyDescent="0.4">
      <c r="A79" s="427"/>
      <c r="B79" s="445"/>
      <c r="C79" s="427"/>
      <c r="D79" s="445"/>
      <c r="E79" s="445"/>
      <c r="F79" s="446"/>
      <c r="G79" s="445"/>
      <c r="H79" s="750"/>
      <c r="I79" s="733" t="s">
        <v>1325</v>
      </c>
      <c r="J79" s="735" t="s">
        <v>1381</v>
      </c>
      <c r="K79" s="748" t="s">
        <v>1382</v>
      </c>
      <c r="L79" s="426" t="s">
        <v>132</v>
      </c>
      <c r="M79" s="735" t="s">
        <v>92</v>
      </c>
      <c r="N79" s="735" t="s">
        <v>1262</v>
      </c>
      <c r="O79" s="735" t="s">
        <v>286</v>
      </c>
      <c r="P79" s="739">
        <v>46113</v>
      </c>
      <c r="Q79" s="739">
        <v>46386</v>
      </c>
      <c r="R79" s="59" t="s">
        <v>98</v>
      </c>
      <c r="S79" s="52">
        <f>100%/49</f>
        <v>2.0408163265306121E-2</v>
      </c>
      <c r="T79" s="65">
        <f t="shared" si="2"/>
        <v>1</v>
      </c>
      <c r="U79" s="42"/>
      <c r="V79" s="42"/>
      <c r="W79" s="42"/>
      <c r="X79" s="42"/>
      <c r="Y79" s="42"/>
      <c r="Z79" s="42"/>
      <c r="AA79" s="42"/>
      <c r="AB79" s="42"/>
      <c r="AC79" s="42"/>
      <c r="AD79" s="42"/>
      <c r="AE79" s="42"/>
      <c r="AF79" s="42"/>
      <c r="AG79" s="42">
        <v>1</v>
      </c>
      <c r="AH79" s="742"/>
      <c r="AI79" s="738"/>
      <c r="AJ79" s="747"/>
      <c r="AK79" s="747"/>
    </row>
    <row r="80" spans="1:37" ht="57.65" customHeight="1" thickBot="1" x14ac:dyDescent="0.4">
      <c r="A80" s="426">
        <v>34</v>
      </c>
      <c r="B80" s="445" t="s">
        <v>99</v>
      </c>
      <c r="C80" s="426" t="s">
        <v>142</v>
      </c>
      <c r="D80" s="445" t="s">
        <v>130</v>
      </c>
      <c r="E80" s="445" t="s">
        <v>131</v>
      </c>
      <c r="F80" s="446" t="s">
        <v>1118</v>
      </c>
      <c r="G80" s="445"/>
      <c r="H80" s="750"/>
      <c r="I80" s="734" t="s">
        <v>1325</v>
      </c>
      <c r="J80" s="736"/>
      <c r="K80" s="749"/>
      <c r="L80" s="427"/>
      <c r="M80" s="736"/>
      <c r="N80" s="736"/>
      <c r="O80" s="736"/>
      <c r="P80" s="740"/>
      <c r="Q80" s="740"/>
      <c r="R80" s="59" t="s">
        <v>93</v>
      </c>
      <c r="S80" s="53">
        <f>+(S81*T80)</f>
        <v>1.9999999999999997E-2</v>
      </c>
      <c r="T80" s="65">
        <f t="shared" si="2"/>
        <v>0.97999999999999987</v>
      </c>
      <c r="U80" s="45"/>
      <c r="V80" s="42">
        <v>8.3333333333333343E-2</v>
      </c>
      <c r="W80" s="42">
        <v>8.3333333333333343E-2</v>
      </c>
      <c r="X80" s="42">
        <v>8.3333333333333343E-2</v>
      </c>
      <c r="Y80" s="42">
        <v>8.3333333333333343E-2</v>
      </c>
      <c r="Z80" s="42">
        <v>8.3333333333333343E-2</v>
      </c>
      <c r="AA80" s="42">
        <v>8.3333333333333343E-2</v>
      </c>
      <c r="AB80" s="45">
        <v>0.08</v>
      </c>
      <c r="AC80" s="45">
        <v>0.08</v>
      </c>
      <c r="AD80" s="45">
        <v>0.08</v>
      </c>
      <c r="AE80" s="45">
        <v>0.08</v>
      </c>
      <c r="AF80" s="45">
        <v>0.08</v>
      </c>
      <c r="AG80" s="45">
        <v>0.08</v>
      </c>
      <c r="AH80" s="741" t="s">
        <v>1383</v>
      </c>
      <c r="AI80" s="741" t="s">
        <v>1383</v>
      </c>
      <c r="AJ80" s="741" t="s">
        <v>1383</v>
      </c>
      <c r="AK80" s="741" t="s">
        <v>1383</v>
      </c>
    </row>
    <row r="81" spans="1:37" ht="57.65" customHeight="1" thickBot="1" x14ac:dyDescent="0.4">
      <c r="A81" s="427"/>
      <c r="B81" s="445"/>
      <c r="C81" s="427"/>
      <c r="D81" s="445"/>
      <c r="E81" s="445"/>
      <c r="F81" s="446"/>
      <c r="G81" s="445"/>
      <c r="H81" s="750"/>
      <c r="I81" s="733" t="s">
        <v>1325</v>
      </c>
      <c r="J81" s="735" t="s">
        <v>1381</v>
      </c>
      <c r="K81" s="748" t="s">
        <v>1384</v>
      </c>
      <c r="L81" s="426" t="s">
        <v>132</v>
      </c>
      <c r="M81" s="735" t="s">
        <v>1385</v>
      </c>
      <c r="N81" s="735" t="s">
        <v>1262</v>
      </c>
      <c r="O81" s="735" t="s">
        <v>1385</v>
      </c>
      <c r="P81" s="739">
        <v>46023</v>
      </c>
      <c r="Q81" s="739">
        <v>46386</v>
      </c>
      <c r="R81" s="59" t="s">
        <v>98</v>
      </c>
      <c r="S81" s="52">
        <f>100%/49</f>
        <v>2.0408163265306121E-2</v>
      </c>
      <c r="T81" s="65">
        <f t="shared" si="2"/>
        <v>1.0000000000000002</v>
      </c>
      <c r="U81" s="42"/>
      <c r="V81" s="42">
        <v>8.3333333333333343E-2</v>
      </c>
      <c r="W81" s="42">
        <v>8.3333333333333343E-2</v>
      </c>
      <c r="X81" s="42">
        <v>8.3333333333333343E-2</v>
      </c>
      <c r="Y81" s="42">
        <v>8.3333333333333343E-2</v>
      </c>
      <c r="Z81" s="42">
        <v>8.3333333333333343E-2</v>
      </c>
      <c r="AA81" s="42">
        <v>8.3333333333333343E-2</v>
      </c>
      <c r="AB81" s="42">
        <v>8.3333333333333343E-2</v>
      </c>
      <c r="AC81" s="42">
        <v>8.3333333333333343E-2</v>
      </c>
      <c r="AD81" s="42">
        <v>8.3333333333333343E-2</v>
      </c>
      <c r="AE81" s="42">
        <v>8.3333333333333343E-2</v>
      </c>
      <c r="AF81" s="42">
        <v>8.3333333333333343E-2</v>
      </c>
      <c r="AG81" s="42">
        <v>8.3333333333333343E-2</v>
      </c>
      <c r="AH81" s="742"/>
      <c r="AI81" s="742"/>
      <c r="AJ81" s="742"/>
      <c r="AK81" s="742"/>
    </row>
    <row r="82" spans="1:37" ht="57.65" customHeight="1" thickBot="1" x14ac:dyDescent="0.4">
      <c r="A82" s="426">
        <v>35</v>
      </c>
      <c r="B82" s="445" t="s">
        <v>99</v>
      </c>
      <c r="C82" s="426" t="s">
        <v>142</v>
      </c>
      <c r="D82" s="445" t="s">
        <v>130</v>
      </c>
      <c r="E82" s="445" t="s">
        <v>131</v>
      </c>
      <c r="F82" s="446" t="s">
        <v>1118</v>
      </c>
      <c r="G82" s="445"/>
      <c r="H82" s="750"/>
      <c r="I82" s="734" t="s">
        <v>1325</v>
      </c>
      <c r="J82" s="736"/>
      <c r="K82" s="749"/>
      <c r="L82" s="427"/>
      <c r="M82" s="736"/>
      <c r="N82" s="736"/>
      <c r="O82" s="736"/>
      <c r="P82" s="740"/>
      <c r="Q82" s="740"/>
      <c r="R82" s="59" t="s">
        <v>93</v>
      </c>
      <c r="S82" s="53">
        <f>+(S83*T82)</f>
        <v>2.0408163265306121E-2</v>
      </c>
      <c r="T82" s="65">
        <f t="shared" si="2"/>
        <v>1</v>
      </c>
      <c r="U82" s="45"/>
      <c r="V82" s="45"/>
      <c r="W82" s="45"/>
      <c r="X82" s="45"/>
      <c r="Y82" s="45"/>
      <c r="Z82" s="45"/>
      <c r="AA82" s="45"/>
      <c r="AB82" s="45"/>
      <c r="AC82" s="45"/>
      <c r="AD82" s="45"/>
      <c r="AE82" s="45"/>
      <c r="AF82" s="45"/>
      <c r="AG82" s="45">
        <v>1</v>
      </c>
      <c r="AH82" s="741"/>
      <c r="AI82" s="737"/>
      <c r="AJ82" s="746"/>
      <c r="AK82" s="746" t="s">
        <v>1386</v>
      </c>
    </row>
    <row r="83" spans="1:37" ht="57.65" customHeight="1" x14ac:dyDescent="0.35">
      <c r="A83" s="427"/>
      <c r="B83" s="445"/>
      <c r="C83" s="427"/>
      <c r="D83" s="445"/>
      <c r="E83" s="445"/>
      <c r="F83" s="446"/>
      <c r="G83" s="445"/>
      <c r="H83" s="750"/>
      <c r="I83" s="733" t="s">
        <v>1325</v>
      </c>
      <c r="J83" s="735" t="s">
        <v>1381</v>
      </c>
      <c r="K83" s="748" t="s">
        <v>1387</v>
      </c>
      <c r="L83" s="426" t="s">
        <v>132</v>
      </c>
      <c r="M83" s="735" t="s">
        <v>179</v>
      </c>
      <c r="N83" s="735" t="s">
        <v>1262</v>
      </c>
      <c r="O83" s="735" t="s">
        <v>179</v>
      </c>
      <c r="P83" s="739">
        <v>46204</v>
      </c>
      <c r="Q83" s="739">
        <v>46386</v>
      </c>
      <c r="R83" s="59" t="s">
        <v>98</v>
      </c>
      <c r="S83" s="52">
        <f>100%/49</f>
        <v>2.0408163265306121E-2</v>
      </c>
      <c r="T83" s="65">
        <f t="shared" si="2"/>
        <v>1</v>
      </c>
      <c r="U83" s="42"/>
      <c r="V83" s="42"/>
      <c r="W83" s="42"/>
      <c r="X83" s="42"/>
      <c r="Y83" s="42"/>
      <c r="Z83" s="42"/>
      <c r="AA83" s="42"/>
      <c r="AB83" s="42"/>
      <c r="AC83" s="42"/>
      <c r="AD83" s="42"/>
      <c r="AE83" s="42"/>
      <c r="AF83" s="42"/>
      <c r="AG83" s="42">
        <v>1</v>
      </c>
      <c r="AH83" s="742"/>
      <c r="AI83" s="738"/>
      <c r="AJ83" s="747"/>
      <c r="AK83" s="747"/>
    </row>
    <row r="84" spans="1:37" ht="57.65" customHeight="1" x14ac:dyDescent="0.35">
      <c r="A84" s="426">
        <v>36</v>
      </c>
      <c r="B84" s="445" t="s">
        <v>99</v>
      </c>
      <c r="C84" s="426" t="s">
        <v>142</v>
      </c>
      <c r="D84" s="445" t="s">
        <v>130</v>
      </c>
      <c r="E84" s="445" t="s">
        <v>131</v>
      </c>
      <c r="G84" s="445"/>
      <c r="H84" s="750"/>
      <c r="I84" s="734" t="s">
        <v>1325</v>
      </c>
      <c r="J84" s="736"/>
      <c r="K84" s="749"/>
      <c r="L84" s="427"/>
      <c r="M84" s="736"/>
      <c r="N84" s="736"/>
      <c r="O84" s="736"/>
      <c r="P84" s="740"/>
      <c r="Q84" s="740"/>
    </row>
    <row r="85" spans="1:37" ht="57.65" customHeight="1" x14ac:dyDescent="0.35">
      <c r="A85" s="427"/>
      <c r="B85" s="445"/>
      <c r="C85" s="427"/>
      <c r="D85" s="445"/>
      <c r="E85" s="445"/>
      <c r="F85" s="349" t="s">
        <v>29</v>
      </c>
      <c r="G85" s="445"/>
      <c r="H85" s="750"/>
      <c r="I85" s="733" t="s">
        <v>1325</v>
      </c>
      <c r="J85" s="735" t="s">
        <v>1378</v>
      </c>
      <c r="K85" s="748" t="s">
        <v>1388</v>
      </c>
      <c r="L85" s="426" t="s">
        <v>132</v>
      </c>
      <c r="M85" s="748" t="s">
        <v>92</v>
      </c>
      <c r="N85" s="735" t="s">
        <v>1262</v>
      </c>
      <c r="O85" s="748" t="s">
        <v>92</v>
      </c>
      <c r="P85" s="739">
        <v>46113</v>
      </c>
      <c r="Q85" s="739">
        <v>46386</v>
      </c>
    </row>
    <row r="86" spans="1:37" ht="57.65" customHeight="1" x14ac:dyDescent="0.35">
      <c r="A86" s="426">
        <v>37</v>
      </c>
      <c r="B86" s="445" t="s">
        <v>99</v>
      </c>
      <c r="C86" s="426" t="s">
        <v>142</v>
      </c>
      <c r="D86" s="445" t="s">
        <v>130</v>
      </c>
      <c r="E86" s="445" t="s">
        <v>131</v>
      </c>
      <c r="F86" s="350"/>
      <c r="G86" s="445"/>
      <c r="H86" s="750"/>
      <c r="I86" s="734" t="s">
        <v>1325</v>
      </c>
      <c r="J86" s="736"/>
      <c r="K86" s="749"/>
      <c r="L86" s="427"/>
      <c r="M86" s="749"/>
      <c r="N86" s="736"/>
      <c r="O86" s="749"/>
      <c r="P86" s="740"/>
      <c r="Q86" s="740"/>
    </row>
    <row r="87" spans="1:37" ht="57.65" customHeight="1" x14ac:dyDescent="0.35">
      <c r="A87" s="427"/>
      <c r="B87" s="445"/>
      <c r="C87" s="427"/>
      <c r="D87" s="445"/>
      <c r="E87" s="445"/>
      <c r="F87" s="1" t="s">
        <v>169</v>
      </c>
      <c r="G87" s="445"/>
      <c r="H87" s="750"/>
      <c r="I87" s="733" t="s">
        <v>1325</v>
      </c>
      <c r="J87" s="735" t="s">
        <v>1389</v>
      </c>
      <c r="K87" s="748" t="s">
        <v>1390</v>
      </c>
      <c r="L87" s="426" t="s">
        <v>132</v>
      </c>
      <c r="M87" s="735" t="s">
        <v>171</v>
      </c>
      <c r="N87" s="735" t="s">
        <v>1262</v>
      </c>
      <c r="O87" s="735" t="s">
        <v>171</v>
      </c>
      <c r="P87" s="739">
        <v>46054</v>
      </c>
      <c r="Q87" s="739">
        <v>46386</v>
      </c>
    </row>
    <row r="88" spans="1:37" ht="57.65" customHeight="1" x14ac:dyDescent="0.35">
      <c r="A88" s="426">
        <v>38</v>
      </c>
      <c r="B88" s="445" t="s">
        <v>99</v>
      </c>
      <c r="C88" s="426" t="s">
        <v>142</v>
      </c>
      <c r="D88" s="445" t="s">
        <v>130</v>
      </c>
      <c r="E88" s="445" t="s">
        <v>131</v>
      </c>
      <c r="F88" s="1" t="s">
        <v>174</v>
      </c>
      <c r="G88" s="445"/>
      <c r="H88" s="750"/>
      <c r="I88" s="734" t="s">
        <v>1325</v>
      </c>
      <c r="J88" s="736"/>
      <c r="K88" s="749"/>
      <c r="L88" s="427"/>
      <c r="M88" s="736"/>
      <c r="N88" s="736"/>
      <c r="O88" s="736"/>
      <c r="P88" s="740"/>
      <c r="Q88" s="740"/>
    </row>
    <row r="89" spans="1:37" ht="57.65" customHeight="1" x14ac:dyDescent="0.35">
      <c r="A89" s="427"/>
      <c r="B89" s="445"/>
      <c r="C89" s="427"/>
      <c r="D89" s="445"/>
      <c r="E89" s="445"/>
      <c r="F89" s="1" t="s">
        <v>177</v>
      </c>
      <c r="G89" s="735" t="s">
        <v>1391</v>
      </c>
      <c r="H89" s="781" t="s">
        <v>1392</v>
      </c>
      <c r="I89" s="733" t="s">
        <v>1393</v>
      </c>
      <c r="J89" s="735" t="s">
        <v>1394</v>
      </c>
      <c r="K89" s="748" t="s">
        <v>1395</v>
      </c>
      <c r="L89" s="426" t="s">
        <v>132</v>
      </c>
      <c r="M89" s="735" t="s">
        <v>286</v>
      </c>
      <c r="N89" s="735" t="s">
        <v>1262</v>
      </c>
      <c r="O89" s="735" t="s">
        <v>286</v>
      </c>
      <c r="P89" s="739">
        <v>46082</v>
      </c>
      <c r="Q89" s="739">
        <v>46112</v>
      </c>
    </row>
    <row r="90" spans="1:37" ht="57.65" customHeight="1" x14ac:dyDescent="0.35">
      <c r="A90" s="426">
        <v>39</v>
      </c>
      <c r="B90" s="445" t="s">
        <v>99</v>
      </c>
      <c r="C90" s="426" t="s">
        <v>142</v>
      </c>
      <c r="D90" s="445" t="s">
        <v>130</v>
      </c>
      <c r="E90" s="445" t="s">
        <v>131</v>
      </c>
      <c r="F90" s="1" t="s">
        <v>182</v>
      </c>
      <c r="G90" s="775"/>
      <c r="H90" s="781"/>
      <c r="I90" s="734" t="s">
        <v>1393</v>
      </c>
      <c r="J90" s="736"/>
      <c r="K90" s="749"/>
      <c r="L90" s="427"/>
      <c r="M90" s="736"/>
      <c r="N90" s="736"/>
      <c r="O90" s="736"/>
      <c r="P90" s="740"/>
      <c r="Q90" s="740"/>
    </row>
    <row r="91" spans="1:37" ht="57.65" customHeight="1" x14ac:dyDescent="0.35">
      <c r="A91" s="427"/>
      <c r="B91" s="445"/>
      <c r="C91" s="427"/>
      <c r="D91" s="445"/>
      <c r="E91" s="445"/>
      <c r="F91" s="1" t="s">
        <v>185</v>
      </c>
      <c r="G91" s="775"/>
      <c r="H91" s="781"/>
      <c r="I91" s="733" t="s">
        <v>1393</v>
      </c>
      <c r="J91" s="735" t="s">
        <v>1396</v>
      </c>
      <c r="K91" s="748" t="s">
        <v>1397</v>
      </c>
      <c r="L91" s="426" t="s">
        <v>132</v>
      </c>
      <c r="M91" s="735" t="s">
        <v>171</v>
      </c>
      <c r="N91" s="735" t="s">
        <v>1262</v>
      </c>
      <c r="O91" s="735" t="s">
        <v>171</v>
      </c>
      <c r="P91" s="739">
        <v>46054</v>
      </c>
      <c r="Q91" s="739">
        <v>46386</v>
      </c>
    </row>
    <row r="92" spans="1:37" ht="57.65" customHeight="1" x14ac:dyDescent="0.35">
      <c r="A92" s="426">
        <v>40</v>
      </c>
      <c r="B92" s="445" t="s">
        <v>99</v>
      </c>
      <c r="C92" s="426" t="s">
        <v>142</v>
      </c>
      <c r="D92" s="445" t="s">
        <v>130</v>
      </c>
      <c r="E92" s="445" t="s">
        <v>131</v>
      </c>
      <c r="F92" s="1" t="s">
        <v>189</v>
      </c>
      <c r="G92" s="775"/>
      <c r="H92" s="781"/>
      <c r="I92" s="734" t="s">
        <v>1393</v>
      </c>
      <c r="J92" s="736"/>
      <c r="K92" s="749"/>
      <c r="L92" s="427"/>
      <c r="M92" s="736"/>
      <c r="N92" s="736"/>
      <c r="O92" s="736"/>
      <c r="P92" s="740"/>
      <c r="Q92" s="740"/>
    </row>
    <row r="93" spans="1:37" ht="57.65" customHeight="1" x14ac:dyDescent="0.35">
      <c r="A93" s="427"/>
      <c r="B93" s="445"/>
      <c r="C93" s="427"/>
      <c r="D93" s="445"/>
      <c r="E93" s="445"/>
      <c r="F93" s="1" t="s">
        <v>194</v>
      </c>
      <c r="G93" s="775"/>
      <c r="H93" s="781"/>
      <c r="I93" s="733" t="s">
        <v>1393</v>
      </c>
      <c r="J93" s="735" t="s">
        <v>1398</v>
      </c>
      <c r="K93" s="748" t="s">
        <v>1399</v>
      </c>
      <c r="L93" s="426" t="s">
        <v>132</v>
      </c>
      <c r="M93" s="735" t="s">
        <v>286</v>
      </c>
      <c r="N93" s="735" t="s">
        <v>1262</v>
      </c>
      <c r="O93" s="735" t="s">
        <v>286</v>
      </c>
      <c r="P93" s="739">
        <v>46266</v>
      </c>
      <c r="Q93" s="739">
        <v>46325</v>
      </c>
    </row>
    <row r="94" spans="1:37" ht="57.65" customHeight="1" x14ac:dyDescent="0.35">
      <c r="A94" s="426">
        <v>41</v>
      </c>
      <c r="B94" s="445" t="s">
        <v>99</v>
      </c>
      <c r="C94" s="426" t="s">
        <v>142</v>
      </c>
      <c r="D94" s="445" t="s">
        <v>130</v>
      </c>
      <c r="E94" s="445" t="s">
        <v>131</v>
      </c>
      <c r="F94" s="1" t="s">
        <v>198</v>
      </c>
      <c r="G94" s="775"/>
      <c r="H94" s="781"/>
      <c r="I94" s="776" t="s">
        <v>1393</v>
      </c>
      <c r="J94" s="775"/>
      <c r="K94" s="779"/>
      <c r="L94" s="440"/>
      <c r="M94" s="775"/>
      <c r="N94" s="775"/>
      <c r="O94" s="775"/>
      <c r="P94" s="778"/>
      <c r="Q94" s="778"/>
    </row>
    <row r="95" spans="1:37" ht="57.65" customHeight="1" x14ac:dyDescent="0.35">
      <c r="A95" s="427"/>
      <c r="B95" s="445"/>
      <c r="C95" s="427"/>
      <c r="D95" s="445"/>
      <c r="E95" s="445"/>
      <c r="F95" s="1" t="s">
        <v>199</v>
      </c>
      <c r="G95" s="775"/>
      <c r="H95" s="782"/>
      <c r="I95" s="733" t="s">
        <v>1393</v>
      </c>
      <c r="J95" s="735" t="s">
        <v>1400</v>
      </c>
      <c r="K95" s="748" t="s">
        <v>1401</v>
      </c>
      <c r="L95" s="426" t="s">
        <v>132</v>
      </c>
      <c r="M95" s="735" t="s">
        <v>286</v>
      </c>
      <c r="N95" s="735" t="s">
        <v>1262</v>
      </c>
      <c r="O95" s="735" t="s">
        <v>286</v>
      </c>
      <c r="P95" s="739">
        <v>46235</v>
      </c>
      <c r="Q95" s="739">
        <v>46264</v>
      </c>
    </row>
    <row r="96" spans="1:37" ht="57.65" customHeight="1" x14ac:dyDescent="0.35">
      <c r="A96" s="426">
        <v>42</v>
      </c>
      <c r="B96" s="445" t="s">
        <v>99</v>
      </c>
      <c r="C96" s="426" t="s">
        <v>142</v>
      </c>
      <c r="D96" s="445" t="s">
        <v>130</v>
      </c>
      <c r="E96" s="445" t="s">
        <v>131</v>
      </c>
      <c r="F96" s="1" t="s">
        <v>201</v>
      </c>
      <c r="G96" s="775"/>
      <c r="H96" s="782"/>
      <c r="I96" s="734" t="s">
        <v>1393</v>
      </c>
      <c r="J96" s="736"/>
      <c r="K96" s="749"/>
      <c r="L96" s="427"/>
      <c r="M96" s="736"/>
      <c r="N96" s="736"/>
      <c r="O96" s="736"/>
      <c r="P96" s="740"/>
      <c r="Q96" s="740"/>
    </row>
    <row r="97" spans="1:17" ht="57.65" customHeight="1" x14ac:dyDescent="0.35">
      <c r="A97" s="427"/>
      <c r="B97" s="445"/>
      <c r="C97" s="427"/>
      <c r="D97" s="445"/>
      <c r="E97" s="445"/>
      <c r="F97" s="1" t="s">
        <v>203</v>
      </c>
      <c r="G97" s="775"/>
      <c r="H97" s="782"/>
      <c r="I97" s="733" t="s">
        <v>1393</v>
      </c>
      <c r="J97" s="735" t="s">
        <v>1402</v>
      </c>
      <c r="K97" s="748" t="s">
        <v>1403</v>
      </c>
      <c r="L97" s="426" t="s">
        <v>132</v>
      </c>
      <c r="M97" s="735" t="s">
        <v>286</v>
      </c>
      <c r="N97" s="735" t="s">
        <v>1262</v>
      </c>
      <c r="O97" s="735" t="s">
        <v>286</v>
      </c>
      <c r="P97" s="739">
        <v>46113</v>
      </c>
      <c r="Q97" s="739">
        <v>46203</v>
      </c>
    </row>
    <row r="98" spans="1:17" ht="57.65" customHeight="1" x14ac:dyDescent="0.35">
      <c r="A98" s="426">
        <v>43</v>
      </c>
      <c r="B98" s="445" t="s">
        <v>99</v>
      </c>
      <c r="C98" s="426" t="s">
        <v>142</v>
      </c>
      <c r="D98" s="445" t="s">
        <v>130</v>
      </c>
      <c r="E98" s="445" t="s">
        <v>131</v>
      </c>
      <c r="F98" s="1" t="s">
        <v>205</v>
      </c>
      <c r="G98" s="775"/>
      <c r="H98" s="782"/>
      <c r="I98" s="734" t="s">
        <v>1393</v>
      </c>
      <c r="J98" s="736"/>
      <c r="K98" s="749"/>
      <c r="L98" s="427"/>
      <c r="M98" s="736"/>
      <c r="N98" s="736"/>
      <c r="O98" s="736"/>
      <c r="P98" s="740"/>
      <c r="Q98" s="740"/>
    </row>
    <row r="99" spans="1:17" ht="57.65" customHeight="1" x14ac:dyDescent="0.35">
      <c r="A99" s="427"/>
      <c r="B99" s="445"/>
      <c r="C99" s="427"/>
      <c r="D99" s="445"/>
      <c r="E99" s="445"/>
      <c r="G99" s="775"/>
      <c r="H99" s="781"/>
      <c r="I99" s="733" t="s">
        <v>1393</v>
      </c>
      <c r="J99" s="735" t="s">
        <v>1402</v>
      </c>
      <c r="K99" s="748" t="s">
        <v>1404</v>
      </c>
      <c r="L99" s="426" t="s">
        <v>132</v>
      </c>
      <c r="M99" s="735" t="s">
        <v>171</v>
      </c>
      <c r="N99" s="735" t="s">
        <v>1262</v>
      </c>
      <c r="O99" s="735" t="s">
        <v>171</v>
      </c>
      <c r="P99" s="739">
        <v>46054</v>
      </c>
      <c r="Q99" s="739">
        <v>46386</v>
      </c>
    </row>
    <row r="100" spans="1:17" ht="57.65" customHeight="1" x14ac:dyDescent="0.35">
      <c r="A100" s="426">
        <v>44</v>
      </c>
      <c r="B100" s="445" t="s">
        <v>99</v>
      </c>
      <c r="C100" s="426" t="s">
        <v>142</v>
      </c>
      <c r="D100" s="445" t="s">
        <v>130</v>
      </c>
      <c r="E100" s="445" t="s">
        <v>131</v>
      </c>
      <c r="G100" s="775"/>
      <c r="H100" s="781"/>
      <c r="I100" s="734" t="s">
        <v>1393</v>
      </c>
      <c r="J100" s="736"/>
      <c r="K100" s="749"/>
      <c r="L100" s="427"/>
      <c r="M100" s="736"/>
      <c r="N100" s="736"/>
      <c r="O100" s="736"/>
      <c r="P100" s="740"/>
      <c r="Q100" s="740"/>
    </row>
    <row r="101" spans="1:17" ht="57.65" customHeight="1" x14ac:dyDescent="0.35">
      <c r="A101" s="427"/>
      <c r="B101" s="445"/>
      <c r="C101" s="427"/>
      <c r="D101" s="445"/>
      <c r="E101" s="445"/>
      <c r="G101" s="748" t="s">
        <v>1324</v>
      </c>
      <c r="H101" s="748" t="s">
        <v>1405</v>
      </c>
      <c r="I101" s="733" t="s">
        <v>1406</v>
      </c>
      <c r="J101" s="735" t="s">
        <v>1407</v>
      </c>
      <c r="K101" s="748" t="s">
        <v>1408</v>
      </c>
      <c r="L101" s="426" t="s">
        <v>132</v>
      </c>
      <c r="M101" s="735" t="s">
        <v>286</v>
      </c>
      <c r="N101" s="735" t="s">
        <v>1262</v>
      </c>
      <c r="O101" s="735" t="s">
        <v>286</v>
      </c>
      <c r="P101" s="739">
        <v>46082</v>
      </c>
      <c r="Q101" s="739">
        <v>46111</v>
      </c>
    </row>
    <row r="102" spans="1:17" ht="57.65" customHeight="1" x14ac:dyDescent="0.35">
      <c r="A102" s="426">
        <v>45</v>
      </c>
      <c r="B102" s="445" t="s">
        <v>99</v>
      </c>
      <c r="C102" s="426" t="s">
        <v>142</v>
      </c>
      <c r="D102" s="445" t="s">
        <v>130</v>
      </c>
      <c r="E102" s="445" t="s">
        <v>131</v>
      </c>
      <c r="G102" s="777"/>
      <c r="H102" s="777"/>
      <c r="I102" s="734" t="s">
        <v>1406</v>
      </c>
      <c r="J102" s="736"/>
      <c r="K102" s="749"/>
      <c r="L102" s="427"/>
      <c r="M102" s="736"/>
      <c r="N102" s="736"/>
      <c r="O102" s="736"/>
      <c r="P102" s="740"/>
      <c r="Q102" s="740"/>
    </row>
    <row r="103" spans="1:17" ht="57.65" customHeight="1" x14ac:dyDescent="0.35">
      <c r="A103" s="427"/>
      <c r="B103" s="445"/>
      <c r="C103" s="427"/>
      <c r="D103" s="445"/>
      <c r="E103" s="445"/>
      <c r="G103" s="777"/>
      <c r="H103" s="777"/>
      <c r="I103" s="348" t="s">
        <v>1406</v>
      </c>
      <c r="J103" s="228" t="s">
        <v>1407</v>
      </c>
      <c r="K103" s="228" t="s">
        <v>1409</v>
      </c>
      <c r="L103" s="225" t="s">
        <v>132</v>
      </c>
      <c r="M103" s="228" t="s">
        <v>179</v>
      </c>
      <c r="N103" s="228" t="s">
        <v>1262</v>
      </c>
      <c r="O103" s="228" t="s">
        <v>179</v>
      </c>
      <c r="P103" s="347">
        <v>46113</v>
      </c>
      <c r="Q103" s="347">
        <v>46264</v>
      </c>
    </row>
    <row r="104" spans="1:17" ht="57.65" customHeight="1" x14ac:dyDescent="0.35">
      <c r="A104" s="426">
        <v>46</v>
      </c>
      <c r="B104" s="445" t="s">
        <v>99</v>
      </c>
      <c r="C104" s="426" t="s">
        <v>142</v>
      </c>
      <c r="D104" s="445" t="s">
        <v>130</v>
      </c>
      <c r="E104" s="445" t="s">
        <v>131</v>
      </c>
      <c r="G104" s="777"/>
      <c r="H104" s="777"/>
      <c r="I104" s="733" t="s">
        <v>1406</v>
      </c>
      <c r="J104" s="735" t="s">
        <v>1407</v>
      </c>
      <c r="K104" s="748" t="s">
        <v>1410</v>
      </c>
      <c r="L104" s="426" t="s">
        <v>132</v>
      </c>
      <c r="M104" s="735" t="s">
        <v>286</v>
      </c>
      <c r="N104" s="735" t="s">
        <v>1262</v>
      </c>
      <c r="O104" s="735" t="s">
        <v>286</v>
      </c>
      <c r="P104" s="739">
        <v>46204</v>
      </c>
      <c r="Q104" s="739">
        <v>46356</v>
      </c>
    </row>
    <row r="105" spans="1:17" ht="57.65" customHeight="1" x14ac:dyDescent="0.35">
      <c r="A105" s="427"/>
      <c r="B105" s="445"/>
      <c r="C105" s="427"/>
      <c r="D105" s="445"/>
      <c r="E105" s="445"/>
      <c r="G105" s="777"/>
      <c r="H105" s="777"/>
      <c r="I105" s="734" t="s">
        <v>1406</v>
      </c>
      <c r="J105" s="736"/>
      <c r="K105" s="749"/>
      <c r="L105" s="427"/>
      <c r="M105" s="736"/>
      <c r="N105" s="736"/>
      <c r="O105" s="736"/>
      <c r="P105" s="740"/>
      <c r="Q105" s="740"/>
    </row>
    <row r="106" spans="1:17" ht="57.65" customHeight="1" x14ac:dyDescent="0.35">
      <c r="A106" s="426">
        <v>47</v>
      </c>
      <c r="B106" s="445" t="s">
        <v>99</v>
      </c>
      <c r="C106" s="426" t="s">
        <v>142</v>
      </c>
      <c r="D106" s="445" t="s">
        <v>130</v>
      </c>
      <c r="E106" s="445" t="s">
        <v>131</v>
      </c>
      <c r="G106" s="780" t="s">
        <v>1411</v>
      </c>
      <c r="H106" s="780" t="s">
        <v>1412</v>
      </c>
      <c r="I106" s="733" t="s">
        <v>1413</v>
      </c>
      <c r="J106" s="735" t="s">
        <v>1414</v>
      </c>
      <c r="K106" s="748" t="s">
        <v>1415</v>
      </c>
      <c r="L106" s="426" t="s">
        <v>132</v>
      </c>
      <c r="M106" s="735" t="s">
        <v>171</v>
      </c>
      <c r="N106" s="735" t="s">
        <v>1262</v>
      </c>
      <c r="O106" s="735" t="s">
        <v>171</v>
      </c>
      <c r="P106" s="739">
        <v>46054</v>
      </c>
      <c r="Q106" s="739">
        <v>46386</v>
      </c>
    </row>
    <row r="107" spans="1:17" ht="57.65" customHeight="1" x14ac:dyDescent="0.35">
      <c r="A107" s="427"/>
      <c r="B107" s="445"/>
      <c r="C107" s="427"/>
      <c r="D107" s="445"/>
      <c r="E107" s="445"/>
      <c r="G107" s="780"/>
      <c r="H107" s="780"/>
      <c r="I107" s="734" t="s">
        <v>1413</v>
      </c>
      <c r="J107" s="736"/>
      <c r="K107" s="749"/>
      <c r="L107" s="427"/>
      <c r="M107" s="736"/>
      <c r="N107" s="736"/>
      <c r="O107" s="736"/>
      <c r="P107" s="740"/>
      <c r="Q107" s="740"/>
    </row>
    <row r="108" spans="1:17" ht="57.65" customHeight="1" x14ac:dyDescent="0.35">
      <c r="A108" s="426">
        <v>48</v>
      </c>
      <c r="B108" s="445" t="s">
        <v>99</v>
      </c>
      <c r="C108" s="426" t="s">
        <v>142</v>
      </c>
      <c r="D108" s="445" t="s">
        <v>130</v>
      </c>
      <c r="E108" s="445" t="s">
        <v>131</v>
      </c>
      <c r="G108" s="780"/>
      <c r="H108" s="780"/>
      <c r="I108" s="733" t="s">
        <v>1413</v>
      </c>
      <c r="J108" s="735" t="s">
        <v>1414</v>
      </c>
      <c r="K108" s="748" t="s">
        <v>1416</v>
      </c>
      <c r="L108" s="426" t="s">
        <v>132</v>
      </c>
      <c r="M108" s="735" t="s">
        <v>179</v>
      </c>
      <c r="N108" s="735" t="s">
        <v>1262</v>
      </c>
      <c r="O108" s="735" t="s">
        <v>286</v>
      </c>
      <c r="P108" s="739">
        <v>46054</v>
      </c>
      <c r="Q108" s="739">
        <v>46264</v>
      </c>
    </row>
    <row r="109" spans="1:17" ht="57.65" customHeight="1" x14ac:dyDescent="0.35">
      <c r="A109" s="427"/>
      <c r="B109" s="445"/>
      <c r="C109" s="427"/>
      <c r="D109" s="445"/>
      <c r="E109" s="445"/>
      <c r="G109" s="780"/>
      <c r="H109" s="780"/>
      <c r="I109" s="734" t="s">
        <v>1413</v>
      </c>
      <c r="J109" s="736"/>
      <c r="K109" s="749"/>
      <c r="L109" s="427"/>
      <c r="M109" s="736"/>
      <c r="N109" s="736"/>
      <c r="O109" s="736"/>
      <c r="P109" s="740"/>
      <c r="Q109" s="740"/>
    </row>
    <row r="110" spans="1:17" ht="57.65" customHeight="1" x14ac:dyDescent="0.35">
      <c r="A110" s="426">
        <v>49</v>
      </c>
      <c r="B110" s="445" t="s">
        <v>99</v>
      </c>
      <c r="C110" s="426" t="s">
        <v>142</v>
      </c>
      <c r="D110" s="445" t="s">
        <v>130</v>
      </c>
      <c r="E110" s="445" t="s">
        <v>131</v>
      </c>
      <c r="G110" s="780"/>
      <c r="H110" s="780"/>
      <c r="I110" s="733" t="s">
        <v>1413</v>
      </c>
      <c r="J110" s="735" t="s">
        <v>1417</v>
      </c>
      <c r="K110" s="748" t="s">
        <v>1418</v>
      </c>
      <c r="L110" s="426" t="s">
        <v>132</v>
      </c>
      <c r="M110" s="735" t="s">
        <v>286</v>
      </c>
      <c r="N110" s="735" t="s">
        <v>1262</v>
      </c>
      <c r="O110" s="735" t="s">
        <v>286</v>
      </c>
      <c r="P110" s="739">
        <v>46235</v>
      </c>
      <c r="Q110" s="739">
        <v>46325</v>
      </c>
    </row>
    <row r="111" spans="1:17" ht="57.65" customHeight="1" x14ac:dyDescent="0.35">
      <c r="A111" s="427"/>
      <c r="B111" s="445"/>
      <c r="C111" s="427"/>
      <c r="D111" s="445"/>
      <c r="E111" s="445"/>
      <c r="G111" s="780"/>
      <c r="H111" s="780"/>
      <c r="I111" s="734" t="s">
        <v>1413</v>
      </c>
      <c r="J111" s="736"/>
      <c r="K111" s="749"/>
      <c r="L111" s="427"/>
      <c r="M111" s="736"/>
      <c r="N111" s="736"/>
      <c r="O111" s="736"/>
      <c r="P111" s="740"/>
      <c r="Q111" s="740"/>
    </row>
    <row r="112" spans="1:17" ht="57.65" customHeight="1" x14ac:dyDescent="0.35">
      <c r="A112" s="426">
        <v>50</v>
      </c>
      <c r="B112" s="445" t="s">
        <v>99</v>
      </c>
      <c r="C112" s="426" t="s">
        <v>142</v>
      </c>
      <c r="D112" s="445" t="s">
        <v>130</v>
      </c>
      <c r="E112" s="445" t="s">
        <v>131</v>
      </c>
      <c r="G112" s="780"/>
      <c r="H112" s="780"/>
      <c r="I112" s="733" t="s">
        <v>1413</v>
      </c>
      <c r="J112" s="735" t="s">
        <v>1419</v>
      </c>
      <c r="K112" s="748" t="s">
        <v>1420</v>
      </c>
      <c r="L112" s="426" t="s">
        <v>132</v>
      </c>
      <c r="M112" s="735" t="s">
        <v>286</v>
      </c>
      <c r="N112" s="735" t="s">
        <v>1262</v>
      </c>
      <c r="O112" s="735" t="s">
        <v>286</v>
      </c>
      <c r="P112" s="739">
        <v>46296</v>
      </c>
      <c r="Q112" s="739">
        <v>46356</v>
      </c>
    </row>
    <row r="113" spans="1:17" ht="57.65" customHeight="1" x14ac:dyDescent="0.35">
      <c r="A113" s="427"/>
      <c r="B113" s="445"/>
      <c r="C113" s="427"/>
      <c r="D113" s="445"/>
      <c r="E113" s="445"/>
      <c r="G113" s="780"/>
      <c r="H113" s="780"/>
      <c r="I113" s="734" t="s">
        <v>1413</v>
      </c>
      <c r="J113" s="736"/>
      <c r="K113" s="749"/>
      <c r="L113" s="427"/>
      <c r="M113" s="736"/>
      <c r="N113" s="736"/>
      <c r="O113" s="736"/>
      <c r="P113" s="740"/>
      <c r="Q113" s="740"/>
    </row>
    <row r="114" spans="1:17" ht="57.65" customHeight="1" x14ac:dyDescent="0.35">
      <c r="A114" s="426">
        <v>51</v>
      </c>
      <c r="B114" s="445" t="s">
        <v>99</v>
      </c>
      <c r="C114" s="426" t="s">
        <v>142</v>
      </c>
      <c r="D114" s="445" t="s">
        <v>130</v>
      </c>
      <c r="E114" s="445" t="s">
        <v>131</v>
      </c>
      <c r="G114" s="780"/>
      <c r="H114" s="780"/>
      <c r="I114" s="733" t="s">
        <v>1413</v>
      </c>
      <c r="J114" s="735" t="s">
        <v>1419</v>
      </c>
      <c r="K114" s="748" t="s">
        <v>1421</v>
      </c>
      <c r="L114" s="426" t="s">
        <v>132</v>
      </c>
      <c r="M114" s="735" t="s">
        <v>286</v>
      </c>
      <c r="N114" s="735" t="s">
        <v>1262</v>
      </c>
      <c r="O114" s="735" t="s">
        <v>286</v>
      </c>
      <c r="P114" s="739">
        <v>46327</v>
      </c>
      <c r="Q114" s="739">
        <v>46386</v>
      </c>
    </row>
    <row r="115" spans="1:17" ht="57.65" customHeight="1" x14ac:dyDescent="0.35">
      <c r="A115" s="427"/>
      <c r="B115" s="445"/>
      <c r="C115" s="427"/>
      <c r="D115" s="445"/>
      <c r="E115" s="445"/>
      <c r="G115" s="780"/>
      <c r="H115" s="780"/>
      <c r="I115" s="734" t="s">
        <v>1413</v>
      </c>
      <c r="J115" s="736"/>
      <c r="K115" s="749"/>
      <c r="L115" s="427"/>
      <c r="M115" s="736"/>
      <c r="N115" s="736"/>
      <c r="O115" s="736"/>
      <c r="P115" s="740"/>
      <c r="Q115" s="740"/>
    </row>
    <row r="116" spans="1:17" ht="57.65" customHeight="1" x14ac:dyDescent="0.35">
      <c r="A116" s="426">
        <v>52</v>
      </c>
      <c r="B116" s="445" t="s">
        <v>99</v>
      </c>
      <c r="C116" s="426" t="s">
        <v>142</v>
      </c>
      <c r="D116" s="445" t="s">
        <v>130</v>
      </c>
      <c r="E116" s="445" t="s">
        <v>131</v>
      </c>
      <c r="G116" s="780"/>
      <c r="H116" s="780"/>
      <c r="I116" s="733" t="s">
        <v>1413</v>
      </c>
      <c r="J116" s="735" t="s">
        <v>1422</v>
      </c>
      <c r="K116" s="748" t="s">
        <v>1423</v>
      </c>
      <c r="L116" s="426" t="s">
        <v>132</v>
      </c>
      <c r="M116" s="735" t="s">
        <v>92</v>
      </c>
      <c r="N116" s="735" t="s">
        <v>1262</v>
      </c>
      <c r="O116" s="735" t="s">
        <v>92</v>
      </c>
      <c r="P116" s="739">
        <v>46113</v>
      </c>
      <c r="Q116" s="739">
        <v>46386</v>
      </c>
    </row>
    <row r="117" spans="1:17" ht="57.65" customHeight="1" x14ac:dyDescent="0.35">
      <c r="A117" s="427"/>
      <c r="B117" s="445"/>
      <c r="C117" s="427"/>
      <c r="D117" s="445"/>
      <c r="E117" s="445"/>
      <c r="G117" s="780"/>
      <c r="H117" s="780"/>
      <c r="I117" s="734" t="s">
        <v>1413</v>
      </c>
      <c r="J117" s="736"/>
      <c r="K117" s="749"/>
      <c r="L117" s="427"/>
      <c r="M117" s="736"/>
      <c r="N117" s="736"/>
      <c r="O117" s="736"/>
      <c r="P117" s="740"/>
      <c r="Q117" s="740"/>
    </row>
  </sheetData>
  <sheetProtection formatCells="0" formatColumns="0" formatRows="0" insertColumns="0" insertRows="0" insertHyperlinks="0" deleteColumns="0" deleteRows="0" sort="0" autoFilter="0" pivotTables="0"/>
  <autoFilter ref="A1:AK83" xr:uid="{E00451CB-FFDF-4B66-9DFF-B1AA7CAF69BE}">
    <filterColumn colId="0" showButton="0"/>
    <filterColumn colId="1"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autoFilter>
  <mergeCells count="966">
    <mergeCell ref="E116:E117"/>
    <mergeCell ref="G106:G117"/>
    <mergeCell ref="G101:G105"/>
    <mergeCell ref="G89:G100"/>
    <mergeCell ref="H89:H100"/>
    <mergeCell ref="H101:H105"/>
    <mergeCell ref="H106:H117"/>
    <mergeCell ref="D102:D103"/>
    <mergeCell ref="D104:D105"/>
    <mergeCell ref="D106:D107"/>
    <mergeCell ref="D108:D109"/>
    <mergeCell ref="D110:D111"/>
    <mergeCell ref="D112:D113"/>
    <mergeCell ref="D114:D115"/>
    <mergeCell ref="D116:D117"/>
    <mergeCell ref="E102:E103"/>
    <mergeCell ref="E104:E105"/>
    <mergeCell ref="E106:E107"/>
    <mergeCell ref="E108:E109"/>
    <mergeCell ref="E110:E111"/>
    <mergeCell ref="E112:E113"/>
    <mergeCell ref="E114:E115"/>
    <mergeCell ref="E84:E85"/>
    <mergeCell ref="E86:E87"/>
    <mergeCell ref="E88:E89"/>
    <mergeCell ref="E90:E91"/>
    <mergeCell ref="E92:E93"/>
    <mergeCell ref="E94:E95"/>
    <mergeCell ref="E96:E97"/>
    <mergeCell ref="E98:E99"/>
    <mergeCell ref="E100:E101"/>
    <mergeCell ref="D84:D85"/>
    <mergeCell ref="D86:D87"/>
    <mergeCell ref="D88:D89"/>
    <mergeCell ref="D90:D91"/>
    <mergeCell ref="D92:D93"/>
    <mergeCell ref="D94:D95"/>
    <mergeCell ref="D96:D97"/>
    <mergeCell ref="D98:D99"/>
    <mergeCell ref="D100:D101"/>
    <mergeCell ref="B116:B117"/>
    <mergeCell ref="C84:C85"/>
    <mergeCell ref="C86:C87"/>
    <mergeCell ref="C88:C89"/>
    <mergeCell ref="C90:C91"/>
    <mergeCell ref="C92:C93"/>
    <mergeCell ref="C94:C95"/>
    <mergeCell ref="C96:C97"/>
    <mergeCell ref="C98:C99"/>
    <mergeCell ref="C100:C101"/>
    <mergeCell ref="C102:C103"/>
    <mergeCell ref="C104:C105"/>
    <mergeCell ref="C106:C107"/>
    <mergeCell ref="C108:C109"/>
    <mergeCell ref="C110:C111"/>
    <mergeCell ref="C112:C113"/>
    <mergeCell ref="C114:C115"/>
    <mergeCell ref="C116:C117"/>
    <mergeCell ref="A102:A103"/>
    <mergeCell ref="A104:A105"/>
    <mergeCell ref="A106:A107"/>
    <mergeCell ref="A108:A109"/>
    <mergeCell ref="A110:A111"/>
    <mergeCell ref="A112:A113"/>
    <mergeCell ref="A114:A115"/>
    <mergeCell ref="A116:A117"/>
    <mergeCell ref="B84:B85"/>
    <mergeCell ref="B86:B87"/>
    <mergeCell ref="B88:B89"/>
    <mergeCell ref="B90:B91"/>
    <mergeCell ref="B92:B93"/>
    <mergeCell ref="B94:B95"/>
    <mergeCell ref="B96:B97"/>
    <mergeCell ref="B98:B99"/>
    <mergeCell ref="B100:B101"/>
    <mergeCell ref="B102:B103"/>
    <mergeCell ref="B104:B105"/>
    <mergeCell ref="B106:B107"/>
    <mergeCell ref="B108:B109"/>
    <mergeCell ref="B110:B111"/>
    <mergeCell ref="B112:B113"/>
    <mergeCell ref="B114:B115"/>
    <mergeCell ref="A84:A85"/>
    <mergeCell ref="A86:A87"/>
    <mergeCell ref="A88:A89"/>
    <mergeCell ref="A90:A91"/>
    <mergeCell ref="A92:A93"/>
    <mergeCell ref="A94:A95"/>
    <mergeCell ref="A96:A97"/>
    <mergeCell ref="A98:A99"/>
    <mergeCell ref="A100:A101"/>
    <mergeCell ref="I116:I117"/>
    <mergeCell ref="J116:J117"/>
    <mergeCell ref="K116:K117"/>
    <mergeCell ref="L116:L117"/>
    <mergeCell ref="M116:M117"/>
    <mergeCell ref="N116:N117"/>
    <mergeCell ref="O116:O117"/>
    <mergeCell ref="P116:P117"/>
    <mergeCell ref="Q116:Q117"/>
    <mergeCell ref="I114:I115"/>
    <mergeCell ref="J114:J115"/>
    <mergeCell ref="K114:K115"/>
    <mergeCell ref="L114:L115"/>
    <mergeCell ref="M114:M115"/>
    <mergeCell ref="N114:N115"/>
    <mergeCell ref="O114:O115"/>
    <mergeCell ref="P114:P115"/>
    <mergeCell ref="Q114:Q115"/>
    <mergeCell ref="I112:I113"/>
    <mergeCell ref="J112:J113"/>
    <mergeCell ref="K112:K113"/>
    <mergeCell ref="L112:L113"/>
    <mergeCell ref="M112:M113"/>
    <mergeCell ref="N112:N113"/>
    <mergeCell ref="O112:O113"/>
    <mergeCell ref="P112:P113"/>
    <mergeCell ref="Q112:Q113"/>
    <mergeCell ref="I110:I111"/>
    <mergeCell ref="J110:J111"/>
    <mergeCell ref="K110:K111"/>
    <mergeCell ref="L110:L111"/>
    <mergeCell ref="M110:M111"/>
    <mergeCell ref="N110:N111"/>
    <mergeCell ref="O110:O111"/>
    <mergeCell ref="P110:P111"/>
    <mergeCell ref="Q110:Q111"/>
    <mergeCell ref="I108:I109"/>
    <mergeCell ref="J108:J109"/>
    <mergeCell ref="K108:K109"/>
    <mergeCell ref="L108:L109"/>
    <mergeCell ref="M108:M109"/>
    <mergeCell ref="N108:N109"/>
    <mergeCell ref="O108:O109"/>
    <mergeCell ref="P108:P109"/>
    <mergeCell ref="Q108:Q109"/>
    <mergeCell ref="I106:I107"/>
    <mergeCell ref="J106:J107"/>
    <mergeCell ref="K106:K107"/>
    <mergeCell ref="L106:L107"/>
    <mergeCell ref="M106:M107"/>
    <mergeCell ref="N106:N107"/>
    <mergeCell ref="O106:O107"/>
    <mergeCell ref="P106:P107"/>
    <mergeCell ref="Q106:Q107"/>
    <mergeCell ref="I104:I105"/>
    <mergeCell ref="J104:J105"/>
    <mergeCell ref="K104:K105"/>
    <mergeCell ref="L104:L105"/>
    <mergeCell ref="M104:M105"/>
    <mergeCell ref="N104:N105"/>
    <mergeCell ref="O104:O105"/>
    <mergeCell ref="P104:P105"/>
    <mergeCell ref="Q104:Q105"/>
    <mergeCell ref="I101:I102"/>
    <mergeCell ref="J101:J102"/>
    <mergeCell ref="K101:K102"/>
    <mergeCell ref="L101:L102"/>
    <mergeCell ref="M101:M102"/>
    <mergeCell ref="N101:N102"/>
    <mergeCell ref="O101:O102"/>
    <mergeCell ref="P101:P102"/>
    <mergeCell ref="Q101:Q102"/>
    <mergeCell ref="I99:I100"/>
    <mergeCell ref="J99:J100"/>
    <mergeCell ref="K99:K100"/>
    <mergeCell ref="L99:L100"/>
    <mergeCell ref="M99:M100"/>
    <mergeCell ref="N99:N100"/>
    <mergeCell ref="O99:O100"/>
    <mergeCell ref="P99:P100"/>
    <mergeCell ref="Q99:Q100"/>
    <mergeCell ref="I97:I98"/>
    <mergeCell ref="J97:J98"/>
    <mergeCell ref="K97:K98"/>
    <mergeCell ref="L97:L98"/>
    <mergeCell ref="M97:M98"/>
    <mergeCell ref="N97:N98"/>
    <mergeCell ref="O97:O98"/>
    <mergeCell ref="P97:P98"/>
    <mergeCell ref="Q97:Q98"/>
    <mergeCell ref="I95:I96"/>
    <mergeCell ref="J95:J96"/>
    <mergeCell ref="K95:K96"/>
    <mergeCell ref="L95:L96"/>
    <mergeCell ref="M95:M96"/>
    <mergeCell ref="N95:N96"/>
    <mergeCell ref="O95:O96"/>
    <mergeCell ref="P95:P96"/>
    <mergeCell ref="Q95:Q96"/>
    <mergeCell ref="I93:I94"/>
    <mergeCell ref="J93:J94"/>
    <mergeCell ref="K93:K94"/>
    <mergeCell ref="L93:L94"/>
    <mergeCell ref="M93:M94"/>
    <mergeCell ref="N93:N94"/>
    <mergeCell ref="O93:O94"/>
    <mergeCell ref="P93:P94"/>
    <mergeCell ref="Q93:Q94"/>
    <mergeCell ref="I91:I92"/>
    <mergeCell ref="J91:J92"/>
    <mergeCell ref="K91:K92"/>
    <mergeCell ref="L91:L92"/>
    <mergeCell ref="M91:M92"/>
    <mergeCell ref="N91:N92"/>
    <mergeCell ref="O91:O92"/>
    <mergeCell ref="P91:P92"/>
    <mergeCell ref="Q91:Q92"/>
    <mergeCell ref="I89:I90"/>
    <mergeCell ref="J89:J90"/>
    <mergeCell ref="K89:K90"/>
    <mergeCell ref="L89:L90"/>
    <mergeCell ref="M89:M90"/>
    <mergeCell ref="N89:N90"/>
    <mergeCell ref="O89:O90"/>
    <mergeCell ref="P89:P90"/>
    <mergeCell ref="Q89:Q90"/>
    <mergeCell ref="I85:I86"/>
    <mergeCell ref="J85:J86"/>
    <mergeCell ref="K85:K86"/>
    <mergeCell ref="L85:L86"/>
    <mergeCell ref="N85:N86"/>
    <mergeCell ref="O85:O86"/>
    <mergeCell ref="P85:P86"/>
    <mergeCell ref="Q85:Q86"/>
    <mergeCell ref="I87:I88"/>
    <mergeCell ref="J87:J88"/>
    <mergeCell ref="K87:K88"/>
    <mergeCell ref="L87:L88"/>
    <mergeCell ref="M87:M88"/>
    <mergeCell ref="N87:N88"/>
    <mergeCell ref="O87:O88"/>
    <mergeCell ref="P87:P88"/>
    <mergeCell ref="Q87:Q88"/>
    <mergeCell ref="I83:I84"/>
    <mergeCell ref="J83:J84"/>
    <mergeCell ref="K83:K84"/>
    <mergeCell ref="L83:L84"/>
    <mergeCell ref="M83:M84"/>
    <mergeCell ref="N83:N84"/>
    <mergeCell ref="O83:O84"/>
    <mergeCell ref="P83:P84"/>
    <mergeCell ref="Q83:Q84"/>
    <mergeCell ref="K79:K80"/>
    <mergeCell ref="L79:L80"/>
    <mergeCell ref="M79:M80"/>
    <mergeCell ref="N79:N80"/>
    <mergeCell ref="O79:O80"/>
    <mergeCell ref="P79:P80"/>
    <mergeCell ref="Q79:Q80"/>
    <mergeCell ref="I81:I82"/>
    <mergeCell ref="J81:J82"/>
    <mergeCell ref="K81:K82"/>
    <mergeCell ref="L81:L82"/>
    <mergeCell ref="M81:M82"/>
    <mergeCell ref="N81:N82"/>
    <mergeCell ref="O81:O82"/>
    <mergeCell ref="P81:P82"/>
    <mergeCell ref="Q81:Q82"/>
    <mergeCell ref="O75:O76"/>
    <mergeCell ref="P75:P76"/>
    <mergeCell ref="Q75:Q76"/>
    <mergeCell ref="I77:I78"/>
    <mergeCell ref="J77:J78"/>
    <mergeCell ref="K77:K78"/>
    <mergeCell ref="L77:L78"/>
    <mergeCell ref="M77:M78"/>
    <mergeCell ref="N77:N78"/>
    <mergeCell ref="O77:O78"/>
    <mergeCell ref="P77:P78"/>
    <mergeCell ref="Q77:Q78"/>
    <mergeCell ref="I73:I74"/>
    <mergeCell ref="J73:J74"/>
    <mergeCell ref="K73:K74"/>
    <mergeCell ref="L73:L74"/>
    <mergeCell ref="M73:M74"/>
    <mergeCell ref="N73:N74"/>
    <mergeCell ref="O73:O74"/>
    <mergeCell ref="P73:P74"/>
    <mergeCell ref="Q73:Q74"/>
    <mergeCell ref="J69:J70"/>
    <mergeCell ref="K69:K70"/>
    <mergeCell ref="L69:L70"/>
    <mergeCell ref="M69:M70"/>
    <mergeCell ref="N69:N70"/>
    <mergeCell ref="O69:O70"/>
    <mergeCell ref="P69:P70"/>
    <mergeCell ref="Q69:Q70"/>
    <mergeCell ref="I71:I72"/>
    <mergeCell ref="J71:J72"/>
    <mergeCell ref="K71:K72"/>
    <mergeCell ref="L71:L72"/>
    <mergeCell ref="M71:M72"/>
    <mergeCell ref="N71:N72"/>
    <mergeCell ref="O71:O72"/>
    <mergeCell ref="P71:P72"/>
    <mergeCell ref="Q71:Q72"/>
    <mergeCell ref="Q54:Q55"/>
    <mergeCell ref="P61:P62"/>
    <mergeCell ref="Q61:Q62"/>
    <mergeCell ref="P63:P64"/>
    <mergeCell ref="Q63:Q64"/>
    <mergeCell ref="AH82:AH83"/>
    <mergeCell ref="AI82:AI83"/>
    <mergeCell ref="AJ82:AJ83"/>
    <mergeCell ref="AJ74:AJ75"/>
    <mergeCell ref="AH76:AH77"/>
    <mergeCell ref="AI76:AI77"/>
    <mergeCell ref="AJ76:AJ77"/>
    <mergeCell ref="AI56:AI57"/>
    <mergeCell ref="AJ56:AJ57"/>
    <mergeCell ref="P65:P66"/>
    <mergeCell ref="Q65:Q66"/>
    <mergeCell ref="P67:P68"/>
    <mergeCell ref="Q67:Q68"/>
    <mergeCell ref="AK82:AK83"/>
    <mergeCell ref="AK80:AK81"/>
    <mergeCell ref="F82:F83"/>
    <mergeCell ref="AH80:AH81"/>
    <mergeCell ref="AI80:AI81"/>
    <mergeCell ref="AJ80:AJ81"/>
    <mergeCell ref="F76:F77"/>
    <mergeCell ref="F80:F81"/>
    <mergeCell ref="F78:F79"/>
    <mergeCell ref="I75:I76"/>
    <mergeCell ref="J75:J76"/>
    <mergeCell ref="K75:K76"/>
    <mergeCell ref="L75:L76"/>
    <mergeCell ref="M75:M76"/>
    <mergeCell ref="N75:N76"/>
    <mergeCell ref="I79:I80"/>
    <mergeCell ref="J79:J80"/>
    <mergeCell ref="AI78:AI79"/>
    <mergeCell ref="AJ78:AJ79"/>
    <mergeCell ref="AK78:AK79"/>
    <mergeCell ref="AH78:AH79"/>
    <mergeCell ref="AK74:AK75"/>
    <mergeCell ref="AH74:AH75"/>
    <mergeCell ref="AI74:AI75"/>
    <mergeCell ref="N65:N66"/>
    <mergeCell ref="F62:F63"/>
    <mergeCell ref="AK62:AK63"/>
    <mergeCell ref="M61:M62"/>
    <mergeCell ref="AK76:AK77"/>
    <mergeCell ref="AH70:AH71"/>
    <mergeCell ref="AI70:AI71"/>
    <mergeCell ref="AJ70:AJ71"/>
    <mergeCell ref="AK70:AK71"/>
    <mergeCell ref="F72:F73"/>
    <mergeCell ref="AI72:AI73"/>
    <mergeCell ref="AJ72:AJ73"/>
    <mergeCell ref="AK72:AK73"/>
    <mergeCell ref="F74:F75"/>
    <mergeCell ref="AH72:AH73"/>
    <mergeCell ref="O65:O66"/>
    <mergeCell ref="I67:I68"/>
    <mergeCell ref="J67:J68"/>
    <mergeCell ref="K67:K68"/>
    <mergeCell ref="L67:L68"/>
    <mergeCell ref="M67:M68"/>
    <mergeCell ref="N67:N68"/>
    <mergeCell ref="O67:O68"/>
    <mergeCell ref="I69:I70"/>
    <mergeCell ref="K54:K55"/>
    <mergeCell ref="L54:L55"/>
    <mergeCell ref="K52:K53"/>
    <mergeCell ref="L52:L53"/>
    <mergeCell ref="AK68:AK69"/>
    <mergeCell ref="F70:F71"/>
    <mergeCell ref="AH68:AH69"/>
    <mergeCell ref="AI68:AI69"/>
    <mergeCell ref="AJ68:AJ69"/>
    <mergeCell ref="F68:F69"/>
    <mergeCell ref="F66:F67"/>
    <mergeCell ref="F64:F65"/>
    <mergeCell ref="I63:I64"/>
    <mergeCell ref="J63:J64"/>
    <mergeCell ref="K63:K64"/>
    <mergeCell ref="L63:L64"/>
    <mergeCell ref="M63:M64"/>
    <mergeCell ref="N63:N64"/>
    <mergeCell ref="O63:O64"/>
    <mergeCell ref="I65:I66"/>
    <mergeCell ref="J65:J66"/>
    <mergeCell ref="K65:K66"/>
    <mergeCell ref="L65:L66"/>
    <mergeCell ref="M65:M66"/>
    <mergeCell ref="AK60:AK61"/>
    <mergeCell ref="AH60:AH61"/>
    <mergeCell ref="AI60:AI61"/>
    <mergeCell ref="AJ60:AJ61"/>
    <mergeCell ref="AI58:AI59"/>
    <mergeCell ref="AJ58:AJ59"/>
    <mergeCell ref="AK58:AK59"/>
    <mergeCell ref="AH58:AH59"/>
    <mergeCell ref="N58:N59"/>
    <mergeCell ref="O58:O59"/>
    <mergeCell ref="P58:P59"/>
    <mergeCell ref="Q58:Q59"/>
    <mergeCell ref="N61:N62"/>
    <mergeCell ref="O61:O62"/>
    <mergeCell ref="AK66:AK67"/>
    <mergeCell ref="AH62:AH63"/>
    <mergeCell ref="AI62:AI63"/>
    <mergeCell ref="AJ62:AJ63"/>
    <mergeCell ref="AI64:AI65"/>
    <mergeCell ref="AJ64:AJ65"/>
    <mergeCell ref="AK64:AK65"/>
    <mergeCell ref="AI66:AI67"/>
    <mergeCell ref="AJ66:AJ67"/>
    <mergeCell ref="AH66:AH67"/>
    <mergeCell ref="AH64:AH65"/>
    <mergeCell ref="AK56:AK57"/>
    <mergeCell ref="F58:F59"/>
    <mergeCell ref="J58:J59"/>
    <mergeCell ref="AK54:AK55"/>
    <mergeCell ref="F56:F57"/>
    <mergeCell ref="J56:J57"/>
    <mergeCell ref="K56:K57"/>
    <mergeCell ref="L56:L57"/>
    <mergeCell ref="M56:M57"/>
    <mergeCell ref="N56:N57"/>
    <mergeCell ref="M54:M55"/>
    <mergeCell ref="N54:N55"/>
    <mergeCell ref="O54:O55"/>
    <mergeCell ref="AH54:AH55"/>
    <mergeCell ref="AI54:AI55"/>
    <mergeCell ref="AJ54:AJ55"/>
    <mergeCell ref="P56:P57"/>
    <mergeCell ref="Q56:Q57"/>
    <mergeCell ref="P54:P55"/>
    <mergeCell ref="M58:M59"/>
    <mergeCell ref="AH56:AH57"/>
    <mergeCell ref="F54:F55"/>
    <mergeCell ref="I54:I55"/>
    <mergeCell ref="J54:J55"/>
    <mergeCell ref="AK48:AK49"/>
    <mergeCell ref="O48:O49"/>
    <mergeCell ref="AH48:AH49"/>
    <mergeCell ref="AI48:AI49"/>
    <mergeCell ref="AJ48:AJ49"/>
    <mergeCell ref="AK46:AK47"/>
    <mergeCell ref="P46:P47"/>
    <mergeCell ref="Q46:Q47"/>
    <mergeCell ref="AI46:AI47"/>
    <mergeCell ref="Q48:Q49"/>
    <mergeCell ref="AJ46:AJ47"/>
    <mergeCell ref="AI52:AI53"/>
    <mergeCell ref="AJ52:AJ53"/>
    <mergeCell ref="AK52:AK53"/>
    <mergeCell ref="O52:O53"/>
    <mergeCell ref="AH52:AH53"/>
    <mergeCell ref="O50:O51"/>
    <mergeCell ref="AH50:AH51"/>
    <mergeCell ref="AI50:AI51"/>
    <mergeCell ref="AJ50:AJ51"/>
    <mergeCell ref="AK50:AK51"/>
    <mergeCell ref="P50:P51"/>
    <mergeCell ref="Q50:Q51"/>
    <mergeCell ref="P52:P53"/>
    <mergeCell ref="Q52:Q53"/>
    <mergeCell ref="M52:M53"/>
    <mergeCell ref="N52:N53"/>
    <mergeCell ref="F52:F53"/>
    <mergeCell ref="I52:I53"/>
    <mergeCell ref="J52:J53"/>
    <mergeCell ref="O56:O57"/>
    <mergeCell ref="H52:H88"/>
    <mergeCell ref="G52:G88"/>
    <mergeCell ref="M50:M51"/>
    <mergeCell ref="N50:N51"/>
    <mergeCell ref="M85:M86"/>
    <mergeCell ref="F60:F61"/>
    <mergeCell ref="K58:K59"/>
    <mergeCell ref="L58:L59"/>
    <mergeCell ref="F50:F51"/>
    <mergeCell ref="I50:I51"/>
    <mergeCell ref="J50:J51"/>
    <mergeCell ref="K50:K51"/>
    <mergeCell ref="L50:L51"/>
    <mergeCell ref="I56:I59"/>
    <mergeCell ref="I61:I62"/>
    <mergeCell ref="J61:J62"/>
    <mergeCell ref="K61:K62"/>
    <mergeCell ref="L61:L62"/>
    <mergeCell ref="AJ36:AJ37"/>
    <mergeCell ref="AI40:AI41"/>
    <mergeCell ref="AJ40:AJ41"/>
    <mergeCell ref="AK40:AK41"/>
    <mergeCell ref="K40:K41"/>
    <mergeCell ref="M48:M49"/>
    <mergeCell ref="P40:P41"/>
    <mergeCell ref="Q40:Q41"/>
    <mergeCell ref="K48:K49"/>
    <mergeCell ref="L48:L49"/>
    <mergeCell ref="K46:K47"/>
    <mergeCell ref="L46:L47"/>
    <mergeCell ref="M46:M47"/>
    <mergeCell ref="O44:O45"/>
    <mergeCell ref="N46:N47"/>
    <mergeCell ref="O46:O47"/>
    <mergeCell ref="N48:N49"/>
    <mergeCell ref="K42:K43"/>
    <mergeCell ref="L42:L43"/>
    <mergeCell ref="P48:P49"/>
    <mergeCell ref="L40:L41"/>
    <mergeCell ref="M40:M41"/>
    <mergeCell ref="AH46:AH47"/>
    <mergeCell ref="AI44:AI45"/>
    <mergeCell ref="F44:F45"/>
    <mergeCell ref="I44:I45"/>
    <mergeCell ref="J44:J45"/>
    <mergeCell ref="K44:K45"/>
    <mergeCell ref="L44:L45"/>
    <mergeCell ref="M44:M45"/>
    <mergeCell ref="N44:N45"/>
    <mergeCell ref="M42:M43"/>
    <mergeCell ref="N42:N43"/>
    <mergeCell ref="F42:F43"/>
    <mergeCell ref="I42:I43"/>
    <mergeCell ref="H34:H51"/>
    <mergeCell ref="G34:G51"/>
    <mergeCell ref="F48:F49"/>
    <mergeCell ref="I48:I49"/>
    <mergeCell ref="J48:J49"/>
    <mergeCell ref="J42:J43"/>
    <mergeCell ref="F46:F47"/>
    <mergeCell ref="I46:I47"/>
    <mergeCell ref="J46:J47"/>
    <mergeCell ref="AI38:AI39"/>
    <mergeCell ref="AJ38:AJ39"/>
    <mergeCell ref="AK38:AK39"/>
    <mergeCell ref="AJ44:AJ45"/>
    <mergeCell ref="AK44:AK45"/>
    <mergeCell ref="AH44:AH45"/>
    <mergeCell ref="O38:O39"/>
    <mergeCell ref="AH38:AH39"/>
    <mergeCell ref="P42:P43"/>
    <mergeCell ref="Q42:Q43"/>
    <mergeCell ref="P44:P45"/>
    <mergeCell ref="Q44:Q45"/>
    <mergeCell ref="O40:O41"/>
    <mergeCell ref="AK42:AK43"/>
    <mergeCell ref="O42:O43"/>
    <mergeCell ref="AH42:AH43"/>
    <mergeCell ref="AI42:AI43"/>
    <mergeCell ref="AJ42:AJ43"/>
    <mergeCell ref="AH40:AH41"/>
    <mergeCell ref="AJ34:AJ35"/>
    <mergeCell ref="AK34:AK35"/>
    <mergeCell ref="F36:F37"/>
    <mergeCell ref="I36:I37"/>
    <mergeCell ref="J36:J37"/>
    <mergeCell ref="K36:K37"/>
    <mergeCell ref="L36:L37"/>
    <mergeCell ref="AK32:AK33"/>
    <mergeCell ref="F34:F35"/>
    <mergeCell ref="I34:I35"/>
    <mergeCell ref="J34:J35"/>
    <mergeCell ref="K34:K35"/>
    <mergeCell ref="L34:L35"/>
    <mergeCell ref="M34:M35"/>
    <mergeCell ref="N34:N35"/>
    <mergeCell ref="O34:O35"/>
    <mergeCell ref="M32:M33"/>
    <mergeCell ref="N32:N33"/>
    <mergeCell ref="O32:O33"/>
    <mergeCell ref="AH32:AH33"/>
    <mergeCell ref="AK36:AK37"/>
    <mergeCell ref="M36:M37"/>
    <mergeCell ref="N36:N37"/>
    <mergeCell ref="P34:P35"/>
    <mergeCell ref="P36:P37"/>
    <mergeCell ref="Q36:Q37"/>
    <mergeCell ref="P38:P39"/>
    <mergeCell ref="H14:H33"/>
    <mergeCell ref="G14:G33"/>
    <mergeCell ref="J14:J15"/>
    <mergeCell ref="K14:K15"/>
    <mergeCell ref="N40:N41"/>
    <mergeCell ref="P14:P15"/>
    <mergeCell ref="Q14:Q15"/>
    <mergeCell ref="P16:P17"/>
    <mergeCell ref="Q16:Q17"/>
    <mergeCell ref="P18:P19"/>
    <mergeCell ref="Q18:Q19"/>
    <mergeCell ref="P20:P21"/>
    <mergeCell ref="Q38:Q39"/>
    <mergeCell ref="AJ32:AJ33"/>
    <mergeCell ref="P32:P33"/>
    <mergeCell ref="Q32:Q33"/>
    <mergeCell ref="P28:P29"/>
    <mergeCell ref="Q28:Q29"/>
    <mergeCell ref="P30:P31"/>
    <mergeCell ref="Q30:Q31"/>
    <mergeCell ref="AI34:AI35"/>
    <mergeCell ref="F40:F41"/>
    <mergeCell ref="I40:I41"/>
    <mergeCell ref="J40:J41"/>
    <mergeCell ref="F38:F39"/>
    <mergeCell ref="I38:I39"/>
    <mergeCell ref="J38:J39"/>
    <mergeCell ref="K38:K39"/>
    <mergeCell ref="L38:L39"/>
    <mergeCell ref="M38:M39"/>
    <mergeCell ref="N38:N39"/>
    <mergeCell ref="AH36:AH37"/>
    <mergeCell ref="AI36:AI37"/>
    <mergeCell ref="O36:O37"/>
    <mergeCell ref="F32:F33"/>
    <mergeCell ref="I32:I33"/>
    <mergeCell ref="J32:J33"/>
    <mergeCell ref="A80:A81"/>
    <mergeCell ref="B80:B81"/>
    <mergeCell ref="C80:C81"/>
    <mergeCell ref="D80:D81"/>
    <mergeCell ref="E80:E81"/>
    <mergeCell ref="A82:A83"/>
    <mergeCell ref="B82:B83"/>
    <mergeCell ref="C82:C83"/>
    <mergeCell ref="D82:D83"/>
    <mergeCell ref="E82:E83"/>
    <mergeCell ref="A76:A77"/>
    <mergeCell ref="B76:B77"/>
    <mergeCell ref="C76:C77"/>
    <mergeCell ref="D76:D77"/>
    <mergeCell ref="E76:E77"/>
    <mergeCell ref="A78:A79"/>
    <mergeCell ref="B78:B79"/>
    <mergeCell ref="C78:C79"/>
    <mergeCell ref="D78:D79"/>
    <mergeCell ref="E78:E79"/>
    <mergeCell ref="A72:A73"/>
    <mergeCell ref="B72:B73"/>
    <mergeCell ref="C72:C73"/>
    <mergeCell ref="D72:D73"/>
    <mergeCell ref="E72:E73"/>
    <mergeCell ref="A74:A75"/>
    <mergeCell ref="B74:B75"/>
    <mergeCell ref="C74:C75"/>
    <mergeCell ref="D74:D75"/>
    <mergeCell ref="E74:E75"/>
    <mergeCell ref="A68:A69"/>
    <mergeCell ref="B68:B69"/>
    <mergeCell ref="C68:C69"/>
    <mergeCell ref="D68:D69"/>
    <mergeCell ref="E68:E69"/>
    <mergeCell ref="A70:A71"/>
    <mergeCell ref="B70:B71"/>
    <mergeCell ref="C70:C71"/>
    <mergeCell ref="D70:D71"/>
    <mergeCell ref="E70:E71"/>
    <mergeCell ref="A64:A65"/>
    <mergeCell ref="B64:B65"/>
    <mergeCell ref="C64:C65"/>
    <mergeCell ref="D64:D65"/>
    <mergeCell ref="E64:E65"/>
    <mergeCell ref="A66:A67"/>
    <mergeCell ref="B66:B67"/>
    <mergeCell ref="C66:C67"/>
    <mergeCell ref="D66:D67"/>
    <mergeCell ref="E66:E67"/>
    <mergeCell ref="A62:A63"/>
    <mergeCell ref="B62:B63"/>
    <mergeCell ref="C62:C63"/>
    <mergeCell ref="D62:D63"/>
    <mergeCell ref="E62:E63"/>
    <mergeCell ref="A58:A59"/>
    <mergeCell ref="B58:B59"/>
    <mergeCell ref="C58:C59"/>
    <mergeCell ref="D58:D59"/>
    <mergeCell ref="E58:E59"/>
    <mergeCell ref="A60:A61"/>
    <mergeCell ref="B60:B61"/>
    <mergeCell ref="C60:C61"/>
    <mergeCell ref="D60:D61"/>
    <mergeCell ref="E60:E61"/>
    <mergeCell ref="A54:A55"/>
    <mergeCell ref="B54:B55"/>
    <mergeCell ref="C54:C55"/>
    <mergeCell ref="D54:D55"/>
    <mergeCell ref="E54:E55"/>
    <mergeCell ref="A56:A57"/>
    <mergeCell ref="B56:B57"/>
    <mergeCell ref="C56:C57"/>
    <mergeCell ref="D56:D57"/>
    <mergeCell ref="E56:E57"/>
    <mergeCell ref="A50:A51"/>
    <mergeCell ref="B50:B51"/>
    <mergeCell ref="C50:C51"/>
    <mergeCell ref="D50:D51"/>
    <mergeCell ref="E50:E51"/>
    <mergeCell ref="A52:A53"/>
    <mergeCell ref="B52:B53"/>
    <mergeCell ref="C52:C53"/>
    <mergeCell ref="D52:D53"/>
    <mergeCell ref="E52:E53"/>
    <mergeCell ref="A48:A49"/>
    <mergeCell ref="B48:B49"/>
    <mergeCell ref="C48:C49"/>
    <mergeCell ref="D48:D49"/>
    <mergeCell ref="E48:E49"/>
    <mergeCell ref="A42:A43"/>
    <mergeCell ref="B42:B43"/>
    <mergeCell ref="C42:C43"/>
    <mergeCell ref="D42:D43"/>
    <mergeCell ref="E42:E43"/>
    <mergeCell ref="A44:A45"/>
    <mergeCell ref="B44:B45"/>
    <mergeCell ref="C44:C45"/>
    <mergeCell ref="D44:D45"/>
    <mergeCell ref="E44:E45"/>
    <mergeCell ref="A32:A33"/>
    <mergeCell ref="B32:B33"/>
    <mergeCell ref="C32:C33"/>
    <mergeCell ref="D32:D33"/>
    <mergeCell ref="E32:E33"/>
    <mergeCell ref="E34:E35"/>
    <mergeCell ref="A36:A37"/>
    <mergeCell ref="B36:B37"/>
    <mergeCell ref="A46:A47"/>
    <mergeCell ref="B46:B47"/>
    <mergeCell ref="C46:C47"/>
    <mergeCell ref="D46:D47"/>
    <mergeCell ref="E46:E47"/>
    <mergeCell ref="A38:A39"/>
    <mergeCell ref="B38:B39"/>
    <mergeCell ref="C38:C39"/>
    <mergeCell ref="D38:D39"/>
    <mergeCell ref="E38:E39"/>
    <mergeCell ref="A40:A41"/>
    <mergeCell ref="B40:B41"/>
    <mergeCell ref="C40:C41"/>
    <mergeCell ref="D40:D41"/>
    <mergeCell ref="E40:E41"/>
    <mergeCell ref="A34:A35"/>
    <mergeCell ref="B34:B35"/>
    <mergeCell ref="C34:C35"/>
    <mergeCell ref="D34:D35"/>
    <mergeCell ref="C30:C31"/>
    <mergeCell ref="O24:O25"/>
    <mergeCell ref="AH24:AH25"/>
    <mergeCell ref="AI24:AI25"/>
    <mergeCell ref="AJ24:AJ25"/>
    <mergeCell ref="AJ26:AJ27"/>
    <mergeCell ref="K30:K31"/>
    <mergeCell ref="L30:L31"/>
    <mergeCell ref="M30:M31"/>
    <mergeCell ref="F28:F29"/>
    <mergeCell ref="I28:I29"/>
    <mergeCell ref="J28:J29"/>
    <mergeCell ref="K28:K29"/>
    <mergeCell ref="O28:O29"/>
    <mergeCell ref="AH28:AH29"/>
    <mergeCell ref="L26:L27"/>
    <mergeCell ref="M26:M27"/>
    <mergeCell ref="N26:N27"/>
    <mergeCell ref="O26:O27"/>
    <mergeCell ref="AH26:AH27"/>
    <mergeCell ref="AI30:AI31"/>
    <mergeCell ref="AK26:AK27"/>
    <mergeCell ref="AI26:AI27"/>
    <mergeCell ref="A28:A29"/>
    <mergeCell ref="B28:B29"/>
    <mergeCell ref="C28:C29"/>
    <mergeCell ref="D28:D29"/>
    <mergeCell ref="E28:E29"/>
    <mergeCell ref="A30:A31"/>
    <mergeCell ref="B30:B31"/>
    <mergeCell ref="M28:M29"/>
    <mergeCell ref="N28:N29"/>
    <mergeCell ref="L28:L29"/>
    <mergeCell ref="N30:N31"/>
    <mergeCell ref="AJ30:AJ31"/>
    <mergeCell ref="AK30:AK31"/>
    <mergeCell ref="AI28:AI29"/>
    <mergeCell ref="AJ28:AJ29"/>
    <mergeCell ref="AK28:AK29"/>
    <mergeCell ref="O30:O31"/>
    <mergeCell ref="AH30:AH31"/>
    <mergeCell ref="A26:A27"/>
    <mergeCell ref="B26:B27"/>
    <mergeCell ref="C26:C27"/>
    <mergeCell ref="D26:D27"/>
    <mergeCell ref="AK22:AK23"/>
    <mergeCell ref="A24:A25"/>
    <mergeCell ref="B24:B25"/>
    <mergeCell ref="C24:C25"/>
    <mergeCell ref="D24:D25"/>
    <mergeCell ref="E24:E25"/>
    <mergeCell ref="F24:F25"/>
    <mergeCell ref="L22:L23"/>
    <mergeCell ref="M22:M23"/>
    <mergeCell ref="N22:N23"/>
    <mergeCell ref="O22:O23"/>
    <mergeCell ref="AH22:AH23"/>
    <mergeCell ref="AI22:AI23"/>
    <mergeCell ref="P22:P23"/>
    <mergeCell ref="Q22:Q23"/>
    <mergeCell ref="K22:K23"/>
    <mergeCell ref="AK24:AK25"/>
    <mergeCell ref="M24:M25"/>
    <mergeCell ref="N24:N25"/>
    <mergeCell ref="P24:P25"/>
    <mergeCell ref="Q24:Q25"/>
    <mergeCell ref="I24:I25"/>
    <mergeCell ref="J24:J25"/>
    <mergeCell ref="K24:K25"/>
    <mergeCell ref="B18:B19"/>
    <mergeCell ref="C18:C19"/>
    <mergeCell ref="D18:D19"/>
    <mergeCell ref="E18:E19"/>
    <mergeCell ref="A16:A17"/>
    <mergeCell ref="B16:B17"/>
    <mergeCell ref="C16:C17"/>
    <mergeCell ref="O20:O21"/>
    <mergeCell ref="AH20:AH21"/>
    <mergeCell ref="A18:A19"/>
    <mergeCell ref="D16:D17"/>
    <mergeCell ref="E16:E17"/>
    <mergeCell ref="F16:F17"/>
    <mergeCell ref="AJ20:AJ21"/>
    <mergeCell ref="AK20:AK21"/>
    <mergeCell ref="A22:A23"/>
    <mergeCell ref="B22:B23"/>
    <mergeCell ref="C22:C23"/>
    <mergeCell ref="D22:D23"/>
    <mergeCell ref="E22:E23"/>
    <mergeCell ref="I20:I21"/>
    <mergeCell ref="J20:J21"/>
    <mergeCell ref="K20:K21"/>
    <mergeCell ref="L20:L21"/>
    <mergeCell ref="M20:M21"/>
    <mergeCell ref="N20:N21"/>
    <mergeCell ref="A20:A21"/>
    <mergeCell ref="B20:B21"/>
    <mergeCell ref="C20:C21"/>
    <mergeCell ref="D20:D21"/>
    <mergeCell ref="E20:E21"/>
    <mergeCell ref="F20:F21"/>
    <mergeCell ref="Q20:Q21"/>
    <mergeCell ref="F22:F23"/>
    <mergeCell ref="I22:I23"/>
    <mergeCell ref="J22:J23"/>
    <mergeCell ref="AJ22:AJ23"/>
    <mergeCell ref="AJ14:AJ15"/>
    <mergeCell ref="A14:A15"/>
    <mergeCell ref="B14:B15"/>
    <mergeCell ref="C14:C15"/>
    <mergeCell ref="D14:D15"/>
    <mergeCell ref="E14:E15"/>
    <mergeCell ref="AJ18:AJ19"/>
    <mergeCell ref="AK14:AK15"/>
    <mergeCell ref="L14:L15"/>
    <mergeCell ref="M14:M15"/>
    <mergeCell ref="N14:N15"/>
    <mergeCell ref="O14:O15"/>
    <mergeCell ref="AH14:AH15"/>
    <mergeCell ref="AI14:AI15"/>
    <mergeCell ref="F14:F15"/>
    <mergeCell ref="I14:I15"/>
    <mergeCell ref="F18:F19"/>
    <mergeCell ref="I18:I19"/>
    <mergeCell ref="J18:J19"/>
    <mergeCell ref="K18:K19"/>
    <mergeCell ref="O16:O17"/>
    <mergeCell ref="AH16:AH17"/>
    <mergeCell ref="AI16:AI17"/>
    <mergeCell ref="AJ16:AJ17"/>
    <mergeCell ref="AK16:AK17"/>
    <mergeCell ref="I16:I17"/>
    <mergeCell ref="L18:L19"/>
    <mergeCell ref="M18:M19"/>
    <mergeCell ref="N18:N19"/>
    <mergeCell ref="O18:O19"/>
    <mergeCell ref="AH18:AH19"/>
    <mergeCell ref="AI18:AI19"/>
    <mergeCell ref="AK18:AK19"/>
    <mergeCell ref="J16:J17"/>
    <mergeCell ref="K16:K17"/>
    <mergeCell ref="L16:L17"/>
    <mergeCell ref="M16:M17"/>
    <mergeCell ref="N16:N17"/>
    <mergeCell ref="A1:C3"/>
    <mergeCell ref="D1:AK3"/>
    <mergeCell ref="A4:A5"/>
    <mergeCell ref="G4:G5"/>
    <mergeCell ref="A6:B10"/>
    <mergeCell ref="C6:D10"/>
    <mergeCell ref="E6:F10"/>
    <mergeCell ref="G6:G10"/>
    <mergeCell ref="H6:I10"/>
    <mergeCell ref="J6:J10"/>
    <mergeCell ref="AG6:AH10"/>
    <mergeCell ref="A12:A13"/>
    <mergeCell ref="B12:B13"/>
    <mergeCell ref="C12:C13"/>
    <mergeCell ref="D12:D13"/>
    <mergeCell ref="E12:E13"/>
    <mergeCell ref="F12:F13"/>
    <mergeCell ref="AC6:AF10"/>
    <mergeCell ref="J12:J13"/>
    <mergeCell ref="G11:Q11"/>
    <mergeCell ref="N6:Q10"/>
    <mergeCell ref="AA12:AA13"/>
    <mergeCell ref="AB12:AB13"/>
    <mergeCell ref="AC12:AC13"/>
    <mergeCell ref="AD12:AD13"/>
    <mergeCell ref="AE12:AE13"/>
    <mergeCell ref="AF12:AF13"/>
    <mergeCell ref="U12:U13"/>
    <mergeCell ref="V12:V13"/>
    <mergeCell ref="W12:W13"/>
    <mergeCell ref="X12:X13"/>
    <mergeCell ref="Y12:Y13"/>
    <mergeCell ref="Z12:Z13"/>
    <mergeCell ref="P12:P13"/>
    <mergeCell ref="Q12:Q13"/>
    <mergeCell ref="AJ12:AJ13"/>
    <mergeCell ref="AK12:AK13"/>
    <mergeCell ref="AI6:AI10"/>
    <mergeCell ref="AJ6:AJ10"/>
    <mergeCell ref="A11:F11"/>
    <mergeCell ref="R11:AG11"/>
    <mergeCell ref="AH11:AK11"/>
    <mergeCell ref="K6:L10"/>
    <mergeCell ref="M6:M10"/>
    <mergeCell ref="R6:T10"/>
    <mergeCell ref="U6:X10"/>
    <mergeCell ref="Y6:AB10"/>
    <mergeCell ref="AG12:AG13"/>
    <mergeCell ref="AH12:AH13"/>
    <mergeCell ref="M12:M13"/>
    <mergeCell ref="N12:N13"/>
    <mergeCell ref="O12:O13"/>
    <mergeCell ref="R12:R13"/>
    <mergeCell ref="S12:S13"/>
    <mergeCell ref="T12:T13"/>
    <mergeCell ref="G12:G13"/>
    <mergeCell ref="H12:H13"/>
    <mergeCell ref="I12:I13"/>
    <mergeCell ref="K12:K13"/>
    <mergeCell ref="C36:C37"/>
    <mergeCell ref="D36:D37"/>
    <mergeCell ref="E36:E37"/>
    <mergeCell ref="D30:D31"/>
    <mergeCell ref="E30:E31"/>
    <mergeCell ref="F30:F31"/>
    <mergeCell ref="I30:I31"/>
    <mergeCell ref="J30:J31"/>
    <mergeCell ref="AI12:AI13"/>
    <mergeCell ref="L12:L13"/>
    <mergeCell ref="AI20:AI21"/>
    <mergeCell ref="P26:P27"/>
    <mergeCell ref="Q26:Q27"/>
    <mergeCell ref="AI32:AI33"/>
    <mergeCell ref="K32:K33"/>
    <mergeCell ref="L32:L33"/>
    <mergeCell ref="AH34:AH35"/>
    <mergeCell ref="E26:E27"/>
    <mergeCell ref="L24:L25"/>
    <mergeCell ref="F26:F27"/>
    <mergeCell ref="I26:I27"/>
    <mergeCell ref="J26:J27"/>
    <mergeCell ref="K26:K27"/>
    <mergeCell ref="Q34:Q35"/>
  </mergeCells>
  <conditionalFormatting sqref="I4">
    <cfRule type="cellIs" dxfId="66" priority="16" operator="lessThanOrEqual">
      <formula>$C$4</formula>
    </cfRule>
  </conditionalFormatting>
  <conditionalFormatting sqref="J6 T14:T83">
    <cfRule type="cellIs" dxfId="65" priority="17" operator="greaterThanOrEqual">
      <formula>$C$5</formula>
    </cfRule>
    <cfRule type="cellIs" dxfId="64" priority="18" operator="lessThanOrEqual">
      <formula>$C$4</formula>
    </cfRule>
    <cfRule type="cellIs" dxfId="63" priority="19" operator="between">
      <formula>$C$5</formula>
      <formula>$C$4</formula>
    </cfRule>
  </conditionalFormatting>
  <conditionalFormatting sqref="R6">
    <cfRule type="cellIs" dxfId="62" priority="13" operator="greaterThanOrEqual">
      <formula>$I$5</formula>
    </cfRule>
    <cfRule type="cellIs" dxfId="61" priority="14" operator="lessThanOrEqual">
      <formula>$I$4</formula>
    </cfRule>
    <cfRule type="cellIs" dxfId="60" priority="15" operator="between">
      <formula>$I$5</formula>
      <formula>$I$4</formula>
    </cfRule>
  </conditionalFormatting>
  <conditionalFormatting sqref="Y6">
    <cfRule type="cellIs" dxfId="59" priority="7" operator="greaterThanOrEqual">
      <formula>$I$5</formula>
    </cfRule>
    <cfRule type="cellIs" dxfId="58" priority="8" operator="lessThanOrEqual">
      <formula>$I$4</formula>
    </cfRule>
    <cfRule type="cellIs" dxfId="57" priority="9" operator="between">
      <formula>$I$5</formula>
      <formula>$I$4</formula>
    </cfRule>
  </conditionalFormatting>
  <conditionalFormatting sqref="AG6">
    <cfRule type="cellIs" dxfId="56" priority="4" operator="greaterThanOrEqual">
      <formula>$I$5</formula>
    </cfRule>
    <cfRule type="cellIs" dxfId="55" priority="5" operator="lessThanOrEqual">
      <formula>$I$4</formula>
    </cfRule>
    <cfRule type="cellIs" dxfId="54" priority="6" operator="between">
      <formula>$I$5</formula>
      <formula>$I$4</formula>
    </cfRule>
  </conditionalFormatting>
  <conditionalFormatting sqref="AJ6">
    <cfRule type="cellIs" dxfId="53" priority="1" operator="greaterThanOrEqual">
      <formula>$I$5</formula>
    </cfRule>
    <cfRule type="cellIs" dxfId="52" priority="2" operator="lessThanOrEqual">
      <formula>$I$4</formula>
    </cfRule>
    <cfRule type="cellIs" dxfId="51" priority="3" operator="between">
      <formula>$I$5</formula>
      <formula>$I$4</formula>
    </cfRule>
  </conditionalFormatting>
  <dataValidations count="9">
    <dataValidation type="decimal" allowBlank="1" showInputMessage="1" showErrorMessage="1" prompt="% de avance en la actividad - indique el % programado de avance durante esta semana_x000a_" sqref="U14:W23 X62:AG62 X14:AA35 V37:AG37 V39 W38:AG39 V60 V40:AG59 X60:AG60 V61:AG61 V62 U25:U83 V25:W35 V36:AA36 V63:AG83 AB14:AG36" xr:uid="{3D26D235-6DEB-4658-ACD2-58B29B926DF1}">
      <formula1>0</formula1>
      <formula2>1</formula2>
    </dataValidation>
    <dataValidation type="decimal" allowBlank="1" showInputMessage="1" showErrorMessage="1" prompt="campo calculado  - indica el % de avance  que aporta la activadad a todo el proyecto" sqref="S21 S19 S17 S15 S25 S23 S27 S29 S31 S33 S35 S37 S39 S41 S43 S45 S47 S49 S51 S53 S55 S57 S59 S61 S63 S65 S67 S69 S71 S73 S75 S77 S79 S81 S83" xr:uid="{9805FBE6-07B9-488D-86A6-D547000F6BC2}">
      <formula1>0</formula1>
      <formula2>1</formula2>
    </dataValidation>
    <dataValidation type="decimal" allowBlank="1" showInputMessage="1" showErrorMessage="1" prompt="valor porcentual de la activida - Indique el peso porcentual de la actividad dentro del proyecto" sqref="S14 S22 S18 S16 S20 S26 S24 S28 S30 S32 S34 S36 S38 S40 S42 S44 S46 S48 S50 S52 S54 S56 S58 S60 S62 S64 S66 S68 S70 S72 S74 S76 S78 S80 S82" xr:uid="{1FCCBE25-3ED1-412D-99D4-C303D09A2096}">
      <formula1>0</formula1>
      <formula2>1</formula2>
    </dataValidation>
    <dataValidation allowBlank="1" showErrorMessage="1" sqref="T14:T83" xr:uid="{4A1F63CC-23A9-4C82-AB9F-59CC5AC82840}"/>
    <dataValidation type="list" allowBlank="1" showInputMessage="1" showErrorMessage="1" sqref="E14:E117" xr:uid="{1E79DAE7-6DA1-45D9-8621-62B8BC5433E3}">
      <formula1>$E$87:$E$105</formula1>
    </dataValidation>
    <dataValidation type="list" allowBlank="1" showInputMessage="1" showErrorMessage="1" sqref="D14:D117" xr:uid="{4FA17605-8518-4574-A1BC-32A372559630}">
      <formula1>$D$87:$D$93</formula1>
    </dataValidation>
    <dataValidation type="list" allowBlank="1" showInputMessage="1" showErrorMessage="1" sqref="C14:C117" xr:uid="{A63D2CAE-328F-47C1-B8D2-27E8CA3350FB}">
      <formula1>$C$87:$C$96</formula1>
    </dataValidation>
    <dataValidation type="list" allowBlank="1" showInputMessage="1" showErrorMessage="1" sqref="B14:B117" xr:uid="{DBE825F7-60D3-4959-86F7-466681C4491C}">
      <formula1>$B$87:$B$94</formula1>
    </dataValidation>
    <dataValidation type="list" allowBlank="1" showInputMessage="1" showErrorMessage="1" sqref="L14:L117" xr:uid="{F23C066B-5199-41DF-AA2B-A341FEA8616D}">
      <formula1>$G$118:$G$149</formula1>
    </dataValidation>
  </dataValidations>
  <pageMargins left="0.7" right="0.7" top="0.75" bottom="0.75" header="0.3" footer="0.3"/>
  <pageSetup scale="12" orientation="portrait" r:id="rId1"/>
  <headerFooter>
    <oddFooter>&amp;C_x000D_&amp;1#&amp;"Calibri"&amp;10&amp;K008000 DOCUMENTO PÚBLICO</oddFooter>
  </headerFooter>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69476-1993-4393-BAC7-AF45F5018B0D}">
  <dimension ref="A1:AO179"/>
  <sheetViews>
    <sheetView topLeftCell="D2" zoomScale="80" zoomScaleNormal="80" workbookViewId="0">
      <selection activeCell="L40" sqref="L40:L41"/>
    </sheetView>
  </sheetViews>
  <sheetFormatPr baseColWidth="10" defaultColWidth="11.453125" defaultRowHeight="14.5" x14ac:dyDescent="0.35"/>
  <cols>
    <col min="1" max="1" width="14.6328125" style="67" hidden="1" customWidth="1"/>
    <col min="2" max="3" width="30.453125" style="67" hidden="1" customWidth="1"/>
    <col min="4" max="4" width="11.54296875" style="67" customWidth="1"/>
    <col min="5" max="5" width="65.36328125" style="67" customWidth="1"/>
    <col min="6" max="7" width="59.54296875" style="67" customWidth="1"/>
    <col min="8" max="8" width="37.54296875" style="67" customWidth="1"/>
    <col min="9" max="9" width="33.90625" style="67" customWidth="1"/>
    <col min="10" max="10" width="38.54296875" style="67" bestFit="1" customWidth="1"/>
    <col min="11" max="11" width="41.36328125" style="67" customWidth="1"/>
    <col min="12" max="12" width="38.6328125" style="67" customWidth="1"/>
    <col min="13" max="13" width="52.6328125" style="67" customWidth="1"/>
    <col min="14" max="15" width="30.453125" style="67" customWidth="1"/>
    <col min="16" max="17" width="25.6328125" style="67" customWidth="1"/>
    <col min="18" max="18" width="26.6328125" style="67" hidden="1" customWidth="1"/>
    <col min="19" max="19" width="20.36328125" style="67" hidden="1" customWidth="1"/>
    <col min="20" max="22" width="30.453125" style="67" hidden="1" customWidth="1"/>
    <col min="23" max="24" width="25.54296875" style="67" hidden="1" customWidth="1"/>
    <col min="25" max="25" width="70.54296875" style="67" hidden="1" customWidth="1"/>
    <col min="26" max="27" width="25.54296875" style="67" hidden="1" customWidth="1"/>
    <col min="28" max="28" width="70.54296875" style="67" hidden="1" customWidth="1"/>
    <col min="29" max="30" width="25.54296875" style="67" hidden="1" customWidth="1"/>
    <col min="31" max="31" width="70.54296875" style="67" hidden="1" customWidth="1"/>
    <col min="32" max="33" width="0" style="67" hidden="1" customWidth="1"/>
    <col min="34" max="39" width="23.54296875" style="67" hidden="1" customWidth="1"/>
    <col min="40" max="16384" width="11.453125" style="67"/>
  </cols>
  <sheetData>
    <row r="1" spans="1:41" ht="14.9" hidden="1" customHeight="1" x14ac:dyDescent="0.35">
      <c r="A1" s="69"/>
      <c r="B1" s="70"/>
      <c r="C1" s="70"/>
      <c r="D1" s="70"/>
      <c r="E1" s="70"/>
      <c r="F1" s="785" t="s">
        <v>1424</v>
      </c>
      <c r="G1" s="785"/>
      <c r="H1" s="785"/>
      <c r="I1" s="785"/>
      <c r="J1" s="785"/>
      <c r="K1" s="785"/>
      <c r="L1" s="785"/>
      <c r="M1" s="785"/>
      <c r="N1" s="785"/>
      <c r="O1" s="785"/>
      <c r="P1" s="785"/>
      <c r="Q1" s="785"/>
      <c r="R1" s="785"/>
      <c r="S1" s="785"/>
      <c r="T1" s="785"/>
      <c r="U1" s="785"/>
      <c r="V1" s="785"/>
      <c r="W1" s="785"/>
      <c r="X1" s="785"/>
      <c r="Y1" s="785"/>
      <c r="Z1" s="785"/>
      <c r="AA1" s="785"/>
      <c r="AB1" s="785"/>
      <c r="AC1" s="785"/>
      <c r="AD1" s="785"/>
      <c r="AE1" s="785"/>
      <c r="AF1" s="800"/>
      <c r="AG1" s="789"/>
      <c r="AH1" s="72"/>
      <c r="AI1" s="72"/>
      <c r="AJ1" s="72"/>
      <c r="AK1" s="72"/>
      <c r="AL1" s="72"/>
      <c r="AM1" s="72"/>
      <c r="AN1" s="72"/>
      <c r="AO1" s="72"/>
    </row>
    <row r="2" spans="1:41" ht="14.9" customHeight="1" x14ac:dyDescent="0.35">
      <c r="A2" s="783"/>
      <c r="B2" s="784"/>
      <c r="C2" s="784"/>
      <c r="D2" s="784"/>
      <c r="E2" s="784"/>
      <c r="F2" s="786"/>
      <c r="G2" s="786"/>
      <c r="H2" s="786"/>
      <c r="I2" s="786"/>
      <c r="J2" s="786"/>
      <c r="K2" s="786"/>
      <c r="L2" s="786"/>
      <c r="M2" s="786"/>
      <c r="N2" s="786"/>
      <c r="O2" s="786"/>
      <c r="P2" s="786"/>
      <c r="Q2" s="786"/>
      <c r="R2" s="786"/>
      <c r="S2" s="786"/>
      <c r="T2" s="786"/>
      <c r="U2" s="786"/>
      <c r="V2" s="786"/>
      <c r="W2" s="786"/>
      <c r="X2" s="786"/>
      <c r="Y2" s="786"/>
      <c r="Z2" s="786"/>
      <c r="AA2" s="786"/>
      <c r="AB2" s="786"/>
      <c r="AC2" s="786"/>
      <c r="AD2" s="786"/>
      <c r="AE2" s="786"/>
      <c r="AF2" s="73"/>
      <c r="AG2" s="73"/>
      <c r="AH2" s="73"/>
      <c r="AI2" s="72"/>
      <c r="AJ2" s="72"/>
      <c r="AK2" s="72"/>
      <c r="AL2" s="72"/>
      <c r="AM2" s="72"/>
      <c r="AN2" s="72"/>
      <c r="AO2" s="72"/>
    </row>
    <row r="3" spans="1:41" ht="14.9" customHeight="1" x14ac:dyDescent="0.35">
      <c r="A3" s="783"/>
      <c r="B3" s="784"/>
      <c r="C3" s="784"/>
      <c r="D3" s="784"/>
      <c r="E3" s="784"/>
      <c r="F3" s="786"/>
      <c r="G3" s="786"/>
      <c r="H3" s="786"/>
      <c r="I3" s="786"/>
      <c r="J3" s="786"/>
      <c r="K3" s="786"/>
      <c r="L3" s="786"/>
      <c r="M3" s="786"/>
      <c r="N3" s="786"/>
      <c r="O3" s="786"/>
      <c r="P3" s="786"/>
      <c r="Q3" s="786"/>
      <c r="R3" s="786"/>
      <c r="S3" s="786"/>
      <c r="T3" s="786"/>
      <c r="U3" s="786"/>
      <c r="V3" s="786"/>
      <c r="W3" s="786"/>
      <c r="X3" s="786"/>
      <c r="Y3" s="786"/>
      <c r="Z3" s="786"/>
      <c r="AA3" s="786"/>
      <c r="AB3" s="786"/>
      <c r="AC3" s="786"/>
      <c r="AD3" s="786"/>
      <c r="AE3" s="786"/>
      <c r="AF3" s="73"/>
      <c r="AG3" s="73"/>
      <c r="AH3" s="73"/>
      <c r="AI3" s="72"/>
      <c r="AJ3" s="72"/>
      <c r="AK3" s="72"/>
      <c r="AL3" s="72"/>
      <c r="AM3" s="72"/>
      <c r="AN3" s="72"/>
      <c r="AO3" s="72"/>
    </row>
    <row r="4" spans="1:41" ht="14.9" customHeight="1" x14ac:dyDescent="0.35">
      <c r="A4" s="783"/>
      <c r="B4" s="784"/>
      <c r="C4" s="784"/>
      <c r="D4" s="784"/>
      <c r="E4" s="784"/>
      <c r="F4" s="786"/>
      <c r="G4" s="786"/>
      <c r="H4" s="786"/>
      <c r="I4" s="786"/>
      <c r="J4" s="786"/>
      <c r="K4" s="786"/>
      <c r="L4" s="786"/>
      <c r="M4" s="786"/>
      <c r="N4" s="786"/>
      <c r="O4" s="786"/>
      <c r="P4" s="786"/>
      <c r="Q4" s="786"/>
      <c r="R4" s="786"/>
      <c r="S4" s="786"/>
      <c r="T4" s="786"/>
      <c r="U4" s="786"/>
      <c r="V4" s="786"/>
      <c r="W4" s="786"/>
      <c r="X4" s="786"/>
      <c r="Y4" s="786"/>
      <c r="Z4" s="786"/>
      <c r="AA4" s="786"/>
      <c r="AB4" s="786"/>
      <c r="AC4" s="786"/>
      <c r="AD4" s="786"/>
      <c r="AE4" s="786"/>
      <c r="AF4" s="73"/>
      <c r="AG4" s="73"/>
      <c r="AH4" s="73"/>
      <c r="AI4" s="72"/>
      <c r="AJ4" s="72"/>
      <c r="AK4" s="72"/>
      <c r="AL4" s="72"/>
      <c r="AM4" s="72"/>
      <c r="AN4" s="72"/>
      <c r="AO4" s="72"/>
    </row>
    <row r="5" spans="1:41" ht="14.9" customHeight="1" x14ac:dyDescent="0.35">
      <c r="A5" s="783"/>
      <c r="B5" s="784"/>
      <c r="C5" s="784"/>
      <c r="D5" s="784"/>
      <c r="E5" s="784"/>
      <c r="F5" s="786"/>
      <c r="G5" s="786"/>
      <c r="H5" s="786"/>
      <c r="I5" s="786"/>
      <c r="J5" s="786"/>
      <c r="K5" s="786"/>
      <c r="L5" s="786"/>
      <c r="M5" s="786"/>
      <c r="N5" s="786"/>
      <c r="O5" s="786"/>
      <c r="P5" s="786"/>
      <c r="Q5" s="786"/>
      <c r="R5" s="786"/>
      <c r="S5" s="786"/>
      <c r="T5" s="786"/>
      <c r="U5" s="786"/>
      <c r="V5" s="786"/>
      <c r="W5" s="786"/>
      <c r="X5" s="786"/>
      <c r="Y5" s="786"/>
      <c r="Z5" s="786"/>
      <c r="AA5" s="786"/>
      <c r="AB5" s="786"/>
      <c r="AC5" s="786"/>
      <c r="AD5" s="786"/>
      <c r="AE5" s="786"/>
      <c r="AF5" s="73"/>
      <c r="AG5" s="73"/>
      <c r="AH5" s="73"/>
      <c r="AI5" s="72"/>
      <c r="AJ5" s="72"/>
      <c r="AK5" s="72"/>
      <c r="AL5" s="72"/>
      <c r="AM5" s="72"/>
      <c r="AN5" s="72"/>
      <c r="AO5" s="72"/>
    </row>
    <row r="6" spans="1:41" ht="14.9" customHeight="1" x14ac:dyDescent="0.35">
      <c r="A6" s="783"/>
      <c r="B6" s="784"/>
      <c r="C6" s="784"/>
      <c r="D6" s="784"/>
      <c r="E6" s="784"/>
      <c r="F6" s="786"/>
      <c r="G6" s="786"/>
      <c r="H6" s="786"/>
      <c r="I6" s="786"/>
      <c r="J6" s="786"/>
      <c r="K6" s="786"/>
      <c r="L6" s="786"/>
      <c r="M6" s="786"/>
      <c r="N6" s="786"/>
      <c r="O6" s="786"/>
      <c r="P6" s="786"/>
      <c r="Q6" s="786"/>
      <c r="R6" s="786"/>
      <c r="S6" s="786"/>
      <c r="T6" s="786"/>
      <c r="U6" s="786"/>
      <c r="V6" s="786"/>
      <c r="W6" s="786"/>
      <c r="X6" s="786"/>
      <c r="Y6" s="786"/>
      <c r="Z6" s="786"/>
      <c r="AA6" s="786"/>
      <c r="AB6" s="786"/>
      <c r="AC6" s="786"/>
      <c r="AD6" s="786"/>
      <c r="AE6" s="786"/>
      <c r="AF6" s="73"/>
      <c r="AG6" s="73"/>
      <c r="AH6" s="73"/>
      <c r="AI6" s="72"/>
      <c r="AJ6" s="72"/>
      <c r="AK6" s="72"/>
      <c r="AL6" s="72"/>
      <c r="AM6" s="72"/>
      <c r="AN6" s="72"/>
      <c r="AO6" s="72"/>
    </row>
    <row r="7" spans="1:41" ht="14.9" customHeight="1" x14ac:dyDescent="0.35">
      <c r="A7" s="783"/>
      <c r="B7" s="784"/>
      <c r="C7" s="784"/>
      <c r="D7" s="784"/>
      <c r="E7" s="784"/>
      <c r="F7" s="786"/>
      <c r="G7" s="786"/>
      <c r="H7" s="786"/>
      <c r="I7" s="786"/>
      <c r="J7" s="786"/>
      <c r="K7" s="786"/>
      <c r="L7" s="786"/>
      <c r="M7" s="786"/>
      <c r="N7" s="786"/>
      <c r="O7" s="786"/>
      <c r="P7" s="786"/>
      <c r="Q7" s="786"/>
      <c r="R7" s="786"/>
      <c r="S7" s="786"/>
      <c r="T7" s="786"/>
      <c r="U7" s="786"/>
      <c r="V7" s="786"/>
      <c r="W7" s="786"/>
      <c r="X7" s="786"/>
      <c r="Y7" s="786"/>
      <c r="Z7" s="786"/>
      <c r="AA7" s="786"/>
      <c r="AB7" s="786"/>
      <c r="AC7" s="786"/>
      <c r="AD7" s="786"/>
      <c r="AE7" s="786"/>
      <c r="AF7" s="73"/>
      <c r="AG7" s="73"/>
      <c r="AH7" s="73"/>
      <c r="AI7" s="72"/>
      <c r="AJ7" s="72"/>
      <c r="AK7" s="72"/>
      <c r="AL7" s="72"/>
      <c r="AM7" s="72"/>
      <c r="AN7" s="72"/>
      <c r="AO7" s="72"/>
    </row>
    <row r="8" spans="1:41" ht="14.9" customHeight="1" x14ac:dyDescent="0.35">
      <c r="A8" s="783"/>
      <c r="B8" s="784"/>
      <c r="C8" s="784"/>
      <c r="D8" s="784"/>
      <c r="E8" s="784"/>
      <c r="F8" s="786"/>
      <c r="G8" s="786"/>
      <c r="H8" s="786"/>
      <c r="I8" s="786"/>
      <c r="J8" s="786"/>
      <c r="K8" s="786"/>
      <c r="L8" s="786"/>
      <c r="M8" s="786"/>
      <c r="N8" s="786"/>
      <c r="O8" s="786"/>
      <c r="P8" s="786"/>
      <c r="Q8" s="786"/>
      <c r="R8" s="786"/>
      <c r="S8" s="786"/>
      <c r="T8" s="786"/>
      <c r="U8" s="786"/>
      <c r="V8" s="786"/>
      <c r="W8" s="786"/>
      <c r="X8" s="786"/>
      <c r="Y8" s="786"/>
      <c r="Z8" s="786"/>
      <c r="AA8" s="786"/>
      <c r="AB8" s="786"/>
      <c r="AC8" s="786"/>
      <c r="AD8" s="786"/>
      <c r="AE8" s="786"/>
      <c r="AF8" s="73"/>
      <c r="AG8" s="73"/>
      <c r="AH8" s="73"/>
      <c r="AI8" s="72"/>
      <c r="AJ8" s="72"/>
      <c r="AK8" s="72"/>
      <c r="AL8" s="72"/>
      <c r="AM8" s="72"/>
      <c r="AN8" s="72"/>
      <c r="AO8" s="72"/>
    </row>
    <row r="9" spans="1:41" ht="14.9" customHeight="1" x14ac:dyDescent="0.35">
      <c r="A9" s="783"/>
      <c r="B9" s="784"/>
      <c r="C9" s="784"/>
      <c r="D9" s="784"/>
      <c r="E9" s="784"/>
      <c r="F9" s="786"/>
      <c r="G9" s="786"/>
      <c r="H9" s="786"/>
      <c r="I9" s="786"/>
      <c r="J9" s="786"/>
      <c r="K9" s="786"/>
      <c r="L9" s="786"/>
      <c r="M9" s="786"/>
      <c r="N9" s="786"/>
      <c r="O9" s="786"/>
      <c r="P9" s="786"/>
      <c r="Q9" s="786"/>
      <c r="R9" s="786"/>
      <c r="S9" s="786"/>
      <c r="T9" s="786"/>
      <c r="U9" s="786"/>
      <c r="V9" s="786"/>
      <c r="W9" s="786"/>
      <c r="X9" s="786"/>
      <c r="Y9" s="786"/>
      <c r="Z9" s="786"/>
      <c r="AA9" s="786"/>
      <c r="AB9" s="786"/>
      <c r="AC9" s="786"/>
      <c r="AD9" s="786"/>
      <c r="AE9" s="786"/>
      <c r="AF9" s="73"/>
      <c r="AG9" s="73"/>
      <c r="AH9" s="73"/>
      <c r="AI9" s="72"/>
      <c r="AJ9" s="72"/>
      <c r="AK9" s="72"/>
      <c r="AL9" s="72"/>
      <c r="AM9" s="72"/>
      <c r="AN9" s="72"/>
      <c r="AO9" s="72"/>
    </row>
    <row r="10" spans="1:41" ht="14.9" hidden="1" customHeight="1" x14ac:dyDescent="0.35">
      <c r="A10" s="71"/>
      <c r="B10" s="72"/>
      <c r="C10" s="72"/>
      <c r="D10" s="72"/>
      <c r="E10" s="72"/>
      <c r="F10" s="72"/>
      <c r="G10" s="72"/>
      <c r="H10" s="72"/>
      <c r="I10" s="72"/>
      <c r="J10" s="72"/>
      <c r="K10" s="609" t="s">
        <v>38</v>
      </c>
      <c r="L10" s="811" t="s">
        <v>39</v>
      </c>
      <c r="M10" s="812"/>
      <c r="N10" s="813"/>
      <c r="O10" s="807"/>
      <c r="P10" s="808"/>
      <c r="Q10" s="808"/>
      <c r="R10" s="808"/>
      <c r="S10" s="808"/>
      <c r="T10" s="808"/>
      <c r="U10" s="808"/>
      <c r="V10" s="808"/>
      <c r="W10" s="808"/>
      <c r="X10" s="808"/>
      <c r="Y10" s="808"/>
      <c r="Z10" s="808"/>
      <c r="AA10" s="808"/>
      <c r="AB10" s="808"/>
      <c r="AC10" s="808"/>
      <c r="AD10" s="808"/>
      <c r="AE10" s="808"/>
      <c r="AF10" s="73"/>
      <c r="AG10" s="73"/>
      <c r="AH10" s="73"/>
      <c r="AI10" s="72"/>
      <c r="AJ10" s="72"/>
      <c r="AK10" s="72"/>
      <c r="AL10" s="72"/>
      <c r="AM10" s="72"/>
      <c r="AN10" s="72"/>
      <c r="AO10" s="72"/>
    </row>
    <row r="11" spans="1:41" ht="14.9" hidden="1" customHeight="1" thickBot="1" x14ac:dyDescent="0.4">
      <c r="A11" s="74"/>
      <c r="B11" s="75"/>
      <c r="C11" s="75"/>
      <c r="D11" s="75"/>
      <c r="E11" s="75"/>
      <c r="F11" s="75"/>
      <c r="G11" s="75"/>
      <c r="H11" s="75"/>
      <c r="I11" s="75"/>
      <c r="J11" s="75"/>
      <c r="K11" s="615"/>
      <c r="L11" s="814"/>
      <c r="M11" s="815"/>
      <c r="N11" s="816"/>
      <c r="O11" s="809"/>
      <c r="P11" s="810"/>
      <c r="Q11" s="810"/>
      <c r="R11" s="810"/>
      <c r="S11" s="810"/>
      <c r="T11" s="810"/>
      <c r="U11" s="810"/>
      <c r="V11" s="810"/>
      <c r="W11" s="810"/>
      <c r="X11" s="810"/>
      <c r="Y11" s="810"/>
      <c r="Z11" s="810"/>
      <c r="AA11" s="810"/>
      <c r="AB11" s="810"/>
      <c r="AC11" s="810"/>
      <c r="AD11" s="810"/>
      <c r="AE11" s="810"/>
      <c r="AF11" s="76"/>
      <c r="AG11" s="72"/>
      <c r="AH11" s="72"/>
      <c r="AI11" s="72"/>
      <c r="AJ11" s="72"/>
      <c r="AK11" s="72"/>
      <c r="AL11" s="72"/>
      <c r="AM11" s="72"/>
      <c r="AN11" s="72"/>
      <c r="AO11" s="72"/>
    </row>
    <row r="12" spans="1:41" ht="23.9" hidden="1" customHeight="1" thickBot="1" x14ac:dyDescent="0.4">
      <c r="A12" s="77"/>
      <c r="B12" s="77"/>
      <c r="C12" s="801"/>
      <c r="D12" s="802"/>
      <c r="E12" s="802"/>
      <c r="F12" s="802"/>
      <c r="G12" s="802"/>
      <c r="H12" s="802"/>
      <c r="I12" s="803"/>
      <c r="J12" s="230"/>
      <c r="K12" s="801"/>
      <c r="L12" s="802"/>
      <c r="M12" s="802"/>
      <c r="N12" s="802"/>
      <c r="O12" s="802"/>
      <c r="P12" s="802"/>
      <c r="Q12" s="802"/>
      <c r="R12" s="802"/>
      <c r="S12" s="802"/>
      <c r="T12" s="802"/>
      <c r="U12" s="802"/>
      <c r="V12" s="802"/>
      <c r="W12" s="802"/>
      <c r="X12" s="802"/>
      <c r="Y12" s="802"/>
      <c r="Z12" s="802"/>
      <c r="AA12" s="802"/>
      <c r="AB12" s="802"/>
      <c r="AC12" s="802"/>
      <c r="AD12" s="802"/>
      <c r="AE12" s="802"/>
      <c r="AF12" s="789"/>
      <c r="AG12" s="789"/>
      <c r="AH12" s="72"/>
      <c r="AI12" s="72"/>
      <c r="AJ12" s="72"/>
      <c r="AK12" s="72"/>
      <c r="AL12" s="72"/>
      <c r="AM12" s="72"/>
      <c r="AN12" s="72"/>
      <c r="AO12" s="72"/>
    </row>
    <row r="13" spans="1:41" ht="18.649999999999999" hidden="1" customHeight="1" thickBot="1" x14ac:dyDescent="0.4">
      <c r="A13" s="78"/>
      <c r="B13" s="78"/>
      <c r="C13" s="804"/>
      <c r="D13" s="805"/>
      <c r="E13" s="805"/>
      <c r="F13" s="805"/>
      <c r="G13" s="805"/>
      <c r="H13" s="805"/>
      <c r="I13" s="806"/>
      <c r="J13" s="238"/>
      <c r="K13" s="804"/>
      <c r="L13" s="805"/>
      <c r="M13" s="805"/>
      <c r="N13" s="805"/>
      <c r="O13" s="805"/>
      <c r="P13" s="805"/>
      <c r="Q13" s="805"/>
      <c r="R13" s="805"/>
      <c r="S13" s="805"/>
      <c r="T13" s="805"/>
      <c r="U13" s="805"/>
      <c r="V13" s="805"/>
      <c r="W13" s="805"/>
      <c r="X13" s="805"/>
      <c r="Y13" s="805"/>
      <c r="Z13" s="805"/>
      <c r="AA13" s="805"/>
      <c r="AB13" s="805"/>
      <c r="AC13" s="805"/>
      <c r="AD13" s="805"/>
      <c r="AE13" s="805"/>
      <c r="AF13" s="789"/>
      <c r="AG13" s="789"/>
      <c r="AH13" s="72"/>
      <c r="AI13" s="72"/>
      <c r="AJ13" s="72"/>
      <c r="AK13" s="72"/>
      <c r="AL13" s="72"/>
      <c r="AM13" s="72"/>
      <c r="AN13" s="72"/>
      <c r="AO13" s="72"/>
    </row>
    <row r="14" spans="1:41" ht="18.649999999999999" hidden="1" customHeight="1" thickBot="1" x14ac:dyDescent="0.4">
      <c r="A14" s="78"/>
      <c r="B14" s="78"/>
      <c r="C14" s="804"/>
      <c r="D14" s="805"/>
      <c r="E14" s="805"/>
      <c r="F14" s="805"/>
      <c r="G14" s="805"/>
      <c r="H14" s="805"/>
      <c r="I14" s="806"/>
      <c r="J14" s="238"/>
      <c r="K14" s="804"/>
      <c r="L14" s="805"/>
      <c r="M14" s="805"/>
      <c r="N14" s="805"/>
      <c r="O14" s="805"/>
      <c r="P14" s="805"/>
      <c r="Q14" s="805"/>
      <c r="R14" s="805"/>
      <c r="S14" s="805"/>
      <c r="T14" s="805"/>
      <c r="U14" s="805"/>
      <c r="V14" s="805"/>
      <c r="W14" s="805"/>
      <c r="X14" s="805"/>
      <c r="Y14" s="805"/>
      <c r="Z14" s="805"/>
      <c r="AA14" s="805"/>
      <c r="AB14" s="805"/>
      <c r="AC14" s="805"/>
      <c r="AD14" s="805"/>
      <c r="AE14" s="805"/>
      <c r="AF14" s="789"/>
      <c r="AG14" s="789"/>
      <c r="AH14" s="72"/>
      <c r="AI14" s="72"/>
      <c r="AJ14" s="72"/>
      <c r="AK14" s="72"/>
      <c r="AL14" s="72"/>
      <c r="AM14" s="72"/>
      <c r="AN14" s="72"/>
      <c r="AO14" s="72"/>
    </row>
    <row r="15" spans="1:41" ht="18.649999999999999" hidden="1" customHeight="1" thickBot="1" x14ac:dyDescent="0.4">
      <c r="A15" s="78"/>
      <c r="B15" s="78"/>
      <c r="C15" s="804"/>
      <c r="D15" s="805"/>
      <c r="E15" s="805"/>
      <c r="F15" s="805"/>
      <c r="G15" s="805"/>
      <c r="H15" s="805"/>
      <c r="I15" s="806"/>
      <c r="J15" s="238"/>
      <c r="K15" s="804"/>
      <c r="L15" s="805"/>
      <c r="M15" s="805"/>
      <c r="N15" s="805"/>
      <c r="O15" s="805"/>
      <c r="P15" s="805"/>
      <c r="Q15" s="805"/>
      <c r="R15" s="805"/>
      <c r="S15" s="805"/>
      <c r="T15" s="805"/>
      <c r="U15" s="805"/>
      <c r="V15" s="805"/>
      <c r="W15" s="805"/>
      <c r="X15" s="805"/>
      <c r="Y15" s="805"/>
      <c r="Z15" s="805"/>
      <c r="AA15" s="805"/>
      <c r="AB15" s="805"/>
      <c r="AC15" s="805"/>
      <c r="AD15" s="805"/>
      <c r="AE15" s="805"/>
      <c r="AF15" s="789"/>
      <c r="AG15" s="789"/>
      <c r="AH15" s="72"/>
      <c r="AI15" s="72"/>
      <c r="AJ15" s="72"/>
      <c r="AK15" s="72"/>
      <c r="AL15" s="72"/>
      <c r="AM15" s="72"/>
      <c r="AN15" s="72"/>
      <c r="AO15" s="72"/>
    </row>
    <row r="16" spans="1:41" ht="18.649999999999999" hidden="1" customHeight="1" thickBot="1" x14ac:dyDescent="0.4">
      <c r="A16" s="78"/>
      <c r="B16" s="78"/>
      <c r="C16" s="804"/>
      <c r="D16" s="805"/>
      <c r="E16" s="805"/>
      <c r="F16" s="805"/>
      <c r="G16" s="805"/>
      <c r="H16" s="805"/>
      <c r="I16" s="806"/>
      <c r="J16" s="238"/>
      <c r="K16" s="804"/>
      <c r="L16" s="805"/>
      <c r="M16" s="805"/>
      <c r="N16" s="805"/>
      <c r="O16" s="805"/>
      <c r="P16" s="805"/>
      <c r="Q16" s="805"/>
      <c r="R16" s="805"/>
      <c r="S16" s="805"/>
      <c r="T16" s="805"/>
      <c r="U16" s="805"/>
      <c r="V16" s="805"/>
      <c r="W16" s="805"/>
      <c r="X16" s="805"/>
      <c r="Y16" s="805"/>
      <c r="Z16" s="805"/>
      <c r="AA16" s="805"/>
      <c r="AB16" s="805"/>
      <c r="AC16" s="805"/>
      <c r="AD16" s="805"/>
      <c r="AE16" s="805"/>
      <c r="AF16" s="789"/>
      <c r="AG16" s="789"/>
      <c r="AH16" s="72"/>
      <c r="AI16" s="72"/>
      <c r="AJ16" s="72"/>
      <c r="AK16" s="72"/>
      <c r="AL16" s="72"/>
      <c r="AM16" s="72"/>
      <c r="AN16" s="72"/>
      <c r="AO16" s="72"/>
    </row>
    <row r="17" spans="1:41" ht="18.649999999999999" hidden="1" customHeight="1" thickBot="1" x14ac:dyDescent="0.4">
      <c r="A17" s="78"/>
      <c r="B17" s="78"/>
      <c r="C17" s="804"/>
      <c r="D17" s="805"/>
      <c r="E17" s="805"/>
      <c r="F17" s="805"/>
      <c r="G17" s="805"/>
      <c r="H17" s="805"/>
      <c r="I17" s="806"/>
      <c r="J17" s="238"/>
      <c r="K17" s="804"/>
      <c r="L17" s="805"/>
      <c r="M17" s="805"/>
      <c r="N17" s="805"/>
      <c r="O17" s="805"/>
      <c r="P17" s="805"/>
      <c r="Q17" s="805"/>
      <c r="R17" s="805"/>
      <c r="S17" s="805"/>
      <c r="T17" s="805"/>
      <c r="U17" s="805"/>
      <c r="V17" s="805"/>
      <c r="W17" s="805"/>
      <c r="X17" s="805"/>
      <c r="Y17" s="805"/>
      <c r="Z17" s="805"/>
      <c r="AA17" s="805"/>
      <c r="AB17" s="805"/>
      <c r="AC17" s="805"/>
      <c r="AD17" s="805"/>
      <c r="AE17" s="805"/>
      <c r="AF17" s="789"/>
      <c r="AG17" s="789"/>
      <c r="AH17" s="72"/>
      <c r="AI17" s="72"/>
      <c r="AJ17" s="72"/>
      <c r="AK17" s="72"/>
      <c r="AL17" s="72"/>
      <c r="AM17" s="72"/>
      <c r="AN17" s="72"/>
      <c r="AO17" s="72"/>
    </row>
    <row r="18" spans="1:41" ht="18.649999999999999" hidden="1" customHeight="1" thickBot="1" x14ac:dyDescent="0.4">
      <c r="A18" s="78"/>
      <c r="B18" s="78"/>
      <c r="C18" s="804"/>
      <c r="D18" s="805"/>
      <c r="E18" s="805"/>
      <c r="F18" s="805"/>
      <c r="G18" s="805"/>
      <c r="H18" s="805"/>
      <c r="I18" s="806"/>
      <c r="J18" s="238"/>
      <c r="K18" s="804"/>
      <c r="L18" s="805"/>
      <c r="M18" s="805"/>
      <c r="N18" s="805"/>
      <c r="O18" s="805"/>
      <c r="P18" s="805"/>
      <c r="Q18" s="805"/>
      <c r="R18" s="805"/>
      <c r="S18" s="805"/>
      <c r="T18" s="805"/>
      <c r="U18" s="805"/>
      <c r="V18" s="805"/>
      <c r="W18" s="805"/>
      <c r="X18" s="805"/>
      <c r="Y18" s="805"/>
      <c r="Z18" s="805"/>
      <c r="AA18" s="805"/>
      <c r="AB18" s="805"/>
      <c r="AC18" s="805"/>
      <c r="AD18" s="805"/>
      <c r="AE18" s="805"/>
      <c r="AF18" s="789"/>
      <c r="AG18" s="789"/>
      <c r="AH18" s="72"/>
      <c r="AI18" s="72"/>
      <c r="AJ18" s="72"/>
      <c r="AK18" s="72"/>
      <c r="AL18" s="72"/>
      <c r="AM18" s="72"/>
      <c r="AN18" s="72"/>
      <c r="AO18" s="72"/>
    </row>
    <row r="19" spans="1:41" ht="18.649999999999999" hidden="1" customHeight="1" thickBot="1" x14ac:dyDescent="0.4">
      <c r="A19" s="78"/>
      <c r="B19" s="78"/>
      <c r="C19" s="804"/>
      <c r="D19" s="805"/>
      <c r="E19" s="805"/>
      <c r="F19" s="805"/>
      <c r="G19" s="805"/>
      <c r="H19" s="805"/>
      <c r="I19" s="806"/>
      <c r="J19" s="238"/>
      <c r="K19" s="804"/>
      <c r="L19" s="805"/>
      <c r="M19" s="805"/>
      <c r="N19" s="805"/>
      <c r="O19" s="805"/>
      <c r="P19" s="805"/>
      <c r="Q19" s="805"/>
      <c r="R19" s="805"/>
      <c r="S19" s="805"/>
      <c r="T19" s="805"/>
      <c r="U19" s="805"/>
      <c r="V19" s="805"/>
      <c r="W19" s="805"/>
      <c r="X19" s="805"/>
      <c r="Y19" s="805"/>
      <c r="Z19" s="805"/>
      <c r="AA19" s="805"/>
      <c r="AB19" s="805"/>
      <c r="AC19" s="805"/>
      <c r="AD19" s="805"/>
      <c r="AE19" s="805"/>
      <c r="AF19" s="789"/>
      <c r="AG19" s="789"/>
      <c r="AH19" s="72"/>
      <c r="AI19" s="72"/>
      <c r="AJ19" s="72"/>
      <c r="AK19" s="72"/>
      <c r="AL19" s="72"/>
      <c r="AM19" s="72"/>
      <c r="AN19" s="72"/>
      <c r="AO19" s="72"/>
    </row>
    <row r="20" spans="1:41" ht="18.649999999999999" hidden="1" customHeight="1" thickBot="1" x14ac:dyDescent="0.4">
      <c r="A20" s="78"/>
      <c r="B20" s="78"/>
      <c r="C20" s="804"/>
      <c r="D20" s="805"/>
      <c r="E20" s="805"/>
      <c r="F20" s="805"/>
      <c r="G20" s="805"/>
      <c r="H20" s="805"/>
      <c r="I20" s="806"/>
      <c r="J20" s="238"/>
      <c r="K20" s="804"/>
      <c r="L20" s="805"/>
      <c r="M20" s="805"/>
      <c r="N20" s="805"/>
      <c r="O20" s="805"/>
      <c r="P20" s="805"/>
      <c r="Q20" s="805"/>
      <c r="R20" s="805"/>
      <c r="S20" s="805"/>
      <c r="T20" s="805"/>
      <c r="U20" s="805"/>
      <c r="V20" s="805"/>
      <c r="W20" s="805"/>
      <c r="X20" s="805"/>
      <c r="Y20" s="805"/>
      <c r="Z20" s="805"/>
      <c r="AA20" s="805"/>
      <c r="AB20" s="805"/>
      <c r="AC20" s="805"/>
      <c r="AD20" s="805"/>
      <c r="AE20" s="805"/>
      <c r="AF20" s="789"/>
      <c r="AG20" s="789"/>
      <c r="AH20" s="72"/>
      <c r="AI20" s="72"/>
      <c r="AJ20" s="72"/>
      <c r="AK20" s="72"/>
      <c r="AL20" s="72"/>
      <c r="AM20" s="72"/>
      <c r="AN20" s="72"/>
      <c r="AO20" s="72"/>
    </row>
    <row r="21" spans="1:41" ht="18.649999999999999" hidden="1" customHeight="1" thickBot="1" x14ac:dyDescent="0.4">
      <c r="A21" s="78"/>
      <c r="B21" s="78"/>
      <c r="C21" s="804"/>
      <c r="D21" s="805"/>
      <c r="E21" s="805"/>
      <c r="F21" s="805"/>
      <c r="G21" s="805"/>
      <c r="H21" s="805"/>
      <c r="I21" s="806"/>
      <c r="J21" s="238"/>
      <c r="K21" s="804"/>
      <c r="L21" s="805"/>
      <c r="M21" s="805"/>
      <c r="N21" s="805"/>
      <c r="O21" s="805"/>
      <c r="P21" s="805"/>
      <c r="Q21" s="805"/>
      <c r="R21" s="805"/>
      <c r="S21" s="805"/>
      <c r="T21" s="805"/>
      <c r="U21" s="805"/>
      <c r="V21" s="805"/>
      <c r="W21" s="805"/>
      <c r="X21" s="805"/>
      <c r="Y21" s="805"/>
      <c r="Z21" s="805"/>
      <c r="AA21" s="805"/>
      <c r="AB21" s="805"/>
      <c r="AC21" s="805"/>
      <c r="AD21" s="805"/>
      <c r="AE21" s="805"/>
      <c r="AF21" s="789"/>
      <c r="AG21" s="789"/>
      <c r="AH21" s="72"/>
      <c r="AI21" s="72"/>
      <c r="AJ21" s="72"/>
      <c r="AK21" s="72"/>
      <c r="AL21" s="72"/>
      <c r="AM21" s="72"/>
      <c r="AN21" s="72"/>
      <c r="AO21" s="72"/>
    </row>
    <row r="22" spans="1:41" ht="18.649999999999999" hidden="1" customHeight="1" thickBot="1" x14ac:dyDescent="0.4">
      <c r="A22" s="78"/>
      <c r="B22" s="78"/>
      <c r="C22" s="804"/>
      <c r="D22" s="805"/>
      <c r="E22" s="805"/>
      <c r="F22" s="805"/>
      <c r="G22" s="805"/>
      <c r="H22" s="805"/>
      <c r="I22" s="806"/>
      <c r="J22" s="238"/>
      <c r="K22" s="804"/>
      <c r="L22" s="805"/>
      <c r="M22" s="805"/>
      <c r="N22" s="805"/>
      <c r="O22" s="805"/>
      <c r="P22" s="805"/>
      <c r="Q22" s="805"/>
      <c r="R22" s="805"/>
      <c r="S22" s="805"/>
      <c r="T22" s="805"/>
      <c r="U22" s="805"/>
      <c r="V22" s="805"/>
      <c r="W22" s="805"/>
      <c r="X22" s="805"/>
      <c r="Y22" s="805"/>
      <c r="Z22" s="805"/>
      <c r="AA22" s="805"/>
      <c r="AB22" s="805"/>
      <c r="AC22" s="805"/>
      <c r="AD22" s="805"/>
      <c r="AE22" s="805"/>
      <c r="AF22" s="789"/>
      <c r="AG22" s="789"/>
      <c r="AH22" s="72"/>
      <c r="AI22" s="72"/>
      <c r="AJ22" s="72"/>
      <c r="AK22" s="72"/>
      <c r="AL22" s="72"/>
      <c r="AM22" s="72"/>
      <c r="AN22" s="72"/>
      <c r="AO22" s="72"/>
    </row>
    <row r="23" spans="1:41" ht="18.649999999999999" hidden="1" customHeight="1" thickBot="1" x14ac:dyDescent="0.4">
      <c r="A23" s="78"/>
      <c r="B23" s="78"/>
      <c r="C23" s="804"/>
      <c r="D23" s="805"/>
      <c r="E23" s="805"/>
      <c r="F23" s="805"/>
      <c r="G23" s="805"/>
      <c r="H23" s="805"/>
      <c r="I23" s="806"/>
      <c r="J23" s="238"/>
      <c r="K23" s="804"/>
      <c r="L23" s="805"/>
      <c r="M23" s="805"/>
      <c r="N23" s="805"/>
      <c r="O23" s="805"/>
      <c r="P23" s="805"/>
      <c r="Q23" s="805"/>
      <c r="R23" s="805"/>
      <c r="S23" s="805"/>
      <c r="T23" s="805"/>
      <c r="U23" s="805"/>
      <c r="V23" s="805"/>
      <c r="W23" s="805"/>
      <c r="X23" s="805"/>
      <c r="Y23" s="805"/>
      <c r="Z23" s="805"/>
      <c r="AA23" s="805"/>
      <c r="AB23" s="805"/>
      <c r="AC23" s="805"/>
      <c r="AD23" s="805"/>
      <c r="AE23" s="805"/>
      <c r="AF23" s="789"/>
      <c r="AG23" s="789"/>
      <c r="AH23" s="72"/>
      <c r="AI23" s="72"/>
      <c r="AJ23" s="72"/>
      <c r="AK23" s="72"/>
      <c r="AL23" s="72"/>
      <c r="AM23" s="72"/>
      <c r="AN23" s="72"/>
      <c r="AO23" s="72"/>
    </row>
    <row r="24" spans="1:41" ht="18.649999999999999" hidden="1" customHeight="1" thickBot="1" x14ac:dyDescent="0.4">
      <c r="A24" s="78"/>
      <c r="B24" s="78"/>
      <c r="C24" s="804"/>
      <c r="D24" s="805"/>
      <c r="E24" s="805"/>
      <c r="F24" s="805"/>
      <c r="G24" s="805"/>
      <c r="H24" s="805"/>
      <c r="I24" s="806"/>
      <c r="J24" s="238"/>
      <c r="K24" s="804"/>
      <c r="L24" s="805"/>
      <c r="M24" s="805"/>
      <c r="N24" s="805"/>
      <c r="O24" s="805"/>
      <c r="P24" s="805"/>
      <c r="Q24" s="805"/>
      <c r="R24" s="805"/>
      <c r="S24" s="805"/>
      <c r="T24" s="805"/>
      <c r="U24" s="805"/>
      <c r="V24" s="805"/>
      <c r="W24" s="805"/>
      <c r="X24" s="805"/>
      <c r="Y24" s="805"/>
      <c r="Z24" s="805"/>
      <c r="AA24" s="805"/>
      <c r="AB24" s="805"/>
      <c r="AC24" s="805"/>
      <c r="AD24" s="805"/>
      <c r="AE24" s="805"/>
      <c r="AF24" s="789"/>
      <c r="AG24" s="789"/>
      <c r="AH24" s="72"/>
      <c r="AI24" s="72"/>
      <c r="AJ24" s="72"/>
      <c r="AK24" s="72"/>
      <c r="AL24" s="72"/>
      <c r="AM24" s="72"/>
      <c r="AN24" s="72"/>
      <c r="AO24" s="72"/>
    </row>
    <row r="25" spans="1:41" ht="18.649999999999999" hidden="1" customHeight="1" thickBot="1" x14ac:dyDescent="0.4">
      <c r="A25" s="78"/>
      <c r="B25" s="78"/>
      <c r="C25" s="804"/>
      <c r="D25" s="805"/>
      <c r="E25" s="805"/>
      <c r="F25" s="805"/>
      <c r="G25" s="805"/>
      <c r="H25" s="805"/>
      <c r="I25" s="806"/>
      <c r="J25" s="238"/>
      <c r="K25" s="804"/>
      <c r="L25" s="805"/>
      <c r="M25" s="805"/>
      <c r="N25" s="805"/>
      <c r="O25" s="805"/>
      <c r="P25" s="805"/>
      <c r="Q25" s="805"/>
      <c r="R25" s="805"/>
      <c r="S25" s="805"/>
      <c r="T25" s="805"/>
      <c r="U25" s="805"/>
      <c r="V25" s="805"/>
      <c r="W25" s="805"/>
      <c r="X25" s="805"/>
      <c r="Y25" s="805"/>
      <c r="Z25" s="805"/>
      <c r="AA25" s="805"/>
      <c r="AB25" s="805"/>
      <c r="AC25" s="805"/>
      <c r="AD25" s="805"/>
      <c r="AE25" s="805"/>
      <c r="AF25" s="789"/>
      <c r="AG25" s="789"/>
      <c r="AH25" s="72"/>
      <c r="AI25" s="72"/>
      <c r="AJ25" s="72"/>
      <c r="AK25" s="72"/>
      <c r="AL25" s="72"/>
      <c r="AM25" s="72"/>
      <c r="AN25" s="72"/>
      <c r="AO25" s="72"/>
    </row>
    <row r="26" spans="1:41" ht="18.649999999999999" hidden="1" customHeight="1" thickBot="1" x14ac:dyDescent="0.4">
      <c r="A26" s="78"/>
      <c r="B26" s="78"/>
      <c r="C26" s="804"/>
      <c r="D26" s="805"/>
      <c r="E26" s="805"/>
      <c r="F26" s="805"/>
      <c r="G26" s="805"/>
      <c r="H26" s="805"/>
      <c r="I26" s="806"/>
      <c r="J26" s="238"/>
      <c r="K26" s="804"/>
      <c r="L26" s="805"/>
      <c r="M26" s="805"/>
      <c r="N26" s="805"/>
      <c r="O26" s="805"/>
      <c r="P26" s="805"/>
      <c r="Q26" s="805"/>
      <c r="R26" s="805"/>
      <c r="S26" s="805"/>
      <c r="T26" s="805"/>
      <c r="U26" s="805"/>
      <c r="V26" s="805"/>
      <c r="W26" s="805"/>
      <c r="X26" s="805"/>
      <c r="Y26" s="805"/>
      <c r="Z26" s="805"/>
      <c r="AA26" s="805"/>
      <c r="AB26" s="805"/>
      <c r="AC26" s="805"/>
      <c r="AD26" s="805"/>
      <c r="AE26" s="805"/>
      <c r="AF26" s="789"/>
      <c r="AG26" s="789"/>
      <c r="AH26" s="72"/>
      <c r="AI26" s="72"/>
      <c r="AJ26" s="72"/>
      <c r="AK26" s="72"/>
      <c r="AL26" s="72"/>
      <c r="AM26" s="72"/>
      <c r="AN26" s="72"/>
      <c r="AO26" s="72"/>
    </row>
    <row r="27" spans="1:41" ht="18.649999999999999" hidden="1" customHeight="1" thickBot="1" x14ac:dyDescent="0.4">
      <c r="A27" s="800"/>
      <c r="B27" s="790"/>
      <c r="C27" s="804"/>
      <c r="D27" s="805"/>
      <c r="E27" s="805"/>
      <c r="F27" s="805"/>
      <c r="G27" s="805"/>
      <c r="H27" s="805"/>
      <c r="I27" s="806"/>
      <c r="J27" s="238"/>
      <c r="K27" s="804"/>
      <c r="L27" s="805"/>
      <c r="M27" s="805"/>
      <c r="N27" s="805"/>
      <c r="O27" s="805"/>
      <c r="P27" s="805"/>
      <c r="Q27" s="805"/>
      <c r="R27" s="805"/>
      <c r="S27" s="805"/>
      <c r="T27" s="805"/>
      <c r="U27" s="805"/>
      <c r="V27" s="805"/>
      <c r="W27" s="805"/>
      <c r="X27" s="805"/>
      <c r="Y27" s="805"/>
      <c r="Z27" s="805"/>
      <c r="AA27" s="805"/>
      <c r="AB27" s="805"/>
      <c r="AC27" s="805"/>
      <c r="AD27" s="805"/>
      <c r="AE27" s="805"/>
      <c r="AF27" s="789"/>
      <c r="AG27" s="789"/>
      <c r="AH27" s="72"/>
      <c r="AI27" s="72"/>
      <c r="AJ27" s="72"/>
      <c r="AK27" s="72"/>
      <c r="AL27" s="72"/>
      <c r="AM27" s="72"/>
      <c r="AN27" s="72"/>
      <c r="AO27" s="72"/>
    </row>
    <row r="28" spans="1:41" ht="18.649999999999999" hidden="1" customHeight="1" thickBot="1" x14ac:dyDescent="0.4">
      <c r="A28" s="800"/>
      <c r="B28" s="790"/>
      <c r="C28" s="804"/>
      <c r="D28" s="805"/>
      <c r="E28" s="805"/>
      <c r="F28" s="805"/>
      <c r="G28" s="805"/>
      <c r="H28" s="805"/>
      <c r="I28" s="806"/>
      <c r="J28" s="238"/>
      <c r="K28" s="804"/>
      <c r="L28" s="805"/>
      <c r="M28" s="805"/>
      <c r="N28" s="805"/>
      <c r="O28" s="805"/>
      <c r="P28" s="805"/>
      <c r="Q28" s="805"/>
      <c r="R28" s="805"/>
      <c r="S28" s="805"/>
      <c r="T28" s="805"/>
      <c r="U28" s="805"/>
      <c r="V28" s="805"/>
      <c r="W28" s="805"/>
      <c r="X28" s="805"/>
      <c r="Y28" s="805"/>
      <c r="Z28" s="805"/>
      <c r="AA28" s="805"/>
      <c r="AB28" s="805"/>
      <c r="AC28" s="805"/>
      <c r="AD28" s="805"/>
      <c r="AE28" s="805"/>
      <c r="AF28" s="789"/>
      <c r="AG28" s="789"/>
      <c r="AH28" s="72"/>
      <c r="AI28" s="72"/>
      <c r="AJ28" s="72"/>
      <c r="AK28" s="72"/>
      <c r="AL28" s="72"/>
      <c r="AM28" s="72"/>
      <c r="AN28" s="72"/>
      <c r="AO28" s="72"/>
    </row>
    <row r="29" spans="1:41" ht="18.649999999999999" hidden="1" customHeight="1" thickBot="1" x14ac:dyDescent="0.4">
      <c r="A29" s="800"/>
      <c r="B29" s="790"/>
      <c r="C29" s="804"/>
      <c r="D29" s="805"/>
      <c r="E29" s="805"/>
      <c r="F29" s="805"/>
      <c r="G29" s="805"/>
      <c r="H29" s="805"/>
      <c r="I29" s="806"/>
      <c r="J29" s="238"/>
      <c r="K29" s="804"/>
      <c r="L29" s="805"/>
      <c r="M29" s="805"/>
      <c r="N29" s="805"/>
      <c r="O29" s="805"/>
      <c r="P29" s="805"/>
      <c r="Q29" s="805"/>
      <c r="R29" s="805"/>
      <c r="S29" s="805"/>
      <c r="T29" s="805"/>
      <c r="U29" s="805"/>
      <c r="V29" s="805"/>
      <c r="W29" s="805"/>
      <c r="X29" s="805"/>
      <c r="Y29" s="805"/>
      <c r="Z29" s="805"/>
      <c r="AA29" s="805"/>
      <c r="AB29" s="805"/>
      <c r="AC29" s="805"/>
      <c r="AD29" s="805"/>
      <c r="AE29" s="805"/>
      <c r="AF29" s="789"/>
      <c r="AG29" s="789"/>
      <c r="AH29" s="72"/>
      <c r="AI29" s="72"/>
      <c r="AJ29" s="72"/>
      <c r="AK29" s="72"/>
      <c r="AL29" s="72"/>
      <c r="AM29" s="72"/>
      <c r="AN29" s="72"/>
      <c r="AO29" s="72"/>
    </row>
    <row r="30" spans="1:41" ht="18.649999999999999" hidden="1" customHeight="1" thickBot="1" x14ac:dyDescent="0.4">
      <c r="A30" s="800"/>
      <c r="B30" s="790"/>
      <c r="C30" s="804"/>
      <c r="D30" s="805"/>
      <c r="E30" s="805"/>
      <c r="F30" s="805"/>
      <c r="G30" s="805"/>
      <c r="H30" s="805"/>
      <c r="I30" s="806"/>
      <c r="J30" s="238"/>
      <c r="K30" s="804"/>
      <c r="L30" s="805"/>
      <c r="M30" s="805"/>
      <c r="N30" s="805"/>
      <c r="O30" s="805"/>
      <c r="P30" s="805"/>
      <c r="Q30" s="805"/>
      <c r="R30" s="805"/>
      <c r="S30" s="805"/>
      <c r="T30" s="805"/>
      <c r="U30" s="805"/>
      <c r="V30" s="805"/>
      <c r="W30" s="805"/>
      <c r="X30" s="805"/>
      <c r="Y30" s="805"/>
      <c r="Z30" s="805"/>
      <c r="AA30" s="805"/>
      <c r="AB30" s="805"/>
      <c r="AC30" s="805"/>
      <c r="AD30" s="805"/>
      <c r="AE30" s="805"/>
      <c r="AF30" s="789"/>
      <c r="AG30" s="789"/>
      <c r="AH30" s="72"/>
      <c r="AI30" s="72"/>
      <c r="AJ30" s="72"/>
      <c r="AK30" s="72"/>
      <c r="AL30" s="72"/>
      <c r="AM30" s="72"/>
      <c r="AN30" s="72"/>
      <c r="AO30" s="72"/>
    </row>
    <row r="31" spans="1:41" ht="18.649999999999999" hidden="1" customHeight="1" thickBot="1" x14ac:dyDescent="0.4">
      <c r="A31" s="800"/>
      <c r="B31" s="790"/>
      <c r="C31" s="804"/>
      <c r="D31" s="805"/>
      <c r="E31" s="805"/>
      <c r="F31" s="805"/>
      <c r="G31" s="805"/>
      <c r="H31" s="805"/>
      <c r="I31" s="806"/>
      <c r="J31" s="238"/>
      <c r="K31" s="804"/>
      <c r="L31" s="805"/>
      <c r="M31" s="805"/>
      <c r="N31" s="805"/>
      <c r="O31" s="805"/>
      <c r="P31" s="805"/>
      <c r="Q31" s="805"/>
      <c r="R31" s="805"/>
      <c r="S31" s="805"/>
      <c r="T31" s="805"/>
      <c r="U31" s="805"/>
      <c r="V31" s="805"/>
      <c r="W31" s="805"/>
      <c r="X31" s="805"/>
      <c r="Y31" s="805"/>
      <c r="Z31" s="805"/>
      <c r="AA31" s="805"/>
      <c r="AB31" s="805"/>
      <c r="AC31" s="805"/>
      <c r="AD31" s="805"/>
      <c r="AE31" s="805"/>
      <c r="AF31" s="789"/>
      <c r="AG31" s="789"/>
      <c r="AH31" s="72"/>
      <c r="AI31" s="72"/>
      <c r="AJ31" s="72"/>
      <c r="AK31" s="72"/>
      <c r="AL31" s="72"/>
      <c r="AM31" s="72"/>
      <c r="AN31" s="72"/>
      <c r="AO31" s="72"/>
    </row>
    <row r="32" spans="1:41" ht="18.649999999999999" hidden="1" customHeight="1" thickBot="1" x14ac:dyDescent="0.4">
      <c r="A32" s="800"/>
      <c r="B32" s="790"/>
      <c r="C32" s="804"/>
      <c r="D32" s="805"/>
      <c r="E32" s="805"/>
      <c r="F32" s="805"/>
      <c r="G32" s="805"/>
      <c r="H32" s="805"/>
      <c r="I32" s="806"/>
      <c r="J32" s="238"/>
      <c r="K32" s="804"/>
      <c r="L32" s="805"/>
      <c r="M32" s="805"/>
      <c r="N32" s="805"/>
      <c r="O32" s="805"/>
      <c r="P32" s="805"/>
      <c r="Q32" s="805"/>
      <c r="R32" s="805"/>
      <c r="S32" s="805"/>
      <c r="T32" s="805"/>
      <c r="U32" s="805"/>
      <c r="V32" s="805"/>
      <c r="W32" s="805"/>
      <c r="X32" s="805"/>
      <c r="Y32" s="805"/>
      <c r="Z32" s="805"/>
      <c r="AA32" s="805"/>
      <c r="AB32" s="805"/>
      <c r="AC32" s="805"/>
      <c r="AD32" s="805"/>
      <c r="AE32" s="805"/>
      <c r="AF32" s="789"/>
      <c r="AG32" s="789"/>
      <c r="AH32" s="72"/>
      <c r="AI32" s="72"/>
      <c r="AJ32" s="72"/>
      <c r="AK32" s="72"/>
      <c r="AL32" s="72"/>
      <c r="AM32" s="72"/>
      <c r="AN32" s="72"/>
      <c r="AO32" s="72"/>
    </row>
    <row r="33" spans="1:41" ht="18.649999999999999" hidden="1" customHeight="1" thickBot="1" x14ac:dyDescent="0.4">
      <c r="A33" s="800"/>
      <c r="B33" s="790"/>
      <c r="C33" s="804"/>
      <c r="D33" s="805"/>
      <c r="E33" s="805"/>
      <c r="F33" s="805"/>
      <c r="G33" s="805"/>
      <c r="H33" s="805"/>
      <c r="I33" s="806"/>
      <c r="J33" s="238"/>
      <c r="K33" s="804"/>
      <c r="L33" s="805"/>
      <c r="M33" s="805"/>
      <c r="N33" s="805"/>
      <c r="O33" s="805"/>
      <c r="P33" s="805"/>
      <c r="Q33" s="805"/>
      <c r="R33" s="805"/>
      <c r="S33" s="805"/>
      <c r="T33" s="805"/>
      <c r="U33" s="805"/>
      <c r="V33" s="805"/>
      <c r="W33" s="805"/>
      <c r="X33" s="805"/>
      <c r="Y33" s="805"/>
      <c r="Z33" s="805"/>
      <c r="AA33" s="805"/>
      <c r="AB33" s="805"/>
      <c r="AC33" s="805"/>
      <c r="AD33" s="805"/>
      <c r="AE33" s="805"/>
      <c r="AF33" s="789"/>
      <c r="AG33" s="789"/>
      <c r="AH33" s="72"/>
      <c r="AI33" s="72"/>
      <c r="AJ33" s="72"/>
      <c r="AK33" s="72"/>
      <c r="AL33" s="72"/>
      <c r="AM33" s="72"/>
      <c r="AN33" s="72"/>
      <c r="AO33" s="72"/>
    </row>
    <row r="34" spans="1:41" ht="18.649999999999999" hidden="1" customHeight="1" thickBot="1" x14ac:dyDescent="0.4">
      <c r="A34" s="800"/>
      <c r="B34" s="790"/>
      <c r="C34" s="804"/>
      <c r="D34" s="805"/>
      <c r="E34" s="805"/>
      <c r="F34" s="805"/>
      <c r="G34" s="805"/>
      <c r="H34" s="805"/>
      <c r="I34" s="806"/>
      <c r="J34" s="238"/>
      <c r="K34" s="804"/>
      <c r="L34" s="805"/>
      <c r="M34" s="805"/>
      <c r="N34" s="805"/>
      <c r="O34" s="805"/>
      <c r="P34" s="805"/>
      <c r="Q34" s="805"/>
      <c r="R34" s="805"/>
      <c r="S34" s="805"/>
      <c r="T34" s="805"/>
      <c r="U34" s="805"/>
      <c r="V34" s="805"/>
      <c r="W34" s="805"/>
      <c r="X34" s="805"/>
      <c r="Y34" s="805"/>
      <c r="Z34" s="805"/>
      <c r="AA34" s="805"/>
      <c r="AB34" s="805"/>
      <c r="AC34" s="805"/>
      <c r="AD34" s="805"/>
      <c r="AE34" s="805"/>
      <c r="AF34" s="789"/>
      <c r="AG34" s="789"/>
      <c r="AH34" s="72"/>
      <c r="AI34" s="72"/>
      <c r="AJ34" s="72"/>
      <c r="AK34" s="72"/>
      <c r="AL34" s="72"/>
      <c r="AM34" s="72"/>
      <c r="AN34" s="72"/>
      <c r="AO34" s="72"/>
    </row>
    <row r="35" spans="1:41" ht="18.649999999999999" hidden="1" customHeight="1" thickBot="1" x14ac:dyDescent="0.4">
      <c r="A35" s="800"/>
      <c r="B35" s="790"/>
      <c r="C35" s="804"/>
      <c r="D35" s="805"/>
      <c r="E35" s="805"/>
      <c r="F35" s="805"/>
      <c r="G35" s="805"/>
      <c r="H35" s="805"/>
      <c r="I35" s="806"/>
      <c r="J35" s="238"/>
      <c r="K35" s="804"/>
      <c r="L35" s="805"/>
      <c r="M35" s="805"/>
      <c r="N35" s="805"/>
      <c r="O35" s="805"/>
      <c r="P35" s="805"/>
      <c r="Q35" s="805"/>
      <c r="R35" s="805"/>
      <c r="S35" s="805"/>
      <c r="T35" s="805"/>
      <c r="U35" s="805"/>
      <c r="V35" s="805"/>
      <c r="W35" s="805"/>
      <c r="X35" s="805"/>
      <c r="Y35" s="805"/>
      <c r="Z35" s="805"/>
      <c r="AA35" s="805"/>
      <c r="AB35" s="805"/>
      <c r="AC35" s="805"/>
      <c r="AD35" s="805"/>
      <c r="AE35" s="805"/>
      <c r="AF35" s="789"/>
      <c r="AG35" s="789"/>
      <c r="AH35" s="72"/>
      <c r="AI35" s="72"/>
      <c r="AJ35" s="72"/>
      <c r="AK35" s="72"/>
      <c r="AL35" s="72"/>
      <c r="AM35" s="72"/>
      <c r="AN35" s="72"/>
      <c r="AO35" s="72"/>
    </row>
    <row r="36" spans="1:41" ht="18.649999999999999" hidden="1" customHeight="1" thickBot="1" x14ac:dyDescent="0.4">
      <c r="A36" s="800"/>
      <c r="B36" s="790"/>
      <c r="C36" s="804"/>
      <c r="D36" s="805"/>
      <c r="E36" s="805"/>
      <c r="F36" s="805"/>
      <c r="G36" s="805"/>
      <c r="H36" s="805"/>
      <c r="I36" s="806"/>
      <c r="J36" s="238"/>
      <c r="K36" s="804"/>
      <c r="L36" s="805"/>
      <c r="M36" s="805"/>
      <c r="N36" s="805"/>
      <c r="O36" s="805"/>
      <c r="P36" s="805"/>
      <c r="Q36" s="805"/>
      <c r="R36" s="805"/>
      <c r="S36" s="805"/>
      <c r="T36" s="805"/>
      <c r="U36" s="805"/>
      <c r="V36" s="805"/>
      <c r="W36" s="805"/>
      <c r="X36" s="805"/>
      <c r="Y36" s="805"/>
      <c r="Z36" s="805"/>
      <c r="AA36" s="805"/>
      <c r="AB36" s="805"/>
      <c r="AC36" s="805"/>
      <c r="AD36" s="805"/>
      <c r="AE36" s="805"/>
      <c r="AF36" s="789"/>
      <c r="AG36" s="789"/>
      <c r="AH36" s="72"/>
      <c r="AI36" s="72"/>
      <c r="AJ36" s="72"/>
      <c r="AK36" s="72"/>
      <c r="AL36" s="72"/>
      <c r="AM36" s="72"/>
      <c r="AN36" s="72"/>
      <c r="AO36" s="72"/>
    </row>
    <row r="37" spans="1:41" ht="40.4" hidden="1" customHeight="1" thickBot="1" x14ac:dyDescent="0.4">
      <c r="A37" s="789"/>
      <c r="B37" s="790"/>
      <c r="C37" s="804"/>
      <c r="D37" s="805"/>
      <c r="E37" s="805"/>
      <c r="F37" s="805"/>
      <c r="G37" s="805"/>
      <c r="H37" s="805"/>
      <c r="I37" s="806"/>
      <c r="J37" s="238"/>
      <c r="K37" s="804"/>
      <c r="L37" s="805"/>
      <c r="M37" s="805"/>
      <c r="N37" s="805"/>
      <c r="O37" s="805"/>
      <c r="P37" s="805"/>
      <c r="Q37" s="805"/>
      <c r="R37" s="805"/>
      <c r="S37" s="805"/>
      <c r="T37" s="805"/>
      <c r="U37" s="805"/>
      <c r="V37" s="805"/>
      <c r="W37" s="805"/>
      <c r="X37" s="805"/>
      <c r="Y37" s="805"/>
      <c r="Z37" s="805"/>
      <c r="AA37" s="805"/>
      <c r="AB37" s="805"/>
      <c r="AC37" s="805"/>
      <c r="AD37" s="805"/>
      <c r="AE37" s="805"/>
      <c r="AF37" s="789"/>
      <c r="AG37" s="789"/>
      <c r="AH37" s="817" t="s">
        <v>1425</v>
      </c>
      <c r="AI37" s="817"/>
      <c r="AJ37" s="817" t="s">
        <v>1426</v>
      </c>
      <c r="AK37" s="817"/>
      <c r="AL37" s="817" t="s">
        <v>1427</v>
      </c>
      <c r="AM37" s="817"/>
      <c r="AN37" s="72"/>
      <c r="AO37" s="72"/>
    </row>
    <row r="38" spans="1:41" ht="40.4" customHeight="1" thickBot="1" x14ac:dyDescent="0.4">
      <c r="A38" s="174"/>
      <c r="B38" s="174"/>
      <c r="C38" s="175"/>
      <c r="D38" s="787" t="s">
        <v>46</v>
      </c>
      <c r="E38" s="787"/>
      <c r="F38" s="787"/>
      <c r="G38" s="787"/>
      <c r="H38" s="787"/>
      <c r="I38" s="787"/>
      <c r="J38" s="376"/>
      <c r="K38" s="788" t="s">
        <v>47</v>
      </c>
      <c r="L38" s="788"/>
      <c r="M38" s="788"/>
      <c r="N38" s="788"/>
      <c r="O38" s="788"/>
      <c r="P38" s="788"/>
      <c r="Q38" s="788"/>
      <c r="R38" s="788"/>
      <c r="S38" s="788"/>
      <c r="T38" s="788"/>
      <c r="U38" s="788"/>
      <c r="V38" s="788"/>
      <c r="W38" s="788"/>
      <c r="X38" s="788"/>
      <c r="Y38" s="788"/>
      <c r="Z38" s="788"/>
      <c r="AA38" s="788"/>
      <c r="AB38" s="788"/>
      <c r="AC38" s="788"/>
      <c r="AD38" s="788"/>
      <c r="AE38" s="788"/>
      <c r="AF38" s="72"/>
      <c r="AG38" s="72"/>
      <c r="AH38" s="115"/>
      <c r="AI38" s="115"/>
      <c r="AJ38" s="156"/>
      <c r="AK38" s="156"/>
      <c r="AL38" s="156"/>
      <c r="AM38" s="156"/>
      <c r="AN38" s="72"/>
      <c r="AO38" s="72"/>
    </row>
    <row r="39" spans="1:41" ht="50.15" customHeight="1" thickBot="1" x14ac:dyDescent="0.4">
      <c r="A39" s="818"/>
      <c r="B39" s="818"/>
      <c r="C39" s="176" t="s">
        <v>1428</v>
      </c>
      <c r="D39" s="359" t="s">
        <v>50</v>
      </c>
      <c r="E39" s="359" t="s">
        <v>51</v>
      </c>
      <c r="F39" s="359" t="s">
        <v>52</v>
      </c>
      <c r="G39" s="359" t="s">
        <v>53</v>
      </c>
      <c r="H39" s="359" t="s">
        <v>54</v>
      </c>
      <c r="I39" s="360" t="s">
        <v>1429</v>
      </c>
      <c r="J39" s="361" t="s">
        <v>1430</v>
      </c>
      <c r="K39" s="362" t="s">
        <v>55</v>
      </c>
      <c r="L39" s="363" t="s">
        <v>1254</v>
      </c>
      <c r="M39" s="363" t="s">
        <v>1431</v>
      </c>
      <c r="N39" s="363" t="s">
        <v>58</v>
      </c>
      <c r="O39" s="363" t="s">
        <v>59</v>
      </c>
      <c r="P39" s="363" t="s">
        <v>61</v>
      </c>
      <c r="Q39" s="363" t="s">
        <v>62</v>
      </c>
      <c r="R39" s="364" t="s">
        <v>1432</v>
      </c>
      <c r="S39" s="365" t="s">
        <v>1433</v>
      </c>
      <c r="T39" s="366" t="s">
        <v>1434</v>
      </c>
      <c r="U39" s="364" t="s">
        <v>1435</v>
      </c>
      <c r="V39" s="367" t="s">
        <v>1436</v>
      </c>
      <c r="W39" s="368" t="s">
        <v>1437</v>
      </c>
      <c r="X39" s="369" t="s">
        <v>1438</v>
      </c>
      <c r="Y39" s="370" t="s">
        <v>1439</v>
      </c>
      <c r="Z39" s="371" t="s">
        <v>1440</v>
      </c>
      <c r="AA39" s="372" t="s">
        <v>1441</v>
      </c>
      <c r="AB39" s="373" t="s">
        <v>1442</v>
      </c>
      <c r="AC39" s="374" t="s">
        <v>1443</v>
      </c>
      <c r="AD39" s="375" t="s">
        <v>1444</v>
      </c>
      <c r="AE39" s="367" t="s">
        <v>1445</v>
      </c>
      <c r="AF39" s="789"/>
      <c r="AG39" s="819"/>
      <c r="AH39" s="122" t="s">
        <v>1446</v>
      </c>
      <c r="AI39" s="123" t="s">
        <v>1447</v>
      </c>
      <c r="AJ39" s="124" t="s">
        <v>1446</v>
      </c>
      <c r="AK39" s="125" t="s">
        <v>1447</v>
      </c>
      <c r="AL39" s="124" t="s">
        <v>1446</v>
      </c>
      <c r="AM39" s="125" t="s">
        <v>1447</v>
      </c>
      <c r="AN39" s="72"/>
      <c r="AO39" s="72"/>
    </row>
    <row r="40" spans="1:41" ht="69" customHeight="1" x14ac:dyDescent="0.35">
      <c r="A40" s="789"/>
      <c r="B40" s="789"/>
      <c r="C40" s="791"/>
      <c r="D40" s="794">
        <v>1</v>
      </c>
      <c r="E40" s="798" t="s">
        <v>99</v>
      </c>
      <c r="F40" s="798" t="s">
        <v>84</v>
      </c>
      <c r="G40" s="798" t="s">
        <v>100</v>
      </c>
      <c r="H40" s="798" t="s">
        <v>101</v>
      </c>
      <c r="I40" s="924" t="s">
        <v>1448</v>
      </c>
      <c r="J40" s="922" t="s">
        <v>1448</v>
      </c>
      <c r="K40" s="795" t="s">
        <v>150</v>
      </c>
      <c r="L40" s="795" t="s">
        <v>1449</v>
      </c>
      <c r="M40" s="795" t="s">
        <v>1450</v>
      </c>
      <c r="N40" s="828" t="s">
        <v>1451</v>
      </c>
      <c r="O40" s="828" t="s">
        <v>264</v>
      </c>
      <c r="P40" s="796">
        <v>45660</v>
      </c>
      <c r="Q40" s="796">
        <v>45900</v>
      </c>
      <c r="R40" s="240" t="s">
        <v>93</v>
      </c>
      <c r="S40" s="856">
        <v>0.25</v>
      </c>
      <c r="T40" s="110">
        <v>0.35</v>
      </c>
      <c r="U40" s="131">
        <v>0.35</v>
      </c>
      <c r="V40" s="140">
        <v>0.3</v>
      </c>
      <c r="W40" s="881" t="e">
        <f>($S$40*T41)+($S$42*T43)+(#REF!*#REF!)+($S$44*T45)</f>
        <v>#REF!</v>
      </c>
      <c r="X40" s="831" t="e">
        <f>($S$40*$T40)+($S$42*$T42)+(#REF!*#REF!)+($S$44*T44)</f>
        <v>#REF!</v>
      </c>
      <c r="Y40" s="826" t="s">
        <v>1452</v>
      </c>
      <c r="Z40" s="845" t="e">
        <f>($S$40*U41)+($S$42*U43)+(#REF!*#REF!)+($S$44*U45)</f>
        <v>#REF!</v>
      </c>
      <c r="AA40" s="832">
        <v>0.38300000000000001</v>
      </c>
      <c r="AB40" s="840" t="s">
        <v>1453</v>
      </c>
      <c r="AC40" s="847" t="e">
        <f>($S$40*V41)+($S$42*V43)+(#REF!*#REF!)+($S$44*V45)</f>
        <v>#REF!</v>
      </c>
      <c r="AD40" s="841">
        <v>0.35799999999999998</v>
      </c>
      <c r="AE40" s="842" t="s">
        <v>1454</v>
      </c>
      <c r="AF40" s="789"/>
      <c r="AG40" s="819"/>
      <c r="AH40" s="823" t="e">
        <f>+($S$40*T41)+($S$42*T43)+(#REF!*#REF!)+($S$44*T45)</f>
        <v>#REF!</v>
      </c>
      <c r="AI40" s="820" t="e">
        <f>+X40</f>
        <v>#REF!</v>
      </c>
      <c r="AJ40" s="823" t="e">
        <f>+Z40</f>
        <v>#REF!</v>
      </c>
      <c r="AK40" s="820">
        <f>+AA40</f>
        <v>0.38300000000000001</v>
      </c>
      <c r="AL40" s="823" t="e">
        <f>+AC40</f>
        <v>#REF!</v>
      </c>
      <c r="AM40" s="820">
        <f>+AD40</f>
        <v>0.35799999999999998</v>
      </c>
      <c r="AN40" s="72"/>
      <c r="AO40" s="72"/>
    </row>
    <row r="41" spans="1:41" ht="69" customHeight="1" x14ac:dyDescent="0.35">
      <c r="A41" s="789"/>
      <c r="B41" s="789"/>
      <c r="C41" s="792"/>
      <c r="D41" s="794"/>
      <c r="E41" s="798"/>
      <c r="F41" s="798"/>
      <c r="G41" s="798"/>
      <c r="H41" s="798"/>
      <c r="I41" s="924"/>
      <c r="J41" s="923"/>
      <c r="K41" s="795"/>
      <c r="L41" s="795" t="s">
        <v>1449</v>
      </c>
      <c r="M41" s="795" t="s">
        <v>1450</v>
      </c>
      <c r="N41" s="828"/>
      <c r="O41" s="828"/>
      <c r="P41" s="796">
        <v>45660</v>
      </c>
      <c r="Q41" s="796">
        <v>45900</v>
      </c>
      <c r="R41" s="241" t="s">
        <v>98</v>
      </c>
      <c r="S41" s="835"/>
      <c r="T41" s="111">
        <v>0.35</v>
      </c>
      <c r="U41" s="92">
        <v>0.35</v>
      </c>
      <c r="V41" s="93">
        <v>0.3</v>
      </c>
      <c r="W41" s="845"/>
      <c r="X41" s="832"/>
      <c r="Y41" s="826"/>
      <c r="Z41" s="845"/>
      <c r="AA41" s="832"/>
      <c r="AB41" s="829"/>
      <c r="AC41" s="845"/>
      <c r="AD41" s="832"/>
      <c r="AE41" s="838"/>
      <c r="AF41" s="789"/>
      <c r="AG41" s="819"/>
      <c r="AH41" s="824"/>
      <c r="AI41" s="821"/>
      <c r="AJ41" s="824"/>
      <c r="AK41" s="821"/>
      <c r="AL41" s="824"/>
      <c r="AM41" s="821"/>
      <c r="AN41" s="72"/>
      <c r="AO41" s="72"/>
    </row>
    <row r="42" spans="1:41" ht="69" customHeight="1" x14ac:dyDescent="0.35">
      <c r="A42" s="789"/>
      <c r="B42" s="789"/>
      <c r="C42" s="792"/>
      <c r="D42" s="794">
        <v>2</v>
      </c>
      <c r="E42" s="798" t="s">
        <v>99</v>
      </c>
      <c r="F42" s="798" t="s">
        <v>84</v>
      </c>
      <c r="G42" s="798" t="s">
        <v>100</v>
      </c>
      <c r="H42" s="798" t="s">
        <v>101</v>
      </c>
      <c r="I42" s="907" t="s">
        <v>1455</v>
      </c>
      <c r="J42" s="902" t="s">
        <v>1456</v>
      </c>
      <c r="K42" s="795" t="s">
        <v>127</v>
      </c>
      <c r="L42" s="795" t="s">
        <v>1457</v>
      </c>
      <c r="M42" s="828" t="s">
        <v>1458</v>
      </c>
      <c r="N42" s="828" t="s">
        <v>1451</v>
      </c>
      <c r="O42" s="828" t="s">
        <v>264</v>
      </c>
      <c r="P42" s="797">
        <v>46023</v>
      </c>
      <c r="Q42" s="797">
        <v>46387</v>
      </c>
      <c r="R42" s="240" t="s">
        <v>93</v>
      </c>
      <c r="S42" s="834">
        <v>0.25</v>
      </c>
      <c r="T42" s="112">
        <v>0.34</v>
      </c>
      <c r="U42" s="133">
        <v>0.33</v>
      </c>
      <c r="V42" s="140">
        <v>0.33</v>
      </c>
      <c r="W42" s="845"/>
      <c r="X42" s="832"/>
      <c r="Y42" s="826" t="s">
        <v>1459</v>
      </c>
      <c r="Z42" s="845"/>
      <c r="AA42" s="832"/>
      <c r="AB42" s="829" t="s">
        <v>1460</v>
      </c>
      <c r="AC42" s="845"/>
      <c r="AD42" s="832"/>
      <c r="AE42" s="838" t="s">
        <v>1460</v>
      </c>
      <c r="AF42" s="789"/>
      <c r="AG42" s="819"/>
      <c r="AH42" s="824"/>
      <c r="AI42" s="821"/>
      <c r="AJ42" s="824"/>
      <c r="AK42" s="821"/>
      <c r="AL42" s="824"/>
      <c r="AM42" s="821"/>
      <c r="AN42" s="72"/>
      <c r="AO42" s="72"/>
    </row>
    <row r="43" spans="1:41" ht="69" customHeight="1" x14ac:dyDescent="0.35">
      <c r="A43" s="789"/>
      <c r="B43" s="789"/>
      <c r="C43" s="792"/>
      <c r="D43" s="794"/>
      <c r="E43" s="798"/>
      <c r="F43" s="798"/>
      <c r="G43" s="798"/>
      <c r="H43" s="798"/>
      <c r="I43" s="908"/>
      <c r="J43" s="902"/>
      <c r="K43" s="795"/>
      <c r="L43" s="795"/>
      <c r="M43" s="828"/>
      <c r="N43" s="828"/>
      <c r="O43" s="828"/>
      <c r="P43" s="797"/>
      <c r="Q43" s="797"/>
      <c r="R43" s="241" t="s">
        <v>98</v>
      </c>
      <c r="S43" s="835"/>
      <c r="T43" s="111">
        <v>0.34</v>
      </c>
      <c r="U43" s="92">
        <v>0.33</v>
      </c>
      <c r="V43" s="93">
        <v>0.33</v>
      </c>
      <c r="W43" s="845"/>
      <c r="X43" s="832"/>
      <c r="Y43" s="826"/>
      <c r="Z43" s="845"/>
      <c r="AA43" s="832"/>
      <c r="AB43" s="829"/>
      <c r="AC43" s="845"/>
      <c r="AD43" s="832"/>
      <c r="AE43" s="838"/>
      <c r="AF43" s="789"/>
      <c r="AG43" s="819"/>
      <c r="AH43" s="824"/>
      <c r="AI43" s="821"/>
      <c r="AJ43" s="824"/>
      <c r="AK43" s="821"/>
      <c r="AL43" s="824"/>
      <c r="AM43" s="821"/>
      <c r="AN43" s="72"/>
      <c r="AO43" s="72"/>
    </row>
    <row r="44" spans="1:41" ht="69" customHeight="1" x14ac:dyDescent="0.35">
      <c r="A44" s="789"/>
      <c r="B44" s="789"/>
      <c r="C44" s="792"/>
      <c r="D44" s="794">
        <v>3</v>
      </c>
      <c r="E44" s="798" t="s">
        <v>99</v>
      </c>
      <c r="F44" s="798" t="s">
        <v>84</v>
      </c>
      <c r="G44" s="798" t="s">
        <v>100</v>
      </c>
      <c r="H44" s="798" t="s">
        <v>101</v>
      </c>
      <c r="I44" s="908"/>
      <c r="J44" s="902"/>
      <c r="K44" s="795" t="s">
        <v>127</v>
      </c>
      <c r="L44" s="795" t="s">
        <v>1461</v>
      </c>
      <c r="M44" s="828" t="s">
        <v>1462</v>
      </c>
      <c r="N44" s="828" t="s">
        <v>1451</v>
      </c>
      <c r="O44" s="828" t="s">
        <v>264</v>
      </c>
      <c r="P44" s="797">
        <v>46023</v>
      </c>
      <c r="Q44" s="797">
        <v>46387</v>
      </c>
      <c r="R44" s="242" t="s">
        <v>93</v>
      </c>
      <c r="S44" s="859">
        <v>0.25</v>
      </c>
      <c r="T44" s="112">
        <v>0</v>
      </c>
      <c r="U44" s="132">
        <v>0.23</v>
      </c>
      <c r="V44" s="104">
        <v>0.5</v>
      </c>
      <c r="W44" s="845"/>
      <c r="X44" s="832"/>
      <c r="Y44" s="826" t="s">
        <v>1463</v>
      </c>
      <c r="Z44" s="845"/>
      <c r="AA44" s="832"/>
      <c r="AB44" s="836" t="s">
        <v>1464</v>
      </c>
      <c r="AC44" s="845"/>
      <c r="AD44" s="832"/>
      <c r="AE44" s="829" t="s">
        <v>1465</v>
      </c>
      <c r="AF44" s="789"/>
      <c r="AG44" s="819"/>
      <c r="AH44" s="824"/>
      <c r="AI44" s="821"/>
      <c r="AJ44" s="824"/>
      <c r="AK44" s="821"/>
      <c r="AL44" s="824"/>
      <c r="AM44" s="821"/>
      <c r="AN44" s="72"/>
      <c r="AO44" s="72"/>
    </row>
    <row r="45" spans="1:41" ht="69" customHeight="1" thickBot="1" x14ac:dyDescent="0.4">
      <c r="A45" s="789"/>
      <c r="B45" s="789"/>
      <c r="C45" s="793"/>
      <c r="D45" s="794"/>
      <c r="E45" s="798"/>
      <c r="F45" s="798"/>
      <c r="G45" s="798"/>
      <c r="H45" s="798"/>
      <c r="I45" s="908"/>
      <c r="J45" s="902"/>
      <c r="K45" s="795"/>
      <c r="L45" s="795"/>
      <c r="M45" s="828"/>
      <c r="N45" s="828"/>
      <c r="O45" s="828"/>
      <c r="P45" s="797"/>
      <c r="Q45" s="797"/>
      <c r="R45" s="243" t="s">
        <v>98</v>
      </c>
      <c r="S45" s="860"/>
      <c r="T45" s="113">
        <v>0</v>
      </c>
      <c r="U45" s="96">
        <v>0.5</v>
      </c>
      <c r="V45" s="97">
        <v>0.5</v>
      </c>
      <c r="W45" s="882"/>
      <c r="X45" s="833"/>
      <c r="Y45" s="827"/>
      <c r="Z45" s="846"/>
      <c r="AA45" s="839"/>
      <c r="AB45" s="837"/>
      <c r="AC45" s="846"/>
      <c r="AD45" s="839"/>
      <c r="AE45" s="830"/>
      <c r="AF45" s="789"/>
      <c r="AG45" s="819"/>
      <c r="AH45" s="825"/>
      <c r="AI45" s="822"/>
      <c r="AJ45" s="825"/>
      <c r="AK45" s="822"/>
      <c r="AL45" s="825"/>
      <c r="AM45" s="822"/>
      <c r="AN45" s="72"/>
      <c r="AO45" s="72"/>
    </row>
    <row r="46" spans="1:41" ht="69" customHeight="1" x14ac:dyDescent="0.35">
      <c r="A46" s="72"/>
      <c r="B46" s="72"/>
      <c r="C46" s="162"/>
      <c r="D46" s="794">
        <v>4</v>
      </c>
      <c r="E46" s="798" t="s">
        <v>99</v>
      </c>
      <c r="F46" s="798" t="s">
        <v>84</v>
      </c>
      <c r="G46" s="798" t="s">
        <v>100</v>
      </c>
      <c r="H46" s="798" t="s">
        <v>101</v>
      </c>
      <c r="I46" s="908"/>
      <c r="J46" s="903" t="s">
        <v>1466</v>
      </c>
      <c r="K46" s="850" t="s">
        <v>127</v>
      </c>
      <c r="L46" s="851" t="s">
        <v>1467</v>
      </c>
      <c r="M46" s="851" t="s">
        <v>1468</v>
      </c>
      <c r="N46" s="852" t="s">
        <v>1451</v>
      </c>
      <c r="O46" s="853" t="s">
        <v>264</v>
      </c>
      <c r="P46" s="797">
        <v>46023</v>
      </c>
      <c r="Q46" s="797">
        <v>46387</v>
      </c>
      <c r="R46" s="351"/>
      <c r="S46" s="352"/>
      <c r="T46" s="353"/>
      <c r="U46" s="354"/>
      <c r="V46" s="355"/>
      <c r="W46" s="159"/>
      <c r="X46" s="177"/>
      <c r="Y46" s="356"/>
      <c r="Z46" s="159"/>
      <c r="AA46" s="177"/>
      <c r="AB46" s="357"/>
      <c r="AC46" s="159"/>
      <c r="AD46" s="177"/>
      <c r="AE46" s="358"/>
      <c r="AF46" s="72"/>
      <c r="AG46" s="229"/>
      <c r="AH46" s="164"/>
      <c r="AI46" s="163"/>
      <c r="AJ46" s="164"/>
      <c r="AK46" s="163"/>
      <c r="AL46" s="164"/>
      <c r="AM46" s="163"/>
      <c r="AN46" s="72"/>
      <c r="AO46" s="72"/>
    </row>
    <row r="47" spans="1:41" ht="69" customHeight="1" x14ac:dyDescent="0.35">
      <c r="A47" s="72"/>
      <c r="B47" s="72"/>
      <c r="C47" s="162"/>
      <c r="D47" s="794"/>
      <c r="E47" s="798"/>
      <c r="F47" s="798"/>
      <c r="G47" s="798"/>
      <c r="H47" s="798"/>
      <c r="I47" s="908"/>
      <c r="J47" s="903"/>
      <c r="K47" s="850"/>
      <c r="L47" s="851"/>
      <c r="M47" s="851"/>
      <c r="N47" s="852"/>
      <c r="O47" s="853"/>
      <c r="P47" s="797"/>
      <c r="Q47" s="797"/>
      <c r="R47" s="351"/>
      <c r="S47" s="352"/>
      <c r="T47" s="353"/>
      <c r="U47" s="354"/>
      <c r="V47" s="355"/>
      <c r="W47" s="159"/>
      <c r="X47" s="177"/>
      <c r="Y47" s="356"/>
      <c r="Z47" s="159"/>
      <c r="AA47" s="177"/>
      <c r="AB47" s="357"/>
      <c r="AC47" s="159"/>
      <c r="AD47" s="177"/>
      <c r="AE47" s="358"/>
      <c r="AF47" s="72"/>
      <c r="AG47" s="229"/>
      <c r="AH47" s="164"/>
      <c r="AI47" s="163"/>
      <c r="AJ47" s="164"/>
      <c r="AK47" s="163"/>
      <c r="AL47" s="164"/>
      <c r="AM47" s="163"/>
      <c r="AN47" s="72"/>
      <c r="AO47" s="72"/>
    </row>
    <row r="48" spans="1:41" ht="69" customHeight="1" x14ac:dyDescent="0.35">
      <c r="A48" s="72"/>
      <c r="B48" s="72"/>
      <c r="C48" s="162"/>
      <c r="D48" s="794">
        <v>5</v>
      </c>
      <c r="E48" s="798" t="s">
        <v>99</v>
      </c>
      <c r="F48" s="798" t="s">
        <v>84</v>
      </c>
      <c r="G48" s="798" t="s">
        <v>100</v>
      </c>
      <c r="H48" s="798" t="s">
        <v>101</v>
      </c>
      <c r="I48" s="908"/>
      <c r="J48" s="903"/>
      <c r="K48" s="850" t="s">
        <v>127</v>
      </c>
      <c r="L48" s="851" t="s">
        <v>1469</v>
      </c>
      <c r="M48" s="851" t="s">
        <v>1470</v>
      </c>
      <c r="N48" s="852" t="s">
        <v>1451</v>
      </c>
      <c r="O48" s="853" t="s">
        <v>264</v>
      </c>
      <c r="P48" s="797">
        <v>46023</v>
      </c>
      <c r="Q48" s="797">
        <v>46387</v>
      </c>
      <c r="R48" s="351"/>
      <c r="S48" s="352"/>
      <c r="T48" s="353"/>
      <c r="U48" s="354"/>
      <c r="V48" s="355"/>
      <c r="W48" s="159"/>
      <c r="X48" s="177"/>
      <c r="Y48" s="356"/>
      <c r="Z48" s="159"/>
      <c r="AA48" s="177"/>
      <c r="AB48" s="357"/>
      <c r="AC48" s="159"/>
      <c r="AD48" s="177"/>
      <c r="AE48" s="358"/>
      <c r="AF48" s="72"/>
      <c r="AG48" s="229"/>
      <c r="AH48" s="164"/>
      <c r="AI48" s="163"/>
      <c r="AJ48" s="164"/>
      <c r="AK48" s="163"/>
      <c r="AL48" s="164"/>
      <c r="AM48" s="163"/>
      <c r="AN48" s="72"/>
      <c r="AO48" s="72"/>
    </row>
    <row r="49" spans="1:41" ht="69" customHeight="1" thickBot="1" x14ac:dyDescent="0.4">
      <c r="A49" s="72"/>
      <c r="B49" s="72"/>
      <c r="C49" s="162"/>
      <c r="D49" s="794"/>
      <c r="E49" s="798"/>
      <c r="F49" s="798"/>
      <c r="G49" s="798"/>
      <c r="H49" s="798"/>
      <c r="I49" s="908"/>
      <c r="J49" s="903"/>
      <c r="K49" s="850"/>
      <c r="L49" s="851"/>
      <c r="M49" s="851"/>
      <c r="N49" s="852"/>
      <c r="O49" s="853"/>
      <c r="P49" s="797"/>
      <c r="Q49" s="797"/>
      <c r="R49" s="351"/>
      <c r="S49" s="352"/>
      <c r="T49" s="353"/>
      <c r="U49" s="354"/>
      <c r="V49" s="355"/>
      <c r="W49" s="159"/>
      <c r="X49" s="177"/>
      <c r="Y49" s="356"/>
      <c r="Z49" s="159"/>
      <c r="AA49" s="177"/>
      <c r="AB49" s="357"/>
      <c r="AC49" s="159"/>
      <c r="AD49" s="177"/>
      <c r="AE49" s="358"/>
      <c r="AF49" s="72"/>
      <c r="AG49" s="229"/>
      <c r="AH49" s="164"/>
      <c r="AI49" s="163"/>
      <c r="AJ49" s="164"/>
      <c r="AK49" s="163"/>
      <c r="AL49" s="164"/>
      <c r="AM49" s="163"/>
      <c r="AN49" s="72"/>
      <c r="AO49" s="72"/>
    </row>
    <row r="50" spans="1:41" ht="69" customHeight="1" x14ac:dyDescent="0.35">
      <c r="A50" s="843"/>
      <c r="B50" s="843"/>
      <c r="C50" s="162"/>
      <c r="D50" s="794">
        <v>6</v>
      </c>
      <c r="E50" s="798" t="s">
        <v>99</v>
      </c>
      <c r="F50" s="798" t="s">
        <v>84</v>
      </c>
      <c r="G50" s="798" t="s">
        <v>85</v>
      </c>
      <c r="H50" s="798" t="s">
        <v>86</v>
      </c>
      <c r="I50" s="908"/>
      <c r="J50" s="904" t="s">
        <v>1471</v>
      </c>
      <c r="K50" s="795" t="s">
        <v>127</v>
      </c>
      <c r="L50" s="795" t="s">
        <v>1472</v>
      </c>
      <c r="M50" s="828" t="s">
        <v>1473</v>
      </c>
      <c r="N50" s="828" t="s">
        <v>1451</v>
      </c>
      <c r="O50" s="828" t="s">
        <v>264</v>
      </c>
      <c r="P50" s="797">
        <v>46023</v>
      </c>
      <c r="Q50" s="797">
        <v>46387</v>
      </c>
      <c r="R50" s="244" t="s">
        <v>93</v>
      </c>
      <c r="S50" s="854">
        <v>0.125</v>
      </c>
      <c r="T50" s="98">
        <v>1</v>
      </c>
      <c r="U50" s="99">
        <v>0</v>
      </c>
      <c r="V50" s="100">
        <v>0</v>
      </c>
      <c r="W50" s="159"/>
      <c r="X50" s="177"/>
      <c r="Y50" s="861" t="s">
        <v>1474</v>
      </c>
      <c r="Z50" s="159"/>
      <c r="AA50" s="177"/>
      <c r="AB50" s="857" t="s">
        <v>1475</v>
      </c>
      <c r="AC50" s="159"/>
      <c r="AD50" s="177"/>
      <c r="AE50" s="857" t="s">
        <v>1475</v>
      </c>
      <c r="AF50" s="843"/>
      <c r="AG50" s="844"/>
      <c r="AH50" s="164"/>
      <c r="AI50" s="163"/>
      <c r="AJ50" s="164"/>
      <c r="AK50" s="163"/>
      <c r="AL50" s="164"/>
      <c r="AM50" s="163"/>
      <c r="AN50" s="79"/>
      <c r="AO50" s="79"/>
    </row>
    <row r="51" spans="1:41" ht="69" customHeight="1" thickBot="1" x14ac:dyDescent="0.4">
      <c r="A51" s="843"/>
      <c r="B51" s="843"/>
      <c r="C51" s="162"/>
      <c r="D51" s="794"/>
      <c r="E51" s="798"/>
      <c r="F51" s="798"/>
      <c r="G51" s="798"/>
      <c r="H51" s="798"/>
      <c r="I51" s="908"/>
      <c r="J51" s="905"/>
      <c r="K51" s="795"/>
      <c r="L51" s="795"/>
      <c r="M51" s="828"/>
      <c r="N51" s="828"/>
      <c r="O51" s="828"/>
      <c r="P51" s="797"/>
      <c r="Q51" s="797"/>
      <c r="R51" s="109" t="s">
        <v>98</v>
      </c>
      <c r="S51" s="855"/>
      <c r="T51" s="101">
        <v>1</v>
      </c>
      <c r="U51" s="94">
        <v>0</v>
      </c>
      <c r="V51" s="95">
        <v>0</v>
      </c>
      <c r="W51" s="159"/>
      <c r="X51" s="177"/>
      <c r="Y51" s="862"/>
      <c r="Z51" s="159"/>
      <c r="AA51" s="177"/>
      <c r="AB51" s="829"/>
      <c r="AC51" s="159"/>
      <c r="AD51" s="177"/>
      <c r="AE51" s="829"/>
      <c r="AF51" s="843"/>
      <c r="AG51" s="844"/>
      <c r="AH51" s="164"/>
      <c r="AI51" s="163"/>
      <c r="AJ51" s="164"/>
      <c r="AK51" s="163"/>
      <c r="AL51" s="164"/>
      <c r="AM51" s="163"/>
      <c r="AN51" s="79"/>
      <c r="AO51" s="79"/>
    </row>
    <row r="52" spans="1:41" ht="69" customHeight="1" x14ac:dyDescent="0.35">
      <c r="A52" s="843"/>
      <c r="B52" s="843"/>
      <c r="C52" s="162"/>
      <c r="D52" s="794">
        <v>7</v>
      </c>
      <c r="E52" s="798" t="s">
        <v>99</v>
      </c>
      <c r="F52" s="798" t="s">
        <v>84</v>
      </c>
      <c r="G52" s="798" t="s">
        <v>85</v>
      </c>
      <c r="H52" s="798" t="s">
        <v>86</v>
      </c>
      <c r="I52" s="908"/>
      <c r="J52" s="905"/>
      <c r="K52" s="795" t="s">
        <v>87</v>
      </c>
      <c r="L52" s="795" t="s">
        <v>1476</v>
      </c>
      <c r="M52" s="795" t="s">
        <v>1477</v>
      </c>
      <c r="N52" s="795" t="s">
        <v>1451</v>
      </c>
      <c r="O52" s="795" t="s">
        <v>264</v>
      </c>
      <c r="P52" s="796">
        <v>46082</v>
      </c>
      <c r="Q52" s="796">
        <v>46387</v>
      </c>
      <c r="R52" s="884">
        <v>46022</v>
      </c>
      <c r="S52" s="854">
        <v>0.125</v>
      </c>
      <c r="T52" s="98">
        <v>1</v>
      </c>
      <c r="U52" s="99">
        <v>0</v>
      </c>
      <c r="V52" s="100">
        <v>0</v>
      </c>
      <c r="W52" s="159"/>
      <c r="X52" s="177"/>
      <c r="Y52" s="861" t="s">
        <v>1474</v>
      </c>
      <c r="Z52" s="159"/>
      <c r="AA52" s="177"/>
      <c r="AB52" s="857" t="s">
        <v>1475</v>
      </c>
      <c r="AC52" s="159"/>
      <c r="AD52" s="177"/>
      <c r="AE52" s="857" t="s">
        <v>1475</v>
      </c>
      <c r="AF52" s="843"/>
      <c r="AG52" s="844"/>
      <c r="AH52" s="164"/>
      <c r="AI52" s="163"/>
      <c r="AJ52" s="164"/>
      <c r="AK52" s="163"/>
      <c r="AL52" s="164"/>
      <c r="AM52" s="163"/>
      <c r="AN52" s="79"/>
      <c r="AO52" s="79"/>
    </row>
    <row r="53" spans="1:41" ht="69" customHeight="1" thickBot="1" x14ac:dyDescent="0.4">
      <c r="A53" s="843"/>
      <c r="B53" s="843"/>
      <c r="C53" s="162"/>
      <c r="D53" s="794"/>
      <c r="E53" s="798"/>
      <c r="F53" s="798"/>
      <c r="G53" s="798"/>
      <c r="H53" s="798"/>
      <c r="I53" s="909"/>
      <c r="J53" s="906"/>
      <c r="K53" s="795"/>
      <c r="L53" s="795" t="s">
        <v>1476</v>
      </c>
      <c r="M53" s="795" t="s">
        <v>1477</v>
      </c>
      <c r="N53" s="795" t="s">
        <v>1451</v>
      </c>
      <c r="O53" s="795" t="s">
        <v>264</v>
      </c>
      <c r="P53" s="796">
        <v>46082</v>
      </c>
      <c r="Q53" s="796">
        <v>46387</v>
      </c>
      <c r="R53" s="885"/>
      <c r="S53" s="855"/>
      <c r="T53" s="101">
        <v>1</v>
      </c>
      <c r="U53" s="94">
        <v>0</v>
      </c>
      <c r="V53" s="95">
        <v>0</v>
      </c>
      <c r="W53" s="159"/>
      <c r="X53" s="177"/>
      <c r="Y53" s="862"/>
      <c r="Z53" s="159"/>
      <c r="AA53" s="177"/>
      <c r="AB53" s="829"/>
      <c r="AC53" s="159"/>
      <c r="AD53" s="177"/>
      <c r="AE53" s="829"/>
      <c r="AF53" s="843"/>
      <c r="AG53" s="844"/>
      <c r="AH53" s="164"/>
      <c r="AI53" s="163"/>
      <c r="AJ53" s="164"/>
      <c r="AK53" s="163"/>
      <c r="AL53" s="164"/>
      <c r="AM53" s="163"/>
      <c r="AN53" s="79"/>
      <c r="AO53" s="79"/>
    </row>
    <row r="54" spans="1:41" ht="69" customHeight="1" x14ac:dyDescent="0.35">
      <c r="A54" s="843"/>
      <c r="B54" s="843"/>
      <c r="C54" s="162"/>
      <c r="D54" s="794">
        <v>8</v>
      </c>
      <c r="E54" s="798" t="s">
        <v>99</v>
      </c>
      <c r="F54" s="798" t="s">
        <v>84</v>
      </c>
      <c r="G54" s="798" t="s">
        <v>100</v>
      </c>
      <c r="H54" s="798" t="s">
        <v>101</v>
      </c>
      <c r="I54" s="917" t="s">
        <v>1478</v>
      </c>
      <c r="J54" s="910" t="s">
        <v>1479</v>
      </c>
      <c r="K54" s="850" t="s">
        <v>150</v>
      </c>
      <c r="L54" s="851" t="s">
        <v>1480</v>
      </c>
      <c r="M54" s="850" t="s">
        <v>1481</v>
      </c>
      <c r="N54" s="853" t="s">
        <v>1482</v>
      </c>
      <c r="O54" s="858" t="s">
        <v>264</v>
      </c>
      <c r="P54" s="883">
        <v>46296</v>
      </c>
      <c r="Q54" s="883">
        <v>46387</v>
      </c>
      <c r="R54" s="244" t="s">
        <v>93</v>
      </c>
      <c r="S54" s="854">
        <v>0.125</v>
      </c>
      <c r="T54" s="98">
        <v>1</v>
      </c>
      <c r="U54" s="99">
        <v>0</v>
      </c>
      <c r="V54" s="100">
        <v>0</v>
      </c>
      <c r="W54" s="159"/>
      <c r="X54" s="177"/>
      <c r="Y54" s="861" t="s">
        <v>1474</v>
      </c>
      <c r="Z54" s="159"/>
      <c r="AA54" s="177"/>
      <c r="AB54" s="857" t="s">
        <v>1475</v>
      </c>
      <c r="AC54" s="159"/>
      <c r="AD54" s="177"/>
      <c r="AE54" s="857" t="s">
        <v>1475</v>
      </c>
      <c r="AF54" s="843"/>
      <c r="AG54" s="844"/>
      <c r="AH54" s="164"/>
      <c r="AI54" s="163"/>
      <c r="AJ54" s="164"/>
      <c r="AK54" s="163"/>
      <c r="AL54" s="164"/>
      <c r="AM54" s="163"/>
      <c r="AN54" s="79"/>
      <c r="AO54" s="79"/>
    </row>
    <row r="55" spans="1:41" ht="69" customHeight="1" thickBot="1" x14ac:dyDescent="0.4">
      <c r="A55" s="843"/>
      <c r="B55" s="843"/>
      <c r="C55" s="162"/>
      <c r="D55" s="794"/>
      <c r="E55" s="798"/>
      <c r="F55" s="798"/>
      <c r="G55" s="798"/>
      <c r="H55" s="798"/>
      <c r="I55" s="918"/>
      <c r="J55" s="911"/>
      <c r="K55" s="912"/>
      <c r="L55" s="913"/>
      <c r="M55" s="912"/>
      <c r="N55" s="919"/>
      <c r="O55" s="858" t="s">
        <v>264</v>
      </c>
      <c r="P55" s="883"/>
      <c r="Q55" s="883"/>
      <c r="R55" s="109" t="s">
        <v>98</v>
      </c>
      <c r="S55" s="855"/>
      <c r="T55" s="101">
        <v>1</v>
      </c>
      <c r="U55" s="94">
        <v>0</v>
      </c>
      <c r="V55" s="95">
        <v>0</v>
      </c>
      <c r="W55" s="159"/>
      <c r="X55" s="177"/>
      <c r="Y55" s="862"/>
      <c r="Z55" s="159"/>
      <c r="AA55" s="177"/>
      <c r="AB55" s="829"/>
      <c r="AC55" s="159"/>
      <c r="AD55" s="177"/>
      <c r="AE55" s="829"/>
      <c r="AF55" s="843"/>
      <c r="AG55" s="844"/>
      <c r="AH55" s="164"/>
      <c r="AI55" s="163"/>
      <c r="AJ55" s="164"/>
      <c r="AK55" s="163"/>
      <c r="AL55" s="164"/>
      <c r="AM55" s="163"/>
      <c r="AN55" s="79"/>
      <c r="AO55" s="79"/>
    </row>
    <row r="56" spans="1:41" ht="69" customHeight="1" x14ac:dyDescent="0.35">
      <c r="A56" s="843"/>
      <c r="B56" s="843"/>
      <c r="C56" s="848"/>
      <c r="D56" s="794">
        <v>9</v>
      </c>
      <c r="E56" s="798" t="s">
        <v>99</v>
      </c>
      <c r="F56" s="798" t="s">
        <v>84</v>
      </c>
      <c r="G56" s="798" t="s">
        <v>100</v>
      </c>
      <c r="H56" s="798" t="s">
        <v>101</v>
      </c>
      <c r="I56" s="918"/>
      <c r="J56" s="911"/>
      <c r="K56" s="858" t="s">
        <v>87</v>
      </c>
      <c r="L56" s="858" t="s">
        <v>1483</v>
      </c>
      <c r="M56" s="858" t="s">
        <v>1484</v>
      </c>
      <c r="N56" s="858" t="s">
        <v>1451</v>
      </c>
      <c r="O56" s="858" t="s">
        <v>264</v>
      </c>
      <c r="P56" s="883">
        <v>46024</v>
      </c>
      <c r="Q56" s="883">
        <v>46387</v>
      </c>
      <c r="R56" s="244" t="s">
        <v>93</v>
      </c>
      <c r="S56" s="854">
        <v>0.125</v>
      </c>
      <c r="T56" s="98">
        <v>1</v>
      </c>
      <c r="U56" s="99">
        <v>0</v>
      </c>
      <c r="V56" s="100">
        <v>0</v>
      </c>
      <c r="W56" s="881" t="e">
        <f>($S$56*T57)+($S$58*T59)+($S$62*T63)+($S$64*T65)+($S$66*T67)+($S$68*T69)+($S$106*T107)+(#REF!*#REF!)</f>
        <v>#REF!</v>
      </c>
      <c r="X56" s="831" t="e">
        <f>($S$56*$T56)+($S$58*$T58)+($S$62*$T62)+($S$64*$T64)+($S$66*$T66)+($S$68*$T68)+($S$106*$T106)+(#REF!*#REF!)</f>
        <v>#REF!</v>
      </c>
      <c r="Y56" s="861" t="s">
        <v>1474</v>
      </c>
      <c r="Z56" s="847" t="e">
        <f>($S$56*U57)+($S$58*U59)+($S$62*U63)+($S$64*U65)+($S$66*U67)+($S$68*U69)+($S$106*U107)+(#REF!*#REF!)</f>
        <v>#REF!</v>
      </c>
      <c r="AA56" s="841" t="e">
        <f>($S$56*U56)+($S$58*U58)+($S$62*U62)+($S$64*U64)+($S$66*U66)+($S$68*U68)+($S$106*U106)+(#REF!*#REF!)</f>
        <v>#REF!</v>
      </c>
      <c r="AB56" s="857" t="s">
        <v>1475</v>
      </c>
      <c r="AC56" s="847" t="e">
        <f>($S$56*V57)+($S$58*V59)+($S$62*V63)+($S$64*V65)+($S$66*V67)+($S$68*V69)+($S$106*V107)+(#REF!*#REF!)</f>
        <v>#REF!</v>
      </c>
      <c r="AD56" s="841" t="e">
        <f>($S$56*V56)+($S$58*V58)+($S$62*V62)+($S$64*V64)+($S$66*V66)+($S$68*V68)+($S$106*V106)+(#REF!*#REF!)</f>
        <v>#REF!</v>
      </c>
      <c r="AE56" s="857" t="s">
        <v>1475</v>
      </c>
      <c r="AF56" s="843"/>
      <c r="AG56" s="844"/>
      <c r="AH56" s="823" t="e">
        <f>+W56</f>
        <v>#REF!</v>
      </c>
      <c r="AI56" s="820" t="e">
        <f>+X56</f>
        <v>#REF!</v>
      </c>
      <c r="AJ56" s="823" t="e">
        <f>+Z56</f>
        <v>#REF!</v>
      </c>
      <c r="AK56" s="820" t="e">
        <f>+AA56</f>
        <v>#REF!</v>
      </c>
      <c r="AL56" s="823" t="e">
        <f>+AC56</f>
        <v>#REF!</v>
      </c>
      <c r="AM56" s="820" t="e">
        <f>+AD56</f>
        <v>#REF!</v>
      </c>
      <c r="AN56" s="79"/>
      <c r="AO56" s="79"/>
    </row>
    <row r="57" spans="1:41" ht="69" customHeight="1" thickBot="1" x14ac:dyDescent="0.4">
      <c r="A57" s="843"/>
      <c r="B57" s="843"/>
      <c r="C57" s="849"/>
      <c r="D57" s="794"/>
      <c r="E57" s="798"/>
      <c r="F57" s="798"/>
      <c r="G57" s="798"/>
      <c r="H57" s="798"/>
      <c r="I57" s="918"/>
      <c r="J57" s="911"/>
      <c r="K57" s="858"/>
      <c r="L57" s="858" t="s">
        <v>1483</v>
      </c>
      <c r="M57" s="858" t="s">
        <v>1484</v>
      </c>
      <c r="N57" s="858" t="s">
        <v>1451</v>
      </c>
      <c r="O57" s="858" t="s">
        <v>264</v>
      </c>
      <c r="P57" s="883">
        <v>46024</v>
      </c>
      <c r="Q57" s="883">
        <v>46387</v>
      </c>
      <c r="R57" s="109" t="s">
        <v>98</v>
      </c>
      <c r="S57" s="855"/>
      <c r="T57" s="101">
        <v>1</v>
      </c>
      <c r="U57" s="94">
        <v>0</v>
      </c>
      <c r="V57" s="95">
        <v>0</v>
      </c>
      <c r="W57" s="845"/>
      <c r="X57" s="832"/>
      <c r="Y57" s="862"/>
      <c r="Z57" s="845"/>
      <c r="AA57" s="832"/>
      <c r="AB57" s="829"/>
      <c r="AC57" s="845"/>
      <c r="AD57" s="832"/>
      <c r="AE57" s="829"/>
      <c r="AF57" s="843"/>
      <c r="AG57" s="844"/>
      <c r="AH57" s="824"/>
      <c r="AI57" s="821"/>
      <c r="AJ57" s="824"/>
      <c r="AK57" s="821"/>
      <c r="AL57" s="824"/>
      <c r="AM57" s="821"/>
      <c r="AN57" s="79"/>
      <c r="AO57" s="79"/>
    </row>
    <row r="58" spans="1:41" ht="69" customHeight="1" x14ac:dyDescent="0.35">
      <c r="A58" s="843"/>
      <c r="B58" s="843"/>
      <c r="C58" s="849"/>
      <c r="D58" s="794">
        <v>10</v>
      </c>
      <c r="E58" s="798" t="s">
        <v>99</v>
      </c>
      <c r="F58" s="798" t="s">
        <v>84</v>
      </c>
      <c r="G58" s="798" t="s">
        <v>100</v>
      </c>
      <c r="H58" s="798" t="s">
        <v>101</v>
      </c>
      <c r="I58" s="918"/>
      <c r="J58" s="911"/>
      <c r="K58" s="858" t="s">
        <v>87</v>
      </c>
      <c r="L58" s="858" t="s">
        <v>1485</v>
      </c>
      <c r="M58" s="858" t="s">
        <v>1486</v>
      </c>
      <c r="N58" s="858" t="s">
        <v>1451</v>
      </c>
      <c r="O58" s="858" t="s">
        <v>264</v>
      </c>
      <c r="P58" s="883">
        <v>46024</v>
      </c>
      <c r="Q58" s="883">
        <v>46387</v>
      </c>
      <c r="R58" s="244" t="s">
        <v>93</v>
      </c>
      <c r="S58" s="854">
        <v>0.125</v>
      </c>
      <c r="T58" s="98">
        <v>1</v>
      </c>
      <c r="U58" s="99">
        <v>0</v>
      </c>
      <c r="V58" s="100">
        <v>0</v>
      </c>
      <c r="W58" s="845"/>
      <c r="X58" s="832"/>
      <c r="Y58" s="861" t="s">
        <v>1474</v>
      </c>
      <c r="Z58" s="845"/>
      <c r="AA58" s="832"/>
      <c r="AB58" s="857" t="s">
        <v>1475</v>
      </c>
      <c r="AC58" s="845"/>
      <c r="AD58" s="832"/>
      <c r="AE58" s="857" t="s">
        <v>1475</v>
      </c>
      <c r="AF58" s="843"/>
      <c r="AG58" s="844"/>
      <c r="AH58" s="824"/>
      <c r="AI58" s="821"/>
      <c r="AJ58" s="824"/>
      <c r="AK58" s="821"/>
      <c r="AL58" s="824"/>
      <c r="AM58" s="821"/>
      <c r="AN58" s="79"/>
      <c r="AO58" s="79"/>
    </row>
    <row r="59" spans="1:41" ht="69" customHeight="1" thickBot="1" x14ac:dyDescent="0.4">
      <c r="A59" s="843"/>
      <c r="B59" s="843"/>
      <c r="C59" s="849"/>
      <c r="D59" s="794"/>
      <c r="E59" s="798"/>
      <c r="F59" s="798"/>
      <c r="G59" s="798"/>
      <c r="H59" s="798"/>
      <c r="I59" s="918"/>
      <c r="J59" s="911"/>
      <c r="K59" s="858" t="s">
        <v>87</v>
      </c>
      <c r="L59" s="858" t="s">
        <v>1485</v>
      </c>
      <c r="M59" s="858" t="s">
        <v>1486</v>
      </c>
      <c r="N59" s="858" t="s">
        <v>1451</v>
      </c>
      <c r="O59" s="858" t="s">
        <v>264</v>
      </c>
      <c r="P59" s="883">
        <v>46024</v>
      </c>
      <c r="Q59" s="883">
        <v>46387</v>
      </c>
      <c r="R59" s="109" t="s">
        <v>98</v>
      </c>
      <c r="S59" s="855"/>
      <c r="T59" s="101">
        <v>1</v>
      </c>
      <c r="U59" s="94">
        <v>0</v>
      </c>
      <c r="V59" s="95">
        <v>0</v>
      </c>
      <c r="W59" s="845"/>
      <c r="X59" s="832"/>
      <c r="Y59" s="862"/>
      <c r="Z59" s="845"/>
      <c r="AA59" s="832"/>
      <c r="AB59" s="829"/>
      <c r="AC59" s="845"/>
      <c r="AD59" s="832"/>
      <c r="AE59" s="829"/>
      <c r="AF59" s="843"/>
      <c r="AG59" s="844"/>
      <c r="AH59" s="824"/>
      <c r="AI59" s="821"/>
      <c r="AJ59" s="824"/>
      <c r="AK59" s="821"/>
      <c r="AL59" s="824"/>
      <c r="AM59" s="821"/>
      <c r="AN59" s="79"/>
      <c r="AO59" s="79"/>
    </row>
    <row r="60" spans="1:41" ht="69" customHeight="1" x14ac:dyDescent="0.35">
      <c r="A60" s="843"/>
      <c r="B60" s="843"/>
      <c r="C60" s="849"/>
      <c r="D60" s="794">
        <v>11</v>
      </c>
      <c r="E60" s="798" t="s">
        <v>99</v>
      </c>
      <c r="F60" s="798" t="s">
        <v>84</v>
      </c>
      <c r="G60" s="798" t="s">
        <v>100</v>
      </c>
      <c r="H60" s="798" t="s">
        <v>101</v>
      </c>
      <c r="I60" s="918"/>
      <c r="J60" s="911"/>
      <c r="K60" s="858" t="s">
        <v>87</v>
      </c>
      <c r="L60" s="858" t="s">
        <v>1487</v>
      </c>
      <c r="M60" s="858" t="s">
        <v>1488</v>
      </c>
      <c r="N60" s="858" t="s">
        <v>1451</v>
      </c>
      <c r="O60" s="858" t="s">
        <v>264</v>
      </c>
      <c r="P60" s="883">
        <v>46234</v>
      </c>
      <c r="Q60" s="883">
        <v>46418</v>
      </c>
      <c r="R60" s="244" t="s">
        <v>93</v>
      </c>
      <c r="S60" s="854">
        <v>0.125</v>
      </c>
      <c r="T60" s="98">
        <v>1</v>
      </c>
      <c r="U60" s="99">
        <v>0</v>
      </c>
      <c r="V60" s="100">
        <v>0</v>
      </c>
      <c r="W60" s="845"/>
      <c r="X60" s="832"/>
      <c r="Y60" s="861" t="s">
        <v>1474</v>
      </c>
      <c r="Z60" s="845"/>
      <c r="AA60" s="832"/>
      <c r="AB60" s="857" t="s">
        <v>1475</v>
      </c>
      <c r="AC60" s="845"/>
      <c r="AD60" s="832"/>
      <c r="AE60" s="857" t="s">
        <v>1475</v>
      </c>
      <c r="AF60" s="843"/>
      <c r="AG60" s="844"/>
      <c r="AH60" s="824"/>
      <c r="AI60" s="821"/>
      <c r="AJ60" s="824"/>
      <c r="AK60" s="821"/>
      <c r="AL60" s="824"/>
      <c r="AM60" s="821"/>
      <c r="AN60" s="79"/>
      <c r="AO60" s="79"/>
    </row>
    <row r="61" spans="1:41" ht="69" customHeight="1" thickBot="1" x14ac:dyDescent="0.4">
      <c r="A61" s="843"/>
      <c r="B61" s="843"/>
      <c r="C61" s="849"/>
      <c r="D61" s="794"/>
      <c r="E61" s="798"/>
      <c r="F61" s="798"/>
      <c r="G61" s="798"/>
      <c r="H61" s="798"/>
      <c r="I61" s="918"/>
      <c r="J61" s="911"/>
      <c r="K61" s="858" t="s">
        <v>87</v>
      </c>
      <c r="L61" s="858" t="s">
        <v>1487</v>
      </c>
      <c r="M61" s="858" t="s">
        <v>1488</v>
      </c>
      <c r="N61" s="858" t="s">
        <v>1451</v>
      </c>
      <c r="O61" s="858" t="s">
        <v>264</v>
      </c>
      <c r="P61" s="883">
        <v>46234</v>
      </c>
      <c r="Q61" s="883">
        <v>46418</v>
      </c>
      <c r="R61" s="109" t="s">
        <v>98</v>
      </c>
      <c r="S61" s="855"/>
      <c r="T61" s="101">
        <v>1</v>
      </c>
      <c r="U61" s="94">
        <v>0</v>
      </c>
      <c r="V61" s="95">
        <v>0</v>
      </c>
      <c r="W61" s="845"/>
      <c r="X61" s="832"/>
      <c r="Y61" s="862"/>
      <c r="Z61" s="845"/>
      <c r="AA61" s="832"/>
      <c r="AB61" s="829"/>
      <c r="AC61" s="845"/>
      <c r="AD61" s="832"/>
      <c r="AE61" s="829"/>
      <c r="AF61" s="843"/>
      <c r="AG61" s="844"/>
      <c r="AH61" s="824"/>
      <c r="AI61" s="821"/>
      <c r="AJ61" s="824"/>
      <c r="AK61" s="821"/>
      <c r="AL61" s="824"/>
      <c r="AM61" s="821"/>
      <c r="AN61" s="79"/>
      <c r="AO61" s="79"/>
    </row>
    <row r="62" spans="1:41" ht="69" customHeight="1" x14ac:dyDescent="0.35">
      <c r="A62" s="843"/>
      <c r="B62" s="843"/>
      <c r="C62" s="849"/>
      <c r="D62" s="794">
        <v>12</v>
      </c>
      <c r="E62" s="798" t="s">
        <v>99</v>
      </c>
      <c r="F62" s="798" t="s">
        <v>84</v>
      </c>
      <c r="G62" s="798" t="s">
        <v>100</v>
      </c>
      <c r="H62" s="798" t="s">
        <v>101</v>
      </c>
      <c r="I62" s="918"/>
      <c r="J62" s="911"/>
      <c r="K62" s="858" t="s">
        <v>87</v>
      </c>
      <c r="L62" s="858" t="s">
        <v>1489</v>
      </c>
      <c r="M62" s="858" t="s">
        <v>1675</v>
      </c>
      <c r="N62" s="858" t="s">
        <v>1451</v>
      </c>
      <c r="O62" s="858" t="s">
        <v>264</v>
      </c>
      <c r="P62" s="883">
        <v>46234</v>
      </c>
      <c r="Q62" s="883">
        <v>46446</v>
      </c>
      <c r="R62" s="244" t="s">
        <v>93</v>
      </c>
      <c r="S62" s="854">
        <v>0.125</v>
      </c>
      <c r="T62" s="98">
        <v>1</v>
      </c>
      <c r="U62" s="99">
        <v>0</v>
      </c>
      <c r="V62" s="100">
        <v>0</v>
      </c>
      <c r="W62" s="845"/>
      <c r="X62" s="832"/>
      <c r="Y62" s="861" t="s">
        <v>1474</v>
      </c>
      <c r="Z62" s="845"/>
      <c r="AA62" s="832"/>
      <c r="AB62" s="857" t="s">
        <v>1475</v>
      </c>
      <c r="AC62" s="845"/>
      <c r="AD62" s="832"/>
      <c r="AE62" s="857" t="s">
        <v>1475</v>
      </c>
      <c r="AF62" s="843"/>
      <c r="AG62" s="844"/>
      <c r="AH62" s="824"/>
      <c r="AI62" s="821"/>
      <c r="AJ62" s="824"/>
      <c r="AK62" s="821"/>
      <c r="AL62" s="824"/>
      <c r="AM62" s="821"/>
      <c r="AN62" s="79"/>
      <c r="AO62" s="79"/>
    </row>
    <row r="63" spans="1:41" ht="69" customHeight="1" thickBot="1" x14ac:dyDescent="0.4">
      <c r="A63" s="843"/>
      <c r="B63" s="843"/>
      <c r="C63" s="849"/>
      <c r="D63" s="794"/>
      <c r="E63" s="798"/>
      <c r="F63" s="798"/>
      <c r="G63" s="798"/>
      <c r="H63" s="798"/>
      <c r="I63" s="918"/>
      <c r="J63" s="911"/>
      <c r="K63" s="858" t="s">
        <v>87</v>
      </c>
      <c r="L63" s="858" t="s">
        <v>1489</v>
      </c>
      <c r="M63" s="858" t="s">
        <v>1490</v>
      </c>
      <c r="N63" s="858" t="s">
        <v>1451</v>
      </c>
      <c r="O63" s="858" t="s">
        <v>264</v>
      </c>
      <c r="P63" s="883">
        <v>46234</v>
      </c>
      <c r="Q63" s="883">
        <v>46446</v>
      </c>
      <c r="R63" s="109" t="s">
        <v>98</v>
      </c>
      <c r="S63" s="855"/>
      <c r="T63" s="101">
        <v>1</v>
      </c>
      <c r="U63" s="94">
        <v>0</v>
      </c>
      <c r="V63" s="95">
        <v>0</v>
      </c>
      <c r="W63" s="845"/>
      <c r="X63" s="832"/>
      <c r="Y63" s="862"/>
      <c r="Z63" s="845"/>
      <c r="AA63" s="832"/>
      <c r="AB63" s="829"/>
      <c r="AC63" s="845"/>
      <c r="AD63" s="832"/>
      <c r="AE63" s="829"/>
      <c r="AF63" s="843"/>
      <c r="AG63" s="844"/>
      <c r="AH63" s="824"/>
      <c r="AI63" s="821"/>
      <c r="AJ63" s="824"/>
      <c r="AK63" s="821"/>
      <c r="AL63" s="824"/>
      <c r="AM63" s="821"/>
      <c r="AN63" s="79"/>
      <c r="AO63" s="79"/>
    </row>
    <row r="64" spans="1:41" ht="69" customHeight="1" x14ac:dyDescent="0.35">
      <c r="A64" s="843"/>
      <c r="B64" s="843"/>
      <c r="C64" s="849"/>
      <c r="D64" s="794">
        <v>13</v>
      </c>
      <c r="E64" s="798" t="s">
        <v>99</v>
      </c>
      <c r="F64" s="798" t="s">
        <v>84</v>
      </c>
      <c r="G64" s="798" t="s">
        <v>130</v>
      </c>
      <c r="H64" s="798" t="s">
        <v>173</v>
      </c>
      <c r="I64" s="918"/>
      <c r="J64" s="894" t="s">
        <v>1491</v>
      </c>
      <c r="K64" s="867" t="s">
        <v>1492</v>
      </c>
      <c r="L64" s="851" t="s">
        <v>1493</v>
      </c>
      <c r="M64" s="851" t="s">
        <v>1494</v>
      </c>
      <c r="N64" s="852" t="s">
        <v>1083</v>
      </c>
      <c r="O64" s="853" t="s">
        <v>1495</v>
      </c>
      <c r="P64" s="797">
        <v>46023</v>
      </c>
      <c r="Q64" s="797">
        <v>46387</v>
      </c>
      <c r="R64" s="871" t="s">
        <v>1496</v>
      </c>
      <c r="S64" s="854">
        <v>0.125</v>
      </c>
      <c r="T64" s="98">
        <v>1</v>
      </c>
      <c r="U64" s="99">
        <v>0</v>
      </c>
      <c r="V64" s="100">
        <v>0</v>
      </c>
      <c r="W64" s="845"/>
      <c r="X64" s="832"/>
      <c r="Y64" s="861" t="s">
        <v>1474</v>
      </c>
      <c r="Z64" s="845"/>
      <c r="AA64" s="832"/>
      <c r="AB64" s="857" t="s">
        <v>1475</v>
      </c>
      <c r="AC64" s="845"/>
      <c r="AD64" s="832"/>
      <c r="AE64" s="857" t="s">
        <v>1475</v>
      </c>
      <c r="AF64" s="843"/>
      <c r="AG64" s="844"/>
      <c r="AH64" s="824"/>
      <c r="AI64" s="821"/>
      <c r="AJ64" s="824"/>
      <c r="AK64" s="821"/>
      <c r="AL64" s="824"/>
      <c r="AM64" s="821"/>
      <c r="AN64" s="79"/>
      <c r="AO64" s="79"/>
    </row>
    <row r="65" spans="1:41" ht="69" customHeight="1" thickBot="1" x14ac:dyDescent="0.4">
      <c r="A65" s="843"/>
      <c r="B65" s="843"/>
      <c r="C65" s="849"/>
      <c r="D65" s="794"/>
      <c r="E65" s="798"/>
      <c r="F65" s="798"/>
      <c r="G65" s="798"/>
      <c r="H65" s="798"/>
      <c r="I65" s="918"/>
      <c r="J65" s="894"/>
      <c r="K65" s="868"/>
      <c r="L65" s="869"/>
      <c r="M65" s="869"/>
      <c r="N65" s="870"/>
      <c r="O65" s="863"/>
      <c r="P65" s="797"/>
      <c r="Q65" s="797"/>
      <c r="R65" s="872"/>
      <c r="S65" s="855"/>
      <c r="T65" s="101">
        <v>1</v>
      </c>
      <c r="U65" s="94">
        <v>0</v>
      </c>
      <c r="V65" s="95">
        <v>0</v>
      </c>
      <c r="W65" s="845"/>
      <c r="X65" s="832"/>
      <c r="Y65" s="862"/>
      <c r="Z65" s="845"/>
      <c r="AA65" s="832"/>
      <c r="AB65" s="829"/>
      <c r="AC65" s="845"/>
      <c r="AD65" s="832"/>
      <c r="AE65" s="829"/>
      <c r="AF65" s="843"/>
      <c r="AG65" s="844"/>
      <c r="AH65" s="824"/>
      <c r="AI65" s="821"/>
      <c r="AJ65" s="824"/>
      <c r="AK65" s="821"/>
      <c r="AL65" s="824"/>
      <c r="AM65" s="821"/>
      <c r="AN65" s="79"/>
      <c r="AO65" s="79"/>
    </row>
    <row r="66" spans="1:41" ht="69" customHeight="1" x14ac:dyDescent="0.35">
      <c r="A66" s="843"/>
      <c r="B66" s="843"/>
      <c r="C66" s="849"/>
      <c r="D66" s="794">
        <v>14</v>
      </c>
      <c r="E66" s="798" t="s">
        <v>99</v>
      </c>
      <c r="F66" s="798" t="s">
        <v>84</v>
      </c>
      <c r="G66" s="798" t="s">
        <v>130</v>
      </c>
      <c r="H66" s="798" t="s">
        <v>173</v>
      </c>
      <c r="I66" s="918"/>
      <c r="J66" s="894"/>
      <c r="K66" s="874" t="s">
        <v>1674</v>
      </c>
      <c r="L66" s="876" t="s">
        <v>1673</v>
      </c>
      <c r="M66" s="851" t="s">
        <v>1497</v>
      </c>
      <c r="N66" s="852" t="s">
        <v>1498</v>
      </c>
      <c r="O66" s="853" t="s">
        <v>264</v>
      </c>
      <c r="P66" s="797">
        <v>46023</v>
      </c>
      <c r="Q66" s="797">
        <v>46387</v>
      </c>
      <c r="R66" s="871" t="s">
        <v>1496</v>
      </c>
      <c r="S66" s="854">
        <v>0.125</v>
      </c>
      <c r="T66" s="98">
        <v>1</v>
      </c>
      <c r="U66" s="99">
        <v>0</v>
      </c>
      <c r="V66" s="100">
        <v>0</v>
      </c>
      <c r="W66" s="845"/>
      <c r="X66" s="832"/>
      <c r="Y66" s="861" t="s">
        <v>1474</v>
      </c>
      <c r="Z66" s="845"/>
      <c r="AA66" s="832"/>
      <c r="AB66" s="857" t="s">
        <v>1475</v>
      </c>
      <c r="AC66" s="845"/>
      <c r="AD66" s="832"/>
      <c r="AE66" s="857" t="s">
        <v>1475</v>
      </c>
      <c r="AF66" s="843"/>
      <c r="AG66" s="844"/>
      <c r="AH66" s="824"/>
      <c r="AI66" s="821"/>
      <c r="AJ66" s="824"/>
      <c r="AK66" s="821"/>
      <c r="AL66" s="824"/>
      <c r="AM66" s="821"/>
      <c r="AN66" s="79"/>
      <c r="AO66" s="79"/>
    </row>
    <row r="67" spans="1:41" ht="69" customHeight="1" thickBot="1" x14ac:dyDescent="0.4">
      <c r="A67" s="843"/>
      <c r="B67" s="843"/>
      <c r="C67" s="849"/>
      <c r="D67" s="794"/>
      <c r="E67" s="798"/>
      <c r="F67" s="798"/>
      <c r="G67" s="798"/>
      <c r="H67" s="798"/>
      <c r="I67" s="918"/>
      <c r="J67" s="894"/>
      <c r="K67" s="875"/>
      <c r="L67" s="877"/>
      <c r="M67" s="869"/>
      <c r="N67" s="870"/>
      <c r="O67" s="863"/>
      <c r="P67" s="797"/>
      <c r="Q67" s="797"/>
      <c r="R67" s="872"/>
      <c r="S67" s="855"/>
      <c r="T67" s="101">
        <v>1</v>
      </c>
      <c r="U67" s="94">
        <v>0</v>
      </c>
      <c r="V67" s="95">
        <v>0</v>
      </c>
      <c r="W67" s="845"/>
      <c r="X67" s="832"/>
      <c r="Y67" s="862"/>
      <c r="Z67" s="845"/>
      <c r="AA67" s="832"/>
      <c r="AB67" s="829"/>
      <c r="AC67" s="845"/>
      <c r="AD67" s="832"/>
      <c r="AE67" s="829"/>
      <c r="AF67" s="843"/>
      <c r="AG67" s="844"/>
      <c r="AH67" s="824"/>
      <c r="AI67" s="821"/>
      <c r="AJ67" s="824"/>
      <c r="AK67" s="821"/>
      <c r="AL67" s="824"/>
      <c r="AM67" s="821"/>
      <c r="AN67" s="79"/>
      <c r="AO67" s="79"/>
    </row>
    <row r="68" spans="1:41" ht="69" customHeight="1" x14ac:dyDescent="0.35">
      <c r="A68" s="843"/>
      <c r="B68" s="843"/>
      <c r="C68" s="849"/>
      <c r="D68" s="794">
        <v>15</v>
      </c>
      <c r="E68" s="798" t="s">
        <v>99</v>
      </c>
      <c r="F68" s="798" t="s">
        <v>84</v>
      </c>
      <c r="G68" s="798" t="s">
        <v>130</v>
      </c>
      <c r="H68" s="798" t="s">
        <v>173</v>
      </c>
      <c r="I68" s="918"/>
      <c r="J68" s="894"/>
      <c r="K68" s="867" t="s">
        <v>132</v>
      </c>
      <c r="L68" s="851" t="s">
        <v>1499</v>
      </c>
      <c r="M68" s="851" t="s">
        <v>1500</v>
      </c>
      <c r="N68" s="852" t="s">
        <v>1083</v>
      </c>
      <c r="O68" s="853" t="s">
        <v>1100</v>
      </c>
      <c r="P68" s="797">
        <v>46023</v>
      </c>
      <c r="Q68" s="797">
        <v>46387</v>
      </c>
      <c r="R68" s="871" t="s">
        <v>1496</v>
      </c>
      <c r="S68" s="854">
        <v>0.125</v>
      </c>
      <c r="T68" s="98">
        <v>1</v>
      </c>
      <c r="U68" s="99">
        <v>0</v>
      </c>
      <c r="V68" s="100">
        <v>0</v>
      </c>
      <c r="W68" s="845"/>
      <c r="X68" s="832"/>
      <c r="Y68" s="861" t="s">
        <v>1474</v>
      </c>
      <c r="Z68" s="845"/>
      <c r="AA68" s="832"/>
      <c r="AB68" s="857" t="s">
        <v>1475</v>
      </c>
      <c r="AC68" s="845"/>
      <c r="AD68" s="832"/>
      <c r="AE68" s="857" t="s">
        <v>1475</v>
      </c>
      <c r="AF68" s="843"/>
      <c r="AG68" s="844"/>
      <c r="AH68" s="824"/>
      <c r="AI68" s="821"/>
      <c r="AJ68" s="824"/>
      <c r="AK68" s="821"/>
      <c r="AL68" s="824"/>
      <c r="AM68" s="821"/>
      <c r="AN68" s="79"/>
      <c r="AO68" s="79"/>
    </row>
    <row r="69" spans="1:41" ht="69" customHeight="1" x14ac:dyDescent="0.35">
      <c r="A69" s="843"/>
      <c r="B69" s="843"/>
      <c r="C69" s="849"/>
      <c r="D69" s="794"/>
      <c r="E69" s="798"/>
      <c r="F69" s="798"/>
      <c r="G69" s="798"/>
      <c r="H69" s="798"/>
      <c r="I69" s="918"/>
      <c r="J69" s="894"/>
      <c r="K69" s="868"/>
      <c r="L69" s="869"/>
      <c r="M69" s="869"/>
      <c r="N69" s="870"/>
      <c r="O69" s="863"/>
      <c r="P69" s="797"/>
      <c r="Q69" s="797"/>
      <c r="R69" s="872"/>
      <c r="S69" s="855"/>
      <c r="T69" s="101">
        <v>1</v>
      </c>
      <c r="U69" s="94">
        <v>0</v>
      </c>
      <c r="V69" s="95">
        <v>0</v>
      </c>
      <c r="W69" s="845"/>
      <c r="X69" s="832"/>
      <c r="Y69" s="862"/>
      <c r="Z69" s="845"/>
      <c r="AA69" s="832"/>
      <c r="AB69" s="829"/>
      <c r="AC69" s="845"/>
      <c r="AD69" s="832"/>
      <c r="AE69" s="829"/>
      <c r="AF69" s="843"/>
      <c r="AG69" s="844"/>
      <c r="AH69" s="824"/>
      <c r="AI69" s="821"/>
      <c r="AJ69" s="824"/>
      <c r="AK69" s="821"/>
      <c r="AL69" s="824"/>
      <c r="AM69" s="821"/>
      <c r="AN69" s="79"/>
      <c r="AO69" s="79"/>
    </row>
    <row r="70" spans="1:41" ht="69" customHeight="1" x14ac:dyDescent="0.35">
      <c r="A70" s="79"/>
      <c r="B70" s="79"/>
      <c r="C70" s="849"/>
      <c r="D70" s="794">
        <v>16</v>
      </c>
      <c r="E70" s="798" t="s">
        <v>99</v>
      </c>
      <c r="F70" s="798" t="s">
        <v>84</v>
      </c>
      <c r="G70" s="798" t="s">
        <v>130</v>
      </c>
      <c r="H70" s="798" t="s">
        <v>173</v>
      </c>
      <c r="I70" s="918"/>
      <c r="J70" s="894"/>
      <c r="K70" s="867" t="s">
        <v>132</v>
      </c>
      <c r="L70" s="851" t="s">
        <v>1501</v>
      </c>
      <c r="M70" s="851" t="s">
        <v>1502</v>
      </c>
      <c r="N70" s="852" t="s">
        <v>1498</v>
      </c>
      <c r="O70" s="853" t="s">
        <v>264</v>
      </c>
      <c r="P70" s="797">
        <v>46023</v>
      </c>
      <c r="Q70" s="797">
        <v>46387</v>
      </c>
      <c r="R70" s="245"/>
      <c r="S70" s="161"/>
      <c r="T70" s="101"/>
      <c r="U70" s="94"/>
      <c r="V70" s="95"/>
      <c r="W70" s="845"/>
      <c r="X70" s="832"/>
      <c r="Y70" s="166"/>
      <c r="Z70" s="845"/>
      <c r="AA70" s="832"/>
      <c r="AB70" s="160"/>
      <c r="AC70" s="845"/>
      <c r="AD70" s="832"/>
      <c r="AE70" s="160"/>
      <c r="AF70" s="79"/>
      <c r="AG70" s="165"/>
      <c r="AH70" s="824"/>
      <c r="AI70" s="821"/>
      <c r="AJ70" s="824"/>
      <c r="AK70" s="821"/>
      <c r="AL70" s="824"/>
      <c r="AM70" s="821"/>
      <c r="AN70" s="79"/>
      <c r="AO70" s="79"/>
    </row>
    <row r="71" spans="1:41" ht="69" customHeight="1" thickBot="1" x14ac:dyDescent="0.4">
      <c r="A71" s="79"/>
      <c r="B71" s="79"/>
      <c r="C71" s="849"/>
      <c r="D71" s="794"/>
      <c r="E71" s="798"/>
      <c r="F71" s="798"/>
      <c r="G71" s="798"/>
      <c r="H71" s="798"/>
      <c r="I71" s="918"/>
      <c r="J71" s="894"/>
      <c r="K71" s="897"/>
      <c r="L71" s="901"/>
      <c r="M71" s="901"/>
      <c r="N71" s="864"/>
      <c r="O71" s="895"/>
      <c r="P71" s="797"/>
      <c r="Q71" s="797"/>
      <c r="R71" s="245"/>
      <c r="S71" s="161"/>
      <c r="T71" s="101"/>
      <c r="U71" s="94"/>
      <c r="V71" s="95"/>
      <c r="W71" s="845"/>
      <c r="X71" s="832"/>
      <c r="Y71" s="166"/>
      <c r="Z71" s="845"/>
      <c r="AA71" s="832"/>
      <c r="AB71" s="160"/>
      <c r="AC71" s="845"/>
      <c r="AD71" s="832"/>
      <c r="AE71" s="160"/>
      <c r="AF71" s="79"/>
      <c r="AG71" s="165"/>
      <c r="AH71" s="824"/>
      <c r="AI71" s="821"/>
      <c r="AJ71" s="824"/>
      <c r="AK71" s="821"/>
      <c r="AL71" s="824"/>
      <c r="AM71" s="821"/>
      <c r="AN71" s="79"/>
      <c r="AO71" s="79"/>
    </row>
    <row r="72" spans="1:41" ht="69" customHeight="1" x14ac:dyDescent="0.35">
      <c r="A72" s="79"/>
      <c r="B72" s="79"/>
      <c r="C72" s="849"/>
      <c r="D72" s="794">
        <v>17</v>
      </c>
      <c r="E72" s="798" t="s">
        <v>99</v>
      </c>
      <c r="F72" s="798" t="s">
        <v>84</v>
      </c>
      <c r="G72" s="798" t="s">
        <v>130</v>
      </c>
      <c r="H72" s="798" t="s">
        <v>173</v>
      </c>
      <c r="I72" s="918"/>
      <c r="J72" s="894"/>
      <c r="K72" s="896" t="s">
        <v>102</v>
      </c>
      <c r="L72" s="898" t="s">
        <v>1503</v>
      </c>
      <c r="M72" s="898" t="s">
        <v>1504</v>
      </c>
      <c r="N72" s="899" t="s">
        <v>1505</v>
      </c>
      <c r="O72" s="900" t="s">
        <v>264</v>
      </c>
      <c r="P72" s="797">
        <v>46023</v>
      </c>
      <c r="Q72" s="797">
        <v>46387</v>
      </c>
      <c r="R72" s="245"/>
      <c r="S72" s="161"/>
      <c r="T72" s="101"/>
      <c r="U72" s="94"/>
      <c r="V72" s="95"/>
      <c r="W72" s="845"/>
      <c r="X72" s="832"/>
      <c r="Y72" s="166"/>
      <c r="Z72" s="845"/>
      <c r="AA72" s="832"/>
      <c r="AB72" s="160"/>
      <c r="AC72" s="845"/>
      <c r="AD72" s="832"/>
      <c r="AE72" s="160"/>
      <c r="AF72" s="79"/>
      <c r="AG72" s="165"/>
      <c r="AH72" s="824"/>
      <c r="AI72" s="821"/>
      <c r="AJ72" s="824"/>
      <c r="AK72" s="821"/>
      <c r="AL72" s="824"/>
      <c r="AM72" s="821"/>
      <c r="AN72" s="79"/>
      <c r="AO72" s="79"/>
    </row>
    <row r="73" spans="1:41" ht="69" customHeight="1" x14ac:dyDescent="0.35">
      <c r="A73" s="79"/>
      <c r="B73" s="79"/>
      <c r="C73" s="849"/>
      <c r="D73" s="794"/>
      <c r="E73" s="798"/>
      <c r="F73" s="798"/>
      <c r="G73" s="798"/>
      <c r="H73" s="798"/>
      <c r="I73" s="918"/>
      <c r="J73" s="894"/>
      <c r="K73" s="897"/>
      <c r="L73" s="851"/>
      <c r="M73" s="851"/>
      <c r="N73" s="852"/>
      <c r="O73" s="853"/>
      <c r="P73" s="797"/>
      <c r="Q73" s="797"/>
      <c r="R73" s="245"/>
      <c r="S73" s="161"/>
      <c r="T73" s="101"/>
      <c r="U73" s="94"/>
      <c r="V73" s="95"/>
      <c r="W73" s="845"/>
      <c r="X73" s="832"/>
      <c r="Y73" s="166"/>
      <c r="Z73" s="845"/>
      <c r="AA73" s="832"/>
      <c r="AB73" s="160"/>
      <c r="AC73" s="845"/>
      <c r="AD73" s="832"/>
      <c r="AE73" s="160"/>
      <c r="AF73" s="79"/>
      <c r="AG73" s="165"/>
      <c r="AH73" s="824"/>
      <c r="AI73" s="821"/>
      <c r="AJ73" s="824"/>
      <c r="AK73" s="821"/>
      <c r="AL73" s="824"/>
      <c r="AM73" s="821"/>
      <c r="AN73" s="79"/>
      <c r="AO73" s="79"/>
    </row>
    <row r="74" spans="1:41" ht="69" customHeight="1" x14ac:dyDescent="0.35">
      <c r="A74" s="79"/>
      <c r="B74" s="79"/>
      <c r="C74" s="849"/>
      <c r="D74" s="794">
        <v>18</v>
      </c>
      <c r="E74" s="798" t="s">
        <v>99</v>
      </c>
      <c r="F74" s="798" t="s">
        <v>84</v>
      </c>
      <c r="G74" s="798" t="s">
        <v>100</v>
      </c>
      <c r="H74" s="798" t="s">
        <v>86</v>
      </c>
      <c r="I74" s="918"/>
      <c r="J74" s="914" t="s">
        <v>1506</v>
      </c>
      <c r="K74" s="795" t="s">
        <v>236</v>
      </c>
      <c r="L74" s="795" t="s">
        <v>1507</v>
      </c>
      <c r="M74" s="795" t="s">
        <v>1508</v>
      </c>
      <c r="N74" s="795" t="s">
        <v>1451</v>
      </c>
      <c r="O74" s="795" t="s">
        <v>264</v>
      </c>
      <c r="P74" s="796">
        <v>46096</v>
      </c>
      <c r="Q74" s="796">
        <v>46127</v>
      </c>
      <c r="R74" s="245"/>
      <c r="S74" s="161"/>
      <c r="T74" s="101"/>
      <c r="U74" s="94"/>
      <c r="V74" s="95"/>
      <c r="W74" s="845"/>
      <c r="X74" s="832"/>
      <c r="Y74" s="166"/>
      <c r="Z74" s="845"/>
      <c r="AA74" s="832"/>
      <c r="AB74" s="160"/>
      <c r="AC74" s="845"/>
      <c r="AD74" s="832"/>
      <c r="AE74" s="160"/>
      <c r="AF74" s="79"/>
      <c r="AG74" s="165"/>
      <c r="AH74" s="824"/>
      <c r="AI74" s="821"/>
      <c r="AJ74" s="824"/>
      <c r="AK74" s="821"/>
      <c r="AL74" s="824"/>
      <c r="AM74" s="821"/>
      <c r="AN74" s="79"/>
      <c r="AO74" s="79"/>
    </row>
    <row r="75" spans="1:41" ht="69" customHeight="1" x14ac:dyDescent="0.35">
      <c r="A75" s="79"/>
      <c r="B75" s="79"/>
      <c r="C75" s="849"/>
      <c r="D75" s="794"/>
      <c r="E75" s="798"/>
      <c r="F75" s="798"/>
      <c r="G75" s="798"/>
      <c r="H75" s="798"/>
      <c r="I75" s="918"/>
      <c r="J75" s="914"/>
      <c r="K75" s="795"/>
      <c r="L75" s="795" t="s">
        <v>1507</v>
      </c>
      <c r="M75" s="795" t="s">
        <v>1508</v>
      </c>
      <c r="N75" s="795" t="s">
        <v>1451</v>
      </c>
      <c r="O75" s="795" t="s">
        <v>264</v>
      </c>
      <c r="P75" s="796">
        <v>46096</v>
      </c>
      <c r="Q75" s="796">
        <v>46127</v>
      </c>
      <c r="R75" s="245"/>
      <c r="S75" s="161"/>
      <c r="T75" s="101"/>
      <c r="U75" s="94"/>
      <c r="V75" s="95"/>
      <c r="W75" s="845"/>
      <c r="X75" s="832"/>
      <c r="Y75" s="166"/>
      <c r="Z75" s="845"/>
      <c r="AA75" s="832"/>
      <c r="AB75" s="160"/>
      <c r="AC75" s="845"/>
      <c r="AD75" s="832"/>
      <c r="AE75" s="160"/>
      <c r="AF75" s="79"/>
      <c r="AG75" s="165"/>
      <c r="AH75" s="824"/>
      <c r="AI75" s="821"/>
      <c r="AJ75" s="824"/>
      <c r="AK75" s="821"/>
      <c r="AL75" s="824"/>
      <c r="AM75" s="821"/>
      <c r="AN75" s="79"/>
      <c r="AO75" s="79"/>
    </row>
    <row r="76" spans="1:41" ht="69" customHeight="1" x14ac:dyDescent="0.35">
      <c r="A76" s="79"/>
      <c r="B76" s="79"/>
      <c r="C76" s="849"/>
      <c r="D76" s="794">
        <v>19</v>
      </c>
      <c r="E76" s="798" t="s">
        <v>99</v>
      </c>
      <c r="F76" s="798" t="s">
        <v>84</v>
      </c>
      <c r="G76" s="798" t="s">
        <v>100</v>
      </c>
      <c r="H76" s="798" t="s">
        <v>86</v>
      </c>
      <c r="I76" s="918"/>
      <c r="J76" s="914"/>
      <c r="K76" s="795" t="s">
        <v>236</v>
      </c>
      <c r="L76" s="795" t="s">
        <v>1509</v>
      </c>
      <c r="M76" s="795" t="s">
        <v>1510</v>
      </c>
      <c r="N76" s="795" t="s">
        <v>1451</v>
      </c>
      <c r="O76" s="795" t="s">
        <v>264</v>
      </c>
      <c r="P76" s="796">
        <v>46094</v>
      </c>
      <c r="Q76" s="796">
        <v>46366</v>
      </c>
      <c r="R76" s="245"/>
      <c r="S76" s="161"/>
      <c r="T76" s="101"/>
      <c r="U76" s="94"/>
      <c r="V76" s="95"/>
      <c r="W76" s="845"/>
      <c r="X76" s="832"/>
      <c r="Y76" s="166"/>
      <c r="Z76" s="845"/>
      <c r="AA76" s="832"/>
      <c r="AB76" s="160"/>
      <c r="AC76" s="845"/>
      <c r="AD76" s="832"/>
      <c r="AE76" s="160"/>
      <c r="AF76" s="79"/>
      <c r="AG76" s="165"/>
      <c r="AH76" s="824"/>
      <c r="AI76" s="821"/>
      <c r="AJ76" s="824"/>
      <c r="AK76" s="821"/>
      <c r="AL76" s="824"/>
      <c r="AM76" s="821"/>
      <c r="AN76" s="79"/>
      <c r="AO76" s="79"/>
    </row>
    <row r="77" spans="1:41" ht="69" customHeight="1" x14ac:dyDescent="0.35">
      <c r="A77" s="79"/>
      <c r="B77" s="79"/>
      <c r="C77" s="849"/>
      <c r="D77" s="794"/>
      <c r="E77" s="798"/>
      <c r="F77" s="798"/>
      <c r="G77" s="798"/>
      <c r="H77" s="798"/>
      <c r="I77" s="918"/>
      <c r="J77" s="914"/>
      <c r="K77" s="795"/>
      <c r="L77" s="795" t="s">
        <v>1511</v>
      </c>
      <c r="M77" s="795" t="s">
        <v>1510</v>
      </c>
      <c r="N77" s="795" t="s">
        <v>1451</v>
      </c>
      <c r="O77" s="795" t="s">
        <v>264</v>
      </c>
      <c r="P77" s="796">
        <v>46094</v>
      </c>
      <c r="Q77" s="796">
        <v>46122</v>
      </c>
      <c r="R77" s="245"/>
      <c r="S77" s="161"/>
      <c r="T77" s="101"/>
      <c r="U77" s="94"/>
      <c r="V77" s="95"/>
      <c r="W77" s="845"/>
      <c r="X77" s="832"/>
      <c r="Y77" s="166"/>
      <c r="Z77" s="845"/>
      <c r="AA77" s="832"/>
      <c r="AB77" s="160"/>
      <c r="AC77" s="845"/>
      <c r="AD77" s="832"/>
      <c r="AE77" s="160"/>
      <c r="AF77" s="79"/>
      <c r="AG77" s="165"/>
      <c r="AH77" s="824"/>
      <c r="AI77" s="821"/>
      <c r="AJ77" s="824"/>
      <c r="AK77" s="821"/>
      <c r="AL77" s="824"/>
      <c r="AM77" s="821"/>
      <c r="AN77" s="79"/>
      <c r="AO77" s="79"/>
    </row>
    <row r="78" spans="1:41" ht="69" customHeight="1" x14ac:dyDescent="0.35">
      <c r="A78" s="79"/>
      <c r="B78" s="79"/>
      <c r="C78" s="849"/>
      <c r="D78" s="794">
        <v>20</v>
      </c>
      <c r="E78" s="798" t="s">
        <v>99</v>
      </c>
      <c r="F78" s="798" t="s">
        <v>84</v>
      </c>
      <c r="G78" s="798" t="s">
        <v>100</v>
      </c>
      <c r="H78" s="798" t="s">
        <v>86</v>
      </c>
      <c r="I78" s="918"/>
      <c r="J78" s="914"/>
      <c r="K78" s="795" t="s">
        <v>236</v>
      </c>
      <c r="L78" s="795" t="s">
        <v>1512</v>
      </c>
      <c r="M78" s="795" t="s">
        <v>1513</v>
      </c>
      <c r="N78" s="795" t="s">
        <v>1451</v>
      </c>
      <c r="O78" s="795" t="s">
        <v>264</v>
      </c>
      <c r="P78" s="796">
        <v>46235</v>
      </c>
      <c r="Q78" s="796">
        <v>46265</v>
      </c>
      <c r="R78" s="245"/>
      <c r="S78" s="161"/>
      <c r="T78" s="101"/>
      <c r="U78" s="94"/>
      <c r="V78" s="95"/>
      <c r="W78" s="845"/>
      <c r="X78" s="832"/>
      <c r="Y78" s="166"/>
      <c r="Z78" s="845"/>
      <c r="AA78" s="832"/>
      <c r="AB78" s="160"/>
      <c r="AC78" s="845"/>
      <c r="AD78" s="832"/>
      <c r="AE78" s="160"/>
      <c r="AF78" s="79"/>
      <c r="AG78" s="165"/>
      <c r="AH78" s="824"/>
      <c r="AI78" s="821"/>
      <c r="AJ78" s="824"/>
      <c r="AK78" s="821"/>
      <c r="AL78" s="824"/>
      <c r="AM78" s="821"/>
      <c r="AN78" s="79"/>
      <c r="AO78" s="79"/>
    </row>
    <row r="79" spans="1:41" ht="69" customHeight="1" x14ac:dyDescent="0.35">
      <c r="A79" s="79"/>
      <c r="B79" s="79"/>
      <c r="C79" s="849"/>
      <c r="D79" s="794"/>
      <c r="E79" s="798"/>
      <c r="F79" s="798"/>
      <c r="G79" s="798"/>
      <c r="H79" s="798"/>
      <c r="I79" s="918"/>
      <c r="J79" s="914"/>
      <c r="K79" s="795" t="s">
        <v>236</v>
      </c>
      <c r="L79" s="795" t="s">
        <v>1512</v>
      </c>
      <c r="M79" s="795" t="s">
        <v>1513</v>
      </c>
      <c r="N79" s="795" t="s">
        <v>1451</v>
      </c>
      <c r="O79" s="795" t="s">
        <v>264</v>
      </c>
      <c r="P79" s="796">
        <v>46235</v>
      </c>
      <c r="Q79" s="796">
        <v>46265</v>
      </c>
      <c r="R79" s="245"/>
      <c r="S79" s="161"/>
      <c r="T79" s="101"/>
      <c r="U79" s="94"/>
      <c r="V79" s="95"/>
      <c r="W79" s="845"/>
      <c r="X79" s="832"/>
      <c r="Y79" s="166"/>
      <c r="Z79" s="845"/>
      <c r="AA79" s="832"/>
      <c r="AB79" s="160"/>
      <c r="AC79" s="845"/>
      <c r="AD79" s="832"/>
      <c r="AE79" s="160"/>
      <c r="AF79" s="79"/>
      <c r="AG79" s="165"/>
      <c r="AH79" s="824"/>
      <c r="AI79" s="821"/>
      <c r="AJ79" s="824"/>
      <c r="AK79" s="821"/>
      <c r="AL79" s="824"/>
      <c r="AM79" s="821"/>
      <c r="AN79" s="79"/>
      <c r="AO79" s="79"/>
    </row>
    <row r="80" spans="1:41" ht="69" customHeight="1" x14ac:dyDescent="0.35">
      <c r="A80" s="79"/>
      <c r="B80" s="79"/>
      <c r="C80" s="849"/>
      <c r="D80" s="794">
        <v>21</v>
      </c>
      <c r="E80" s="798" t="s">
        <v>99</v>
      </c>
      <c r="F80" s="798" t="s">
        <v>84</v>
      </c>
      <c r="G80" s="798" t="s">
        <v>100</v>
      </c>
      <c r="H80" s="798" t="s">
        <v>86</v>
      </c>
      <c r="I80" s="918"/>
      <c r="J80" s="914"/>
      <c r="K80" s="795" t="s">
        <v>236</v>
      </c>
      <c r="L80" s="795" t="s">
        <v>1514</v>
      </c>
      <c r="M80" s="795" t="s">
        <v>1515</v>
      </c>
      <c r="N80" s="795" t="s">
        <v>1451</v>
      </c>
      <c r="O80" s="795" t="s">
        <v>264</v>
      </c>
      <c r="P80" s="796">
        <v>46054</v>
      </c>
      <c r="Q80" s="796">
        <v>46080</v>
      </c>
      <c r="R80" s="245"/>
      <c r="S80" s="161"/>
      <c r="T80" s="101"/>
      <c r="U80" s="94"/>
      <c r="V80" s="95"/>
      <c r="W80" s="845"/>
      <c r="X80" s="832"/>
      <c r="Y80" s="166"/>
      <c r="Z80" s="845"/>
      <c r="AA80" s="832"/>
      <c r="AB80" s="160"/>
      <c r="AC80" s="845"/>
      <c r="AD80" s="832"/>
      <c r="AE80" s="160"/>
      <c r="AF80" s="79"/>
      <c r="AG80" s="165"/>
      <c r="AH80" s="824"/>
      <c r="AI80" s="821"/>
      <c r="AJ80" s="824"/>
      <c r="AK80" s="821"/>
      <c r="AL80" s="824"/>
      <c r="AM80" s="821"/>
      <c r="AN80" s="79"/>
      <c r="AO80" s="79"/>
    </row>
    <row r="81" spans="1:41" ht="69" customHeight="1" x14ac:dyDescent="0.35">
      <c r="A81" s="79"/>
      <c r="B81" s="79"/>
      <c r="C81" s="849"/>
      <c r="D81" s="794"/>
      <c r="E81" s="798"/>
      <c r="F81" s="798"/>
      <c r="G81" s="798"/>
      <c r="H81" s="798"/>
      <c r="I81" s="918"/>
      <c r="J81" s="914"/>
      <c r="K81" s="795" t="s">
        <v>236</v>
      </c>
      <c r="L81" s="795" t="s">
        <v>1514</v>
      </c>
      <c r="M81" s="795" t="s">
        <v>1515</v>
      </c>
      <c r="N81" s="795" t="s">
        <v>1451</v>
      </c>
      <c r="O81" s="795" t="s">
        <v>264</v>
      </c>
      <c r="P81" s="796">
        <v>46054</v>
      </c>
      <c r="Q81" s="796">
        <v>46080</v>
      </c>
      <c r="R81" s="245"/>
      <c r="S81" s="161"/>
      <c r="T81" s="101"/>
      <c r="U81" s="94"/>
      <c r="V81" s="95"/>
      <c r="W81" s="845"/>
      <c r="X81" s="832"/>
      <c r="Y81" s="166"/>
      <c r="Z81" s="845"/>
      <c r="AA81" s="832"/>
      <c r="AB81" s="160"/>
      <c r="AC81" s="845"/>
      <c r="AD81" s="832"/>
      <c r="AE81" s="160"/>
      <c r="AF81" s="79"/>
      <c r="AG81" s="165"/>
      <c r="AH81" s="824"/>
      <c r="AI81" s="821"/>
      <c r="AJ81" s="824"/>
      <c r="AK81" s="821"/>
      <c r="AL81" s="824"/>
      <c r="AM81" s="821"/>
      <c r="AN81" s="79"/>
      <c r="AO81" s="79"/>
    </row>
    <row r="82" spans="1:41" ht="69" customHeight="1" x14ac:dyDescent="0.35">
      <c r="A82" s="79"/>
      <c r="B82" s="79"/>
      <c r="C82" s="849"/>
      <c r="D82" s="794">
        <v>22</v>
      </c>
      <c r="E82" s="798" t="s">
        <v>99</v>
      </c>
      <c r="F82" s="798" t="s">
        <v>84</v>
      </c>
      <c r="G82" s="798" t="s">
        <v>100</v>
      </c>
      <c r="H82" s="798" t="s">
        <v>86</v>
      </c>
      <c r="I82" s="918"/>
      <c r="J82" s="914"/>
      <c r="K82" s="795" t="s">
        <v>236</v>
      </c>
      <c r="L82" s="795" t="s">
        <v>1516</v>
      </c>
      <c r="M82" s="795" t="s">
        <v>1517</v>
      </c>
      <c r="N82" s="795" t="s">
        <v>1451</v>
      </c>
      <c r="O82" s="795" t="s">
        <v>264</v>
      </c>
      <c r="P82" s="796">
        <v>46204</v>
      </c>
      <c r="Q82" s="796">
        <v>46234</v>
      </c>
      <c r="R82" s="245"/>
      <c r="S82" s="161"/>
      <c r="T82" s="101"/>
      <c r="U82" s="94"/>
      <c r="V82" s="95"/>
      <c r="W82" s="845"/>
      <c r="X82" s="832"/>
      <c r="Y82" s="166"/>
      <c r="Z82" s="845"/>
      <c r="AA82" s="832"/>
      <c r="AB82" s="160"/>
      <c r="AC82" s="845"/>
      <c r="AD82" s="832"/>
      <c r="AE82" s="160"/>
      <c r="AF82" s="79"/>
      <c r="AG82" s="165"/>
      <c r="AH82" s="824"/>
      <c r="AI82" s="821"/>
      <c r="AJ82" s="824"/>
      <c r="AK82" s="821"/>
      <c r="AL82" s="824"/>
      <c r="AM82" s="821"/>
      <c r="AN82" s="79"/>
      <c r="AO82" s="79"/>
    </row>
    <row r="83" spans="1:41" ht="69" customHeight="1" x14ac:dyDescent="0.35">
      <c r="A83" s="79"/>
      <c r="B83" s="79"/>
      <c r="C83" s="849"/>
      <c r="D83" s="794"/>
      <c r="E83" s="798"/>
      <c r="F83" s="798"/>
      <c r="G83" s="798"/>
      <c r="H83" s="798"/>
      <c r="I83" s="918"/>
      <c r="J83" s="914"/>
      <c r="K83" s="795" t="s">
        <v>236</v>
      </c>
      <c r="L83" s="795" t="s">
        <v>1516</v>
      </c>
      <c r="M83" s="795" t="s">
        <v>1517</v>
      </c>
      <c r="N83" s="795" t="s">
        <v>1451</v>
      </c>
      <c r="O83" s="795" t="s">
        <v>264</v>
      </c>
      <c r="P83" s="796">
        <v>46204</v>
      </c>
      <c r="Q83" s="796">
        <v>46234</v>
      </c>
      <c r="R83" s="245"/>
      <c r="S83" s="161"/>
      <c r="T83" s="101"/>
      <c r="U83" s="94"/>
      <c r="V83" s="95"/>
      <c r="W83" s="845"/>
      <c r="X83" s="832"/>
      <c r="Y83" s="166"/>
      <c r="Z83" s="845"/>
      <c r="AA83" s="832"/>
      <c r="AB83" s="160"/>
      <c r="AC83" s="845"/>
      <c r="AD83" s="832"/>
      <c r="AE83" s="160"/>
      <c r="AF83" s="79"/>
      <c r="AG83" s="165"/>
      <c r="AH83" s="824"/>
      <c r="AI83" s="821"/>
      <c r="AJ83" s="824"/>
      <c r="AK83" s="821"/>
      <c r="AL83" s="824"/>
      <c r="AM83" s="821"/>
      <c r="AN83" s="79"/>
      <c r="AO83" s="79"/>
    </row>
    <row r="84" spans="1:41" ht="69" customHeight="1" x14ac:dyDescent="0.35">
      <c r="A84" s="79"/>
      <c r="B84" s="79"/>
      <c r="C84" s="849"/>
      <c r="D84" s="794">
        <v>23</v>
      </c>
      <c r="E84" s="798" t="s">
        <v>99</v>
      </c>
      <c r="F84" s="798" t="s">
        <v>84</v>
      </c>
      <c r="G84" s="798" t="s">
        <v>100</v>
      </c>
      <c r="H84" s="798" t="s">
        <v>86</v>
      </c>
      <c r="I84" s="918"/>
      <c r="J84" s="914"/>
      <c r="K84" s="795" t="s">
        <v>236</v>
      </c>
      <c r="L84" s="795" t="s">
        <v>1518</v>
      </c>
      <c r="M84" s="795" t="s">
        <v>1519</v>
      </c>
      <c r="N84" s="795" t="s">
        <v>1451</v>
      </c>
      <c r="O84" s="795" t="s">
        <v>264</v>
      </c>
      <c r="P84" s="796">
        <v>46357</v>
      </c>
      <c r="Q84" s="796">
        <v>46387</v>
      </c>
      <c r="R84" s="245"/>
      <c r="S84" s="161"/>
      <c r="T84" s="101"/>
      <c r="U84" s="94"/>
      <c r="V84" s="95"/>
      <c r="W84" s="845"/>
      <c r="X84" s="832"/>
      <c r="Y84" s="166"/>
      <c r="Z84" s="845"/>
      <c r="AA84" s="832"/>
      <c r="AB84" s="160"/>
      <c r="AC84" s="845"/>
      <c r="AD84" s="832"/>
      <c r="AE84" s="160"/>
      <c r="AF84" s="79"/>
      <c r="AG84" s="165"/>
      <c r="AH84" s="824"/>
      <c r="AI84" s="821"/>
      <c r="AJ84" s="824"/>
      <c r="AK84" s="821"/>
      <c r="AL84" s="824"/>
      <c r="AM84" s="821"/>
      <c r="AN84" s="79"/>
      <c r="AO84" s="79"/>
    </row>
    <row r="85" spans="1:41" ht="69" customHeight="1" x14ac:dyDescent="0.35">
      <c r="A85" s="79"/>
      <c r="B85" s="79"/>
      <c r="C85" s="849"/>
      <c r="D85" s="794"/>
      <c r="E85" s="798"/>
      <c r="F85" s="798"/>
      <c r="G85" s="798"/>
      <c r="H85" s="798"/>
      <c r="I85" s="918"/>
      <c r="J85" s="914"/>
      <c r="K85" s="795" t="s">
        <v>236</v>
      </c>
      <c r="L85" s="795" t="s">
        <v>1518</v>
      </c>
      <c r="M85" s="795" t="s">
        <v>1519</v>
      </c>
      <c r="N85" s="795" t="s">
        <v>1451</v>
      </c>
      <c r="O85" s="795" t="s">
        <v>264</v>
      </c>
      <c r="P85" s="796">
        <v>46357</v>
      </c>
      <c r="Q85" s="796">
        <v>46387</v>
      </c>
      <c r="R85" s="245"/>
      <c r="S85" s="161"/>
      <c r="T85" s="101"/>
      <c r="U85" s="94"/>
      <c r="V85" s="95"/>
      <c r="W85" s="845"/>
      <c r="X85" s="832"/>
      <c r="Y85" s="166"/>
      <c r="Z85" s="845"/>
      <c r="AA85" s="832"/>
      <c r="AB85" s="160"/>
      <c r="AC85" s="845"/>
      <c r="AD85" s="832"/>
      <c r="AE85" s="160"/>
      <c r="AF85" s="79"/>
      <c r="AG85" s="165"/>
      <c r="AH85" s="824"/>
      <c r="AI85" s="821"/>
      <c r="AJ85" s="824"/>
      <c r="AK85" s="821"/>
      <c r="AL85" s="824"/>
      <c r="AM85" s="821"/>
      <c r="AN85" s="79"/>
      <c r="AO85" s="79"/>
    </row>
    <row r="86" spans="1:41" ht="69" customHeight="1" x14ac:dyDescent="0.35">
      <c r="A86" s="79"/>
      <c r="B86" s="79"/>
      <c r="C86" s="849"/>
      <c r="D86" s="794">
        <v>24</v>
      </c>
      <c r="E86" s="798" t="s">
        <v>99</v>
      </c>
      <c r="F86" s="798" t="s">
        <v>84</v>
      </c>
      <c r="G86" s="798" t="s">
        <v>111</v>
      </c>
      <c r="H86" s="798" t="s">
        <v>112</v>
      </c>
      <c r="I86" s="918"/>
      <c r="J86" s="914"/>
      <c r="K86" s="858" t="s">
        <v>1224</v>
      </c>
      <c r="L86" s="858" t="s">
        <v>1520</v>
      </c>
      <c r="M86" s="858" t="s">
        <v>1521</v>
      </c>
      <c r="N86" s="858" t="s">
        <v>1451</v>
      </c>
      <c r="O86" s="858" t="s">
        <v>264</v>
      </c>
      <c r="P86" s="883">
        <v>46296</v>
      </c>
      <c r="Q86" s="883">
        <v>46387</v>
      </c>
      <c r="R86" s="245"/>
      <c r="S86" s="161"/>
      <c r="T86" s="101"/>
      <c r="U86" s="94"/>
      <c r="V86" s="95"/>
      <c r="W86" s="845"/>
      <c r="X86" s="832"/>
      <c r="Y86" s="166"/>
      <c r="Z86" s="845"/>
      <c r="AA86" s="832"/>
      <c r="AB86" s="160"/>
      <c r="AC86" s="845"/>
      <c r="AD86" s="832"/>
      <c r="AE86" s="160"/>
      <c r="AF86" s="79"/>
      <c r="AG86" s="165"/>
      <c r="AH86" s="824"/>
      <c r="AI86" s="821"/>
      <c r="AJ86" s="824"/>
      <c r="AK86" s="821"/>
      <c r="AL86" s="824"/>
      <c r="AM86" s="821"/>
      <c r="AN86" s="79"/>
      <c r="AO86" s="79"/>
    </row>
    <row r="87" spans="1:41" ht="69" customHeight="1" thickBot="1" x14ac:dyDescent="0.4">
      <c r="A87" s="79"/>
      <c r="B87" s="79"/>
      <c r="C87" s="849"/>
      <c r="D87" s="794"/>
      <c r="E87" s="798"/>
      <c r="F87" s="798"/>
      <c r="G87" s="798"/>
      <c r="H87" s="798"/>
      <c r="I87" s="918"/>
      <c r="J87" s="914"/>
      <c r="K87" s="858"/>
      <c r="L87" s="858"/>
      <c r="M87" s="858"/>
      <c r="N87" s="858" t="s">
        <v>1451</v>
      </c>
      <c r="O87" s="858" t="s">
        <v>264</v>
      </c>
      <c r="P87" s="883"/>
      <c r="Q87" s="883"/>
      <c r="R87" s="245"/>
      <c r="S87" s="161"/>
      <c r="T87" s="101"/>
      <c r="U87" s="94"/>
      <c r="V87" s="95"/>
      <c r="W87" s="845"/>
      <c r="X87" s="832"/>
      <c r="Y87" s="166"/>
      <c r="Z87" s="845"/>
      <c r="AA87" s="832"/>
      <c r="AB87" s="160"/>
      <c r="AC87" s="845"/>
      <c r="AD87" s="832"/>
      <c r="AE87" s="160"/>
      <c r="AF87" s="79"/>
      <c r="AG87" s="165"/>
      <c r="AH87" s="824"/>
      <c r="AI87" s="821"/>
      <c r="AJ87" s="824"/>
      <c r="AK87" s="821"/>
      <c r="AL87" s="824"/>
      <c r="AM87" s="821"/>
      <c r="AN87" s="79"/>
      <c r="AO87" s="79"/>
    </row>
    <row r="88" spans="1:41" ht="69" customHeight="1" x14ac:dyDescent="0.35">
      <c r="A88" s="79"/>
      <c r="B88" s="79"/>
      <c r="C88" s="849"/>
      <c r="D88" s="794">
        <v>25</v>
      </c>
      <c r="E88" s="798" t="s">
        <v>99</v>
      </c>
      <c r="F88" s="798" t="s">
        <v>84</v>
      </c>
      <c r="G88" s="798" t="s">
        <v>100</v>
      </c>
      <c r="H88" s="798" t="s">
        <v>86</v>
      </c>
      <c r="I88" s="918"/>
      <c r="J88" s="925" t="s">
        <v>1522</v>
      </c>
      <c r="K88" s="915" t="s">
        <v>246</v>
      </c>
      <c r="L88" s="915" t="s">
        <v>1523</v>
      </c>
      <c r="M88" s="915" t="s">
        <v>1524</v>
      </c>
      <c r="N88" s="915" t="s">
        <v>1525</v>
      </c>
      <c r="O88" s="915" t="s">
        <v>1526</v>
      </c>
      <c r="P88" s="915">
        <v>45538</v>
      </c>
      <c r="Q88" s="915">
        <v>45800</v>
      </c>
      <c r="R88" s="245"/>
      <c r="S88" s="161"/>
      <c r="T88" s="101"/>
      <c r="U88" s="94"/>
      <c r="V88" s="95"/>
      <c r="W88" s="845"/>
      <c r="X88" s="832"/>
      <c r="Y88" s="166"/>
      <c r="Z88" s="845"/>
      <c r="AA88" s="832"/>
      <c r="AB88" s="160"/>
      <c r="AC88" s="845"/>
      <c r="AD88" s="832"/>
      <c r="AE88" s="160"/>
      <c r="AF88" s="79"/>
      <c r="AG88" s="165"/>
      <c r="AH88" s="824"/>
      <c r="AI88" s="821"/>
      <c r="AJ88" s="824"/>
      <c r="AK88" s="821"/>
      <c r="AL88" s="824"/>
      <c r="AM88" s="821"/>
      <c r="AN88" s="79"/>
      <c r="AO88" s="79"/>
    </row>
    <row r="89" spans="1:41" ht="69" customHeight="1" thickBot="1" x14ac:dyDescent="0.4">
      <c r="A89" s="79"/>
      <c r="B89" s="79"/>
      <c r="C89" s="849"/>
      <c r="D89" s="794"/>
      <c r="E89" s="798"/>
      <c r="F89" s="798"/>
      <c r="G89" s="798"/>
      <c r="H89" s="798"/>
      <c r="I89" s="918"/>
      <c r="J89" s="925"/>
      <c r="K89" s="916"/>
      <c r="L89" s="916" t="s">
        <v>1523</v>
      </c>
      <c r="M89" s="916" t="s">
        <v>1524</v>
      </c>
      <c r="N89" s="916" t="s">
        <v>1525</v>
      </c>
      <c r="O89" s="916" t="s">
        <v>1526</v>
      </c>
      <c r="P89" s="916">
        <v>45538</v>
      </c>
      <c r="Q89" s="916">
        <v>45800</v>
      </c>
      <c r="R89" s="245"/>
      <c r="S89" s="161"/>
      <c r="T89" s="101"/>
      <c r="U89" s="94"/>
      <c r="V89" s="95"/>
      <c r="W89" s="845"/>
      <c r="X89" s="832"/>
      <c r="Y89" s="166"/>
      <c r="Z89" s="845"/>
      <c r="AA89" s="832"/>
      <c r="AB89" s="160"/>
      <c r="AC89" s="845"/>
      <c r="AD89" s="832"/>
      <c r="AE89" s="160"/>
      <c r="AF89" s="79"/>
      <c r="AG89" s="165"/>
      <c r="AH89" s="824"/>
      <c r="AI89" s="821"/>
      <c r="AJ89" s="824"/>
      <c r="AK89" s="821"/>
      <c r="AL89" s="824"/>
      <c r="AM89" s="821"/>
      <c r="AN89" s="79"/>
      <c r="AO89" s="79"/>
    </row>
    <row r="90" spans="1:41" ht="69" customHeight="1" x14ac:dyDescent="0.35">
      <c r="A90" s="79"/>
      <c r="B90" s="79"/>
      <c r="C90" s="849"/>
      <c r="D90" s="794">
        <v>26</v>
      </c>
      <c r="E90" s="798" t="s">
        <v>99</v>
      </c>
      <c r="F90" s="798" t="s">
        <v>84</v>
      </c>
      <c r="G90" s="798" t="s">
        <v>100</v>
      </c>
      <c r="H90" s="798" t="s">
        <v>86</v>
      </c>
      <c r="I90" s="918"/>
      <c r="J90" s="925"/>
      <c r="K90" s="915" t="s">
        <v>246</v>
      </c>
      <c r="L90" s="915" t="s">
        <v>1527</v>
      </c>
      <c r="M90" s="915" t="s">
        <v>1528</v>
      </c>
      <c r="N90" s="915" t="s">
        <v>1525</v>
      </c>
      <c r="O90" s="915" t="s">
        <v>1526</v>
      </c>
      <c r="P90" s="915">
        <v>45717</v>
      </c>
      <c r="Q90" s="915">
        <v>46111</v>
      </c>
      <c r="R90" s="245"/>
      <c r="S90" s="161"/>
      <c r="T90" s="101"/>
      <c r="U90" s="94"/>
      <c r="V90" s="95"/>
      <c r="W90" s="845"/>
      <c r="X90" s="832"/>
      <c r="Y90" s="166"/>
      <c r="Z90" s="845"/>
      <c r="AA90" s="832"/>
      <c r="AB90" s="160"/>
      <c r="AC90" s="845"/>
      <c r="AD90" s="832"/>
      <c r="AE90" s="160"/>
      <c r="AF90" s="79"/>
      <c r="AG90" s="165"/>
      <c r="AH90" s="824"/>
      <c r="AI90" s="821"/>
      <c r="AJ90" s="824"/>
      <c r="AK90" s="821"/>
      <c r="AL90" s="824"/>
      <c r="AM90" s="821"/>
      <c r="AN90" s="79"/>
      <c r="AO90" s="79"/>
    </row>
    <row r="91" spans="1:41" ht="69" customHeight="1" thickBot="1" x14ac:dyDescent="0.4">
      <c r="A91" s="79"/>
      <c r="B91" s="79"/>
      <c r="C91" s="849"/>
      <c r="D91" s="794"/>
      <c r="E91" s="798"/>
      <c r="F91" s="798"/>
      <c r="G91" s="798"/>
      <c r="H91" s="798"/>
      <c r="I91" s="918"/>
      <c r="J91" s="925"/>
      <c r="K91" s="916"/>
      <c r="L91" s="916" t="s">
        <v>1527</v>
      </c>
      <c r="M91" s="916" t="s">
        <v>1528</v>
      </c>
      <c r="N91" s="916" t="s">
        <v>1525</v>
      </c>
      <c r="O91" s="916" t="s">
        <v>1526</v>
      </c>
      <c r="P91" s="916">
        <v>45717</v>
      </c>
      <c r="Q91" s="916">
        <v>46111</v>
      </c>
      <c r="R91" s="245"/>
      <c r="S91" s="161"/>
      <c r="T91" s="101"/>
      <c r="U91" s="94"/>
      <c r="V91" s="95"/>
      <c r="W91" s="845"/>
      <c r="X91" s="832"/>
      <c r="Y91" s="166"/>
      <c r="Z91" s="845"/>
      <c r="AA91" s="832"/>
      <c r="AB91" s="160"/>
      <c r="AC91" s="845"/>
      <c r="AD91" s="832"/>
      <c r="AE91" s="160"/>
      <c r="AF91" s="79"/>
      <c r="AG91" s="165"/>
      <c r="AH91" s="824"/>
      <c r="AI91" s="821"/>
      <c r="AJ91" s="824"/>
      <c r="AK91" s="821"/>
      <c r="AL91" s="824"/>
      <c r="AM91" s="821"/>
      <c r="AN91" s="79"/>
      <c r="AO91" s="79"/>
    </row>
    <row r="92" spans="1:41" ht="69" customHeight="1" x14ac:dyDescent="0.35">
      <c r="A92" s="79"/>
      <c r="B92" s="79"/>
      <c r="C92" s="849"/>
      <c r="D92" s="794">
        <v>27</v>
      </c>
      <c r="E92" s="798" t="s">
        <v>99</v>
      </c>
      <c r="F92" s="798" t="s">
        <v>84</v>
      </c>
      <c r="G92" s="798" t="s">
        <v>100</v>
      </c>
      <c r="H92" s="798" t="s">
        <v>86</v>
      </c>
      <c r="I92" s="918"/>
      <c r="J92" s="925"/>
      <c r="K92" s="915" t="s">
        <v>591</v>
      </c>
      <c r="L92" s="915" t="s">
        <v>1529</v>
      </c>
      <c r="M92" s="915" t="s">
        <v>1530</v>
      </c>
      <c r="N92" s="915" t="s">
        <v>1525</v>
      </c>
      <c r="O92" s="915" t="s">
        <v>1526</v>
      </c>
      <c r="P92" s="915">
        <v>46296</v>
      </c>
      <c r="Q92" s="915">
        <v>46173</v>
      </c>
      <c r="R92" s="245"/>
      <c r="S92" s="161"/>
      <c r="T92" s="101"/>
      <c r="U92" s="94"/>
      <c r="V92" s="95"/>
      <c r="W92" s="845"/>
      <c r="X92" s="832"/>
      <c r="Y92" s="166"/>
      <c r="Z92" s="845"/>
      <c r="AA92" s="832"/>
      <c r="AB92" s="160"/>
      <c r="AC92" s="845"/>
      <c r="AD92" s="832"/>
      <c r="AE92" s="160"/>
      <c r="AF92" s="79"/>
      <c r="AG92" s="165"/>
      <c r="AH92" s="824"/>
      <c r="AI92" s="821"/>
      <c r="AJ92" s="824"/>
      <c r="AK92" s="821"/>
      <c r="AL92" s="824"/>
      <c r="AM92" s="821"/>
      <c r="AN92" s="79"/>
      <c r="AO92" s="79"/>
    </row>
    <row r="93" spans="1:41" ht="69" customHeight="1" thickBot="1" x14ac:dyDescent="0.4">
      <c r="A93" s="79"/>
      <c r="B93" s="79"/>
      <c r="C93" s="849"/>
      <c r="D93" s="794"/>
      <c r="E93" s="798"/>
      <c r="F93" s="798"/>
      <c r="G93" s="798"/>
      <c r="H93" s="798"/>
      <c r="I93" s="918"/>
      <c r="J93" s="925"/>
      <c r="K93" s="916" t="s">
        <v>1529</v>
      </c>
      <c r="L93" s="916" t="s">
        <v>1529</v>
      </c>
      <c r="M93" s="916" t="s">
        <v>1530</v>
      </c>
      <c r="N93" s="916" t="s">
        <v>1525</v>
      </c>
      <c r="O93" s="916" t="s">
        <v>1526</v>
      </c>
      <c r="P93" s="916">
        <v>46296</v>
      </c>
      <c r="Q93" s="916">
        <v>46173</v>
      </c>
      <c r="R93" s="245"/>
      <c r="S93" s="161"/>
      <c r="T93" s="101"/>
      <c r="U93" s="94"/>
      <c r="V93" s="95"/>
      <c r="W93" s="845"/>
      <c r="X93" s="832"/>
      <c r="Y93" s="166"/>
      <c r="Z93" s="845"/>
      <c r="AA93" s="832"/>
      <c r="AB93" s="160"/>
      <c r="AC93" s="845"/>
      <c r="AD93" s="832"/>
      <c r="AE93" s="160"/>
      <c r="AF93" s="79"/>
      <c r="AG93" s="165"/>
      <c r="AH93" s="824"/>
      <c r="AI93" s="821"/>
      <c r="AJ93" s="824"/>
      <c r="AK93" s="821"/>
      <c r="AL93" s="824"/>
      <c r="AM93" s="821"/>
      <c r="AN93" s="79"/>
      <c r="AO93" s="79"/>
    </row>
    <row r="94" spans="1:41" ht="69" customHeight="1" x14ac:dyDescent="0.35">
      <c r="A94" s="79"/>
      <c r="B94" s="79"/>
      <c r="C94" s="849"/>
      <c r="D94" s="794">
        <v>28</v>
      </c>
      <c r="E94" s="798" t="s">
        <v>99</v>
      </c>
      <c r="F94" s="798" t="s">
        <v>84</v>
      </c>
      <c r="G94" s="798" t="s">
        <v>85</v>
      </c>
      <c r="H94" s="798" t="s">
        <v>193</v>
      </c>
      <c r="I94" s="918"/>
      <c r="J94" s="926" t="s">
        <v>1531</v>
      </c>
      <c r="K94" s="915" t="s">
        <v>1532</v>
      </c>
      <c r="L94" s="915" t="s">
        <v>1533</v>
      </c>
      <c r="M94" s="915" t="s">
        <v>1534</v>
      </c>
      <c r="N94" s="915" t="s">
        <v>1535</v>
      </c>
      <c r="O94" s="915" t="s">
        <v>1536</v>
      </c>
      <c r="P94" s="915">
        <v>46024</v>
      </c>
      <c r="Q94" s="915">
        <v>46387</v>
      </c>
      <c r="R94" s="245"/>
      <c r="S94" s="161"/>
      <c r="T94" s="101"/>
      <c r="U94" s="94"/>
      <c r="V94" s="95"/>
      <c r="W94" s="845"/>
      <c r="X94" s="832"/>
      <c r="Y94" s="166"/>
      <c r="Z94" s="845"/>
      <c r="AA94" s="832"/>
      <c r="AB94" s="160"/>
      <c r="AC94" s="845"/>
      <c r="AD94" s="832"/>
      <c r="AE94" s="160"/>
      <c r="AF94" s="79"/>
      <c r="AG94" s="165"/>
      <c r="AH94" s="824"/>
      <c r="AI94" s="821"/>
      <c r="AJ94" s="824"/>
      <c r="AK94" s="821"/>
      <c r="AL94" s="824"/>
      <c r="AM94" s="821"/>
      <c r="AN94" s="79"/>
      <c r="AO94" s="79"/>
    </row>
    <row r="95" spans="1:41" ht="69" customHeight="1" thickBot="1" x14ac:dyDescent="0.4">
      <c r="A95" s="79"/>
      <c r="B95" s="79"/>
      <c r="C95" s="849"/>
      <c r="D95" s="794"/>
      <c r="E95" s="798"/>
      <c r="F95" s="798"/>
      <c r="G95" s="798"/>
      <c r="H95" s="798"/>
      <c r="I95" s="918"/>
      <c r="J95" s="926"/>
      <c r="K95" s="916"/>
      <c r="L95" s="916"/>
      <c r="M95" s="916"/>
      <c r="N95" s="916"/>
      <c r="O95" s="916"/>
      <c r="P95" s="916">
        <v>46024</v>
      </c>
      <c r="Q95" s="916">
        <v>46387</v>
      </c>
      <c r="R95" s="245"/>
      <c r="S95" s="161"/>
      <c r="T95" s="101"/>
      <c r="U95" s="94"/>
      <c r="V95" s="95"/>
      <c r="W95" s="845"/>
      <c r="X95" s="832"/>
      <c r="Y95" s="166"/>
      <c r="Z95" s="845"/>
      <c r="AA95" s="832"/>
      <c r="AB95" s="160"/>
      <c r="AC95" s="845"/>
      <c r="AD95" s="832"/>
      <c r="AE95" s="160"/>
      <c r="AF95" s="79"/>
      <c r="AG95" s="165"/>
      <c r="AH95" s="824"/>
      <c r="AI95" s="821"/>
      <c r="AJ95" s="824"/>
      <c r="AK95" s="821"/>
      <c r="AL95" s="824"/>
      <c r="AM95" s="821"/>
      <c r="AN95" s="79"/>
      <c r="AO95" s="79"/>
    </row>
    <row r="96" spans="1:41" ht="69" customHeight="1" x14ac:dyDescent="0.35">
      <c r="A96" s="79"/>
      <c r="B96" s="79"/>
      <c r="C96" s="849"/>
      <c r="D96" s="794">
        <v>29</v>
      </c>
      <c r="E96" s="798" t="s">
        <v>99</v>
      </c>
      <c r="F96" s="798" t="s">
        <v>84</v>
      </c>
      <c r="G96" s="798" t="s">
        <v>85</v>
      </c>
      <c r="H96" s="798" t="s">
        <v>193</v>
      </c>
      <c r="I96" s="918"/>
      <c r="J96" s="926"/>
      <c r="K96" s="915" t="s">
        <v>1532</v>
      </c>
      <c r="L96" s="915" t="s">
        <v>1537</v>
      </c>
      <c r="M96" s="915" t="s">
        <v>1538</v>
      </c>
      <c r="N96" s="915" t="s">
        <v>1535</v>
      </c>
      <c r="O96" s="915" t="s">
        <v>1536</v>
      </c>
      <c r="P96" s="915">
        <v>46024</v>
      </c>
      <c r="Q96" s="915">
        <v>46387</v>
      </c>
      <c r="R96" s="245"/>
      <c r="S96" s="161"/>
      <c r="T96" s="101"/>
      <c r="U96" s="94"/>
      <c r="V96" s="95"/>
      <c r="W96" s="845"/>
      <c r="X96" s="832"/>
      <c r="Y96" s="166"/>
      <c r="Z96" s="845"/>
      <c r="AA96" s="832"/>
      <c r="AB96" s="160"/>
      <c r="AC96" s="845"/>
      <c r="AD96" s="832"/>
      <c r="AE96" s="160"/>
      <c r="AF96" s="79"/>
      <c r="AG96" s="165"/>
      <c r="AH96" s="824"/>
      <c r="AI96" s="821"/>
      <c r="AJ96" s="824"/>
      <c r="AK96" s="821"/>
      <c r="AL96" s="824"/>
      <c r="AM96" s="821"/>
      <c r="AN96" s="79"/>
      <c r="AO96" s="79"/>
    </row>
    <row r="97" spans="1:41" ht="69" customHeight="1" x14ac:dyDescent="0.35">
      <c r="A97" s="79"/>
      <c r="B97" s="79"/>
      <c r="C97" s="849"/>
      <c r="D97" s="794"/>
      <c r="E97" s="798"/>
      <c r="F97" s="798"/>
      <c r="G97" s="798"/>
      <c r="H97" s="798"/>
      <c r="I97" s="918"/>
      <c r="J97" s="926"/>
      <c r="K97" s="916"/>
      <c r="L97" s="916"/>
      <c r="M97" s="916"/>
      <c r="N97" s="916"/>
      <c r="O97" s="916"/>
      <c r="P97" s="916">
        <v>46024</v>
      </c>
      <c r="Q97" s="916">
        <v>46387</v>
      </c>
      <c r="R97" s="245"/>
      <c r="S97" s="161"/>
      <c r="T97" s="101"/>
      <c r="U97" s="94"/>
      <c r="V97" s="95"/>
      <c r="W97" s="845"/>
      <c r="X97" s="832"/>
      <c r="Y97" s="166"/>
      <c r="Z97" s="845"/>
      <c r="AA97" s="832"/>
      <c r="AB97" s="160"/>
      <c r="AC97" s="845"/>
      <c r="AD97" s="832"/>
      <c r="AE97" s="160"/>
      <c r="AF97" s="79"/>
      <c r="AG97" s="165"/>
      <c r="AH97" s="824"/>
      <c r="AI97" s="821"/>
      <c r="AJ97" s="824"/>
      <c r="AK97" s="821"/>
      <c r="AL97" s="824"/>
      <c r="AM97" s="821"/>
      <c r="AN97" s="79"/>
      <c r="AO97" s="79"/>
    </row>
    <row r="98" spans="1:41" ht="69" customHeight="1" x14ac:dyDescent="0.35">
      <c r="A98" s="79"/>
      <c r="B98" s="79"/>
      <c r="C98" s="849"/>
      <c r="D98" s="794">
        <v>30</v>
      </c>
      <c r="E98" s="798" t="s">
        <v>99</v>
      </c>
      <c r="F98" s="798" t="s">
        <v>84</v>
      </c>
      <c r="G98" s="798" t="s">
        <v>172</v>
      </c>
      <c r="H98" s="798" t="s">
        <v>184</v>
      </c>
      <c r="I98" s="920" t="s">
        <v>1539</v>
      </c>
      <c r="J98" s="889" t="s">
        <v>1540</v>
      </c>
      <c r="K98" s="865" t="s">
        <v>1541</v>
      </c>
      <c r="L98" s="865" t="s">
        <v>1542</v>
      </c>
      <c r="M98" s="865" t="s">
        <v>1543</v>
      </c>
      <c r="N98" s="878" t="s">
        <v>1505</v>
      </c>
      <c r="O98" s="879" t="s">
        <v>264</v>
      </c>
      <c r="P98" s="866">
        <v>46023</v>
      </c>
      <c r="Q98" s="866">
        <v>46387</v>
      </c>
      <c r="R98" s="245"/>
      <c r="S98" s="161"/>
      <c r="T98" s="101"/>
      <c r="U98" s="94"/>
      <c r="V98" s="95"/>
      <c r="W98" s="845"/>
      <c r="X98" s="832"/>
      <c r="Y98" s="166"/>
      <c r="Z98" s="845"/>
      <c r="AA98" s="832"/>
      <c r="AB98" s="160"/>
      <c r="AC98" s="845"/>
      <c r="AD98" s="832"/>
      <c r="AE98" s="160"/>
      <c r="AF98" s="79"/>
      <c r="AG98" s="165"/>
      <c r="AH98" s="824"/>
      <c r="AI98" s="821"/>
      <c r="AJ98" s="824"/>
      <c r="AK98" s="821"/>
      <c r="AL98" s="824"/>
      <c r="AM98" s="821"/>
      <c r="AN98" s="79"/>
      <c r="AO98" s="79"/>
    </row>
    <row r="99" spans="1:41" ht="69" customHeight="1" x14ac:dyDescent="0.35">
      <c r="A99" s="79"/>
      <c r="B99" s="79"/>
      <c r="C99" s="849"/>
      <c r="D99" s="794"/>
      <c r="E99" s="798"/>
      <c r="F99" s="798"/>
      <c r="G99" s="798"/>
      <c r="H99" s="798"/>
      <c r="I99" s="920"/>
      <c r="J99" s="890"/>
      <c r="K99" s="865"/>
      <c r="L99" s="865"/>
      <c r="M99" s="865"/>
      <c r="N99" s="878"/>
      <c r="O99" s="879"/>
      <c r="P99" s="866"/>
      <c r="Q99" s="866"/>
      <c r="R99" s="245"/>
      <c r="S99" s="161"/>
      <c r="T99" s="101"/>
      <c r="U99" s="94"/>
      <c r="V99" s="95"/>
      <c r="W99" s="845"/>
      <c r="X99" s="832"/>
      <c r="Y99" s="166"/>
      <c r="Z99" s="845"/>
      <c r="AA99" s="832"/>
      <c r="AB99" s="160"/>
      <c r="AC99" s="845"/>
      <c r="AD99" s="832"/>
      <c r="AE99" s="160"/>
      <c r="AF99" s="79"/>
      <c r="AG99" s="165"/>
      <c r="AH99" s="824"/>
      <c r="AI99" s="821"/>
      <c r="AJ99" s="824"/>
      <c r="AK99" s="821"/>
      <c r="AL99" s="824"/>
      <c r="AM99" s="821"/>
      <c r="AN99" s="79"/>
      <c r="AO99" s="79"/>
    </row>
    <row r="100" spans="1:41" ht="69" customHeight="1" x14ac:dyDescent="0.35">
      <c r="A100" s="79"/>
      <c r="B100" s="79"/>
      <c r="C100" s="849"/>
      <c r="D100" s="794">
        <v>31</v>
      </c>
      <c r="E100" s="798" t="s">
        <v>99</v>
      </c>
      <c r="F100" s="798" t="s">
        <v>84</v>
      </c>
      <c r="G100" s="798" t="s">
        <v>172</v>
      </c>
      <c r="H100" s="798" t="s">
        <v>184</v>
      </c>
      <c r="I100" s="920"/>
      <c r="J100" s="890"/>
      <c r="K100" s="865" t="s">
        <v>1541</v>
      </c>
      <c r="L100" s="865" t="s">
        <v>1544</v>
      </c>
      <c r="M100" s="865" t="s">
        <v>1545</v>
      </c>
      <c r="N100" s="878" t="s">
        <v>1505</v>
      </c>
      <c r="O100" s="879" t="s">
        <v>264</v>
      </c>
      <c r="P100" s="866">
        <v>46023</v>
      </c>
      <c r="Q100" s="866">
        <v>46387</v>
      </c>
      <c r="R100" s="245"/>
      <c r="S100" s="161"/>
      <c r="T100" s="101"/>
      <c r="U100" s="94"/>
      <c r="V100" s="95"/>
      <c r="W100" s="845"/>
      <c r="X100" s="832"/>
      <c r="Y100" s="166"/>
      <c r="Z100" s="845"/>
      <c r="AA100" s="832"/>
      <c r="AB100" s="160"/>
      <c r="AC100" s="845"/>
      <c r="AD100" s="832"/>
      <c r="AE100" s="160"/>
      <c r="AF100" s="79"/>
      <c r="AG100" s="165"/>
      <c r="AH100" s="824"/>
      <c r="AI100" s="821"/>
      <c r="AJ100" s="824"/>
      <c r="AK100" s="821"/>
      <c r="AL100" s="824"/>
      <c r="AM100" s="821"/>
      <c r="AN100" s="79"/>
      <c r="AO100" s="79"/>
    </row>
    <row r="101" spans="1:41" ht="69" customHeight="1" x14ac:dyDescent="0.35">
      <c r="A101" s="79"/>
      <c r="B101" s="79"/>
      <c r="C101" s="849"/>
      <c r="D101" s="794"/>
      <c r="E101" s="798"/>
      <c r="F101" s="798"/>
      <c r="G101" s="798"/>
      <c r="H101" s="798"/>
      <c r="I101" s="920"/>
      <c r="J101" s="890"/>
      <c r="K101" s="865"/>
      <c r="L101" s="865"/>
      <c r="M101" s="865"/>
      <c r="N101" s="878"/>
      <c r="O101" s="879"/>
      <c r="P101" s="866"/>
      <c r="Q101" s="866"/>
      <c r="R101" s="245"/>
      <c r="S101" s="161"/>
      <c r="T101" s="101"/>
      <c r="U101" s="94"/>
      <c r="V101" s="95"/>
      <c r="W101" s="845"/>
      <c r="X101" s="832"/>
      <c r="Y101" s="166"/>
      <c r="Z101" s="845"/>
      <c r="AA101" s="832"/>
      <c r="AB101" s="160"/>
      <c r="AC101" s="845"/>
      <c r="AD101" s="832"/>
      <c r="AE101" s="160"/>
      <c r="AF101" s="79"/>
      <c r="AG101" s="165"/>
      <c r="AH101" s="824"/>
      <c r="AI101" s="821"/>
      <c r="AJ101" s="824"/>
      <c r="AK101" s="821"/>
      <c r="AL101" s="824"/>
      <c r="AM101" s="821"/>
      <c r="AN101" s="79"/>
      <c r="AO101" s="79"/>
    </row>
    <row r="102" spans="1:41" ht="69" customHeight="1" x14ac:dyDescent="0.35">
      <c r="A102" s="79"/>
      <c r="B102" s="79"/>
      <c r="C102" s="849"/>
      <c r="D102" s="794">
        <v>32</v>
      </c>
      <c r="E102" s="798" t="s">
        <v>99</v>
      </c>
      <c r="F102" s="798" t="s">
        <v>84</v>
      </c>
      <c r="G102" s="798" t="s">
        <v>172</v>
      </c>
      <c r="H102" s="798" t="s">
        <v>184</v>
      </c>
      <c r="I102" s="920"/>
      <c r="J102" s="890"/>
      <c r="K102" s="865" t="s">
        <v>1541</v>
      </c>
      <c r="L102" s="865" t="s">
        <v>1546</v>
      </c>
      <c r="M102" s="865" t="s">
        <v>1547</v>
      </c>
      <c r="N102" s="878" t="s">
        <v>1505</v>
      </c>
      <c r="O102" s="879" t="s">
        <v>264</v>
      </c>
      <c r="P102" s="866">
        <v>46023</v>
      </c>
      <c r="Q102" s="866">
        <v>46387</v>
      </c>
      <c r="R102" s="245"/>
      <c r="S102" s="161"/>
      <c r="T102" s="101"/>
      <c r="U102" s="94"/>
      <c r="V102" s="95"/>
      <c r="W102" s="845"/>
      <c r="X102" s="832"/>
      <c r="Y102" s="166"/>
      <c r="Z102" s="845"/>
      <c r="AA102" s="832"/>
      <c r="AB102" s="160"/>
      <c r="AC102" s="845"/>
      <c r="AD102" s="832"/>
      <c r="AE102" s="160"/>
      <c r="AF102" s="79"/>
      <c r="AG102" s="165"/>
      <c r="AH102" s="824"/>
      <c r="AI102" s="821"/>
      <c r="AJ102" s="824"/>
      <c r="AK102" s="821"/>
      <c r="AL102" s="824"/>
      <c r="AM102" s="821"/>
      <c r="AN102" s="79"/>
      <c r="AO102" s="79"/>
    </row>
    <row r="103" spans="1:41" ht="69" customHeight="1" x14ac:dyDescent="0.35">
      <c r="A103" s="79"/>
      <c r="B103" s="79"/>
      <c r="C103" s="849"/>
      <c r="D103" s="794"/>
      <c r="E103" s="798"/>
      <c r="F103" s="798"/>
      <c r="G103" s="798"/>
      <c r="H103" s="798"/>
      <c r="I103" s="920"/>
      <c r="J103" s="891"/>
      <c r="K103" s="865"/>
      <c r="L103" s="865"/>
      <c r="M103" s="865"/>
      <c r="N103" s="878"/>
      <c r="O103" s="879"/>
      <c r="P103" s="866"/>
      <c r="Q103" s="866"/>
      <c r="R103" s="245"/>
      <c r="S103" s="161"/>
      <c r="T103" s="101"/>
      <c r="U103" s="94"/>
      <c r="V103" s="95"/>
      <c r="W103" s="845"/>
      <c r="X103" s="832"/>
      <c r="Y103" s="166"/>
      <c r="Z103" s="845"/>
      <c r="AA103" s="832"/>
      <c r="AB103" s="160"/>
      <c r="AC103" s="845"/>
      <c r="AD103" s="832"/>
      <c r="AE103" s="160"/>
      <c r="AF103" s="79"/>
      <c r="AG103" s="165"/>
      <c r="AH103" s="824"/>
      <c r="AI103" s="821"/>
      <c r="AJ103" s="824"/>
      <c r="AK103" s="821"/>
      <c r="AL103" s="824"/>
      <c r="AM103" s="821"/>
      <c r="AN103" s="79"/>
      <c r="AO103" s="79"/>
    </row>
    <row r="104" spans="1:41" ht="69" customHeight="1" x14ac:dyDescent="0.35">
      <c r="A104" s="79"/>
      <c r="B104" s="79"/>
      <c r="C104" s="849"/>
      <c r="D104" s="794">
        <v>33</v>
      </c>
      <c r="E104" s="798" t="s">
        <v>99</v>
      </c>
      <c r="F104" s="798" t="s">
        <v>84</v>
      </c>
      <c r="G104" s="798" t="s">
        <v>100</v>
      </c>
      <c r="H104" s="798" t="s">
        <v>101</v>
      </c>
      <c r="I104" s="920"/>
      <c r="J104" s="892" t="s">
        <v>1548</v>
      </c>
      <c r="K104" s="886" t="s">
        <v>234</v>
      </c>
      <c r="L104" s="886" t="s">
        <v>1549</v>
      </c>
      <c r="M104" s="886" t="s">
        <v>1549</v>
      </c>
      <c r="N104" s="878" t="s">
        <v>1505</v>
      </c>
      <c r="O104" s="879" t="s">
        <v>264</v>
      </c>
      <c r="P104" s="866">
        <v>46023</v>
      </c>
      <c r="Q104" s="866">
        <v>46387</v>
      </c>
      <c r="R104" s="245"/>
      <c r="S104" s="161"/>
      <c r="T104" s="101"/>
      <c r="U104" s="94"/>
      <c r="V104" s="95"/>
      <c r="W104" s="845"/>
      <c r="X104" s="832"/>
      <c r="Y104" s="166"/>
      <c r="Z104" s="845"/>
      <c r="AA104" s="832"/>
      <c r="AB104" s="160"/>
      <c r="AC104" s="845"/>
      <c r="AD104" s="832"/>
      <c r="AE104" s="160"/>
      <c r="AF104" s="79"/>
      <c r="AG104" s="165"/>
      <c r="AH104" s="824"/>
      <c r="AI104" s="821"/>
      <c r="AJ104" s="824"/>
      <c r="AK104" s="821"/>
      <c r="AL104" s="824"/>
      <c r="AM104" s="821"/>
      <c r="AN104" s="79"/>
      <c r="AO104" s="79"/>
    </row>
    <row r="105" spans="1:41" ht="69" customHeight="1" x14ac:dyDescent="0.35">
      <c r="A105" s="79"/>
      <c r="B105" s="79"/>
      <c r="C105" s="849"/>
      <c r="D105" s="794"/>
      <c r="E105" s="798"/>
      <c r="F105" s="798"/>
      <c r="G105" s="798"/>
      <c r="H105" s="798"/>
      <c r="I105" s="920"/>
      <c r="J105" s="893"/>
      <c r="K105" s="888"/>
      <c r="L105" s="888"/>
      <c r="M105" s="888"/>
      <c r="N105" s="878"/>
      <c r="O105" s="879"/>
      <c r="P105" s="866"/>
      <c r="Q105" s="866"/>
      <c r="R105" s="245"/>
      <c r="S105" s="161"/>
      <c r="T105" s="101"/>
      <c r="U105" s="94"/>
      <c r="V105" s="95"/>
      <c r="W105" s="845"/>
      <c r="X105" s="832"/>
      <c r="Y105" s="166"/>
      <c r="Z105" s="845"/>
      <c r="AA105" s="832"/>
      <c r="AB105" s="160"/>
      <c r="AC105" s="845"/>
      <c r="AD105" s="832"/>
      <c r="AE105" s="160"/>
      <c r="AF105" s="79"/>
      <c r="AG105" s="165"/>
      <c r="AH105" s="824"/>
      <c r="AI105" s="821"/>
      <c r="AJ105" s="824"/>
      <c r="AK105" s="821"/>
      <c r="AL105" s="824"/>
      <c r="AM105" s="821"/>
      <c r="AN105" s="79"/>
      <c r="AO105" s="79"/>
    </row>
    <row r="106" spans="1:41" ht="69" customHeight="1" x14ac:dyDescent="0.35">
      <c r="A106" s="789"/>
      <c r="B106" s="789"/>
      <c r="C106" s="849"/>
      <c r="D106" s="794">
        <v>34</v>
      </c>
      <c r="E106" s="798" t="s">
        <v>99</v>
      </c>
      <c r="F106" s="798" t="s">
        <v>84</v>
      </c>
      <c r="G106" s="798" t="s">
        <v>100</v>
      </c>
      <c r="H106" s="798" t="s">
        <v>101</v>
      </c>
      <c r="I106" s="920"/>
      <c r="J106" s="893"/>
      <c r="K106" s="795" t="s">
        <v>234</v>
      </c>
      <c r="L106" s="795" t="s">
        <v>1550</v>
      </c>
      <c r="M106" s="795" t="s">
        <v>1550</v>
      </c>
      <c r="N106" s="878" t="s">
        <v>1505</v>
      </c>
      <c r="O106" s="879" t="s">
        <v>264</v>
      </c>
      <c r="P106" s="866">
        <v>46023</v>
      </c>
      <c r="Q106" s="866">
        <v>46387</v>
      </c>
      <c r="R106" s="108" t="s">
        <v>93</v>
      </c>
      <c r="S106" s="855">
        <f>+S68</f>
        <v>0.125</v>
      </c>
      <c r="T106" s="103">
        <v>0</v>
      </c>
      <c r="U106" s="103">
        <v>0.5</v>
      </c>
      <c r="V106" s="104">
        <v>0.5</v>
      </c>
      <c r="W106" s="845"/>
      <c r="X106" s="832"/>
      <c r="Y106" s="826" t="s">
        <v>1475</v>
      </c>
      <c r="Z106" s="845"/>
      <c r="AA106" s="832"/>
      <c r="AB106" s="829" t="s">
        <v>1551</v>
      </c>
      <c r="AC106" s="845"/>
      <c r="AD106" s="832"/>
      <c r="AE106" s="873"/>
      <c r="AF106" s="789"/>
      <c r="AG106" s="819"/>
      <c r="AH106" s="824"/>
      <c r="AI106" s="821"/>
      <c r="AJ106" s="824"/>
      <c r="AK106" s="821"/>
      <c r="AL106" s="824"/>
      <c r="AM106" s="821"/>
      <c r="AN106" s="72"/>
      <c r="AO106" s="72"/>
    </row>
    <row r="107" spans="1:41" ht="69" customHeight="1" x14ac:dyDescent="0.35">
      <c r="A107" s="789"/>
      <c r="B107" s="789"/>
      <c r="C107" s="849"/>
      <c r="D107" s="794"/>
      <c r="E107" s="798"/>
      <c r="F107" s="798"/>
      <c r="G107" s="798"/>
      <c r="H107" s="798"/>
      <c r="I107" s="920"/>
      <c r="J107" s="893"/>
      <c r="K107" s="795"/>
      <c r="L107" s="795"/>
      <c r="M107" s="795"/>
      <c r="N107" s="878"/>
      <c r="O107" s="879"/>
      <c r="P107" s="866"/>
      <c r="Q107" s="866"/>
      <c r="R107" s="109" t="s">
        <v>98</v>
      </c>
      <c r="S107" s="855"/>
      <c r="T107" s="102">
        <v>0</v>
      </c>
      <c r="U107" s="92">
        <v>0.5</v>
      </c>
      <c r="V107" s="93">
        <v>0.5</v>
      </c>
      <c r="W107" s="845"/>
      <c r="X107" s="832"/>
      <c r="Y107" s="826"/>
      <c r="Z107" s="845"/>
      <c r="AA107" s="832"/>
      <c r="AB107" s="829"/>
      <c r="AC107" s="845"/>
      <c r="AD107" s="832"/>
      <c r="AE107" s="873"/>
      <c r="AF107" s="789"/>
      <c r="AG107" s="819"/>
      <c r="AH107" s="824"/>
      <c r="AI107" s="821"/>
      <c r="AJ107" s="824"/>
      <c r="AK107" s="821"/>
      <c r="AL107" s="824"/>
      <c r="AM107" s="821"/>
      <c r="AN107" s="72"/>
      <c r="AO107" s="72"/>
    </row>
    <row r="108" spans="1:41" ht="69" customHeight="1" x14ac:dyDescent="0.35">
      <c r="A108" s="789"/>
      <c r="B108" s="789"/>
      <c r="C108" s="849"/>
      <c r="D108" s="794">
        <v>35</v>
      </c>
      <c r="E108" s="798" t="s">
        <v>99</v>
      </c>
      <c r="F108" s="798" t="s">
        <v>84</v>
      </c>
      <c r="G108" s="798" t="s">
        <v>100</v>
      </c>
      <c r="H108" s="798" t="s">
        <v>101</v>
      </c>
      <c r="I108" s="920"/>
      <c r="J108" s="893"/>
      <c r="K108" s="795" t="s">
        <v>234</v>
      </c>
      <c r="L108" s="795" t="s">
        <v>1552</v>
      </c>
      <c r="M108" s="795" t="s">
        <v>1552</v>
      </c>
      <c r="N108" s="878" t="s">
        <v>1505</v>
      </c>
      <c r="O108" s="879" t="s">
        <v>264</v>
      </c>
      <c r="P108" s="866">
        <v>46023</v>
      </c>
      <c r="Q108" s="866">
        <v>46387</v>
      </c>
      <c r="R108" s="108" t="s">
        <v>93</v>
      </c>
      <c r="S108" s="855">
        <f>+S62</f>
        <v>0.125</v>
      </c>
      <c r="T108" s="103">
        <v>0</v>
      </c>
      <c r="U108" s="103">
        <v>0</v>
      </c>
      <c r="V108" s="136">
        <v>1</v>
      </c>
      <c r="W108" s="845"/>
      <c r="X108" s="832"/>
      <c r="Y108" s="826" t="s">
        <v>1475</v>
      </c>
      <c r="Z108" s="845"/>
      <c r="AA108" s="832"/>
      <c r="AB108" s="829" t="s">
        <v>1475</v>
      </c>
      <c r="AC108" s="845"/>
      <c r="AD108" s="832"/>
      <c r="AE108" s="829"/>
      <c r="AF108" s="789"/>
      <c r="AG108" s="819"/>
      <c r="AH108" s="824"/>
      <c r="AI108" s="821"/>
      <c r="AJ108" s="824"/>
      <c r="AK108" s="821"/>
      <c r="AL108" s="824"/>
      <c r="AM108" s="821"/>
      <c r="AN108" s="87"/>
      <c r="AO108" s="72"/>
    </row>
    <row r="109" spans="1:41" ht="69" customHeight="1" thickBot="1" x14ac:dyDescent="0.4">
      <c r="A109" s="789"/>
      <c r="B109" s="789"/>
      <c r="C109" s="849"/>
      <c r="D109" s="794"/>
      <c r="E109" s="798"/>
      <c r="F109" s="798"/>
      <c r="G109" s="798"/>
      <c r="H109" s="798"/>
      <c r="I109" s="920"/>
      <c r="J109" s="893"/>
      <c r="K109" s="795"/>
      <c r="L109" s="795"/>
      <c r="M109" s="795"/>
      <c r="N109" s="878"/>
      <c r="O109" s="879"/>
      <c r="P109" s="866"/>
      <c r="Q109" s="866"/>
      <c r="R109" s="246" t="s">
        <v>98</v>
      </c>
      <c r="S109" s="880"/>
      <c r="T109" s="105">
        <v>0</v>
      </c>
      <c r="U109" s="106">
        <v>0</v>
      </c>
      <c r="V109" s="107">
        <v>1</v>
      </c>
      <c r="W109" s="845"/>
      <c r="X109" s="832"/>
      <c r="Y109" s="827"/>
      <c r="Z109" s="845"/>
      <c r="AA109" s="832"/>
      <c r="AB109" s="830"/>
      <c r="AC109" s="845"/>
      <c r="AD109" s="832"/>
      <c r="AE109" s="830"/>
      <c r="AF109" s="789"/>
      <c r="AG109" s="819"/>
      <c r="AH109" s="824"/>
      <c r="AI109" s="821"/>
      <c r="AJ109" s="824"/>
      <c r="AK109" s="821"/>
      <c r="AL109" s="824"/>
      <c r="AM109" s="821"/>
      <c r="AN109" s="72"/>
      <c r="AO109" s="72"/>
    </row>
    <row r="110" spans="1:41" ht="69" customHeight="1" x14ac:dyDescent="0.35">
      <c r="A110" s="789"/>
      <c r="B110" s="789"/>
      <c r="C110" s="849"/>
      <c r="D110" s="794">
        <v>36</v>
      </c>
      <c r="E110" s="798" t="s">
        <v>99</v>
      </c>
      <c r="F110" s="798" t="s">
        <v>84</v>
      </c>
      <c r="G110" s="798" t="s">
        <v>192</v>
      </c>
      <c r="H110" s="798" t="s">
        <v>215</v>
      </c>
      <c r="I110" s="920"/>
      <c r="J110" s="921" t="s">
        <v>1553</v>
      </c>
      <c r="K110" s="886" t="s">
        <v>1554</v>
      </c>
      <c r="L110" s="795" t="s">
        <v>1555</v>
      </c>
      <c r="M110" s="795" t="s">
        <v>1555</v>
      </c>
      <c r="N110" s="878" t="s">
        <v>1505</v>
      </c>
      <c r="O110" s="879" t="s">
        <v>264</v>
      </c>
      <c r="P110" s="866">
        <v>46023</v>
      </c>
      <c r="Q110" s="866">
        <v>46387</v>
      </c>
      <c r="R110" s="108" t="s">
        <v>93</v>
      </c>
      <c r="S110" s="855">
        <f>+S64</f>
        <v>0.125</v>
      </c>
      <c r="T110" s="103">
        <v>0</v>
      </c>
      <c r="U110" s="103">
        <v>0</v>
      </c>
      <c r="V110" s="136">
        <v>1</v>
      </c>
      <c r="W110" s="845"/>
      <c r="X110" s="832"/>
      <c r="Y110" s="826" t="s">
        <v>1475</v>
      </c>
      <c r="Z110" s="845"/>
      <c r="AA110" s="832"/>
      <c r="AB110" s="829" t="s">
        <v>1475</v>
      </c>
      <c r="AC110" s="845"/>
      <c r="AD110" s="832"/>
      <c r="AE110" s="829"/>
      <c r="AF110" s="789"/>
      <c r="AG110" s="819"/>
      <c r="AH110" s="824"/>
      <c r="AI110" s="821"/>
      <c r="AJ110" s="824"/>
      <c r="AK110" s="821"/>
      <c r="AL110" s="824"/>
      <c r="AM110" s="821"/>
      <c r="AN110" s="87"/>
      <c r="AO110" s="72"/>
    </row>
    <row r="111" spans="1:41" ht="69" customHeight="1" thickBot="1" x14ac:dyDescent="0.4">
      <c r="A111" s="789"/>
      <c r="B111" s="789"/>
      <c r="C111" s="849"/>
      <c r="D111" s="794"/>
      <c r="E111" s="798"/>
      <c r="F111" s="798"/>
      <c r="G111" s="798"/>
      <c r="H111" s="798"/>
      <c r="I111" s="920"/>
      <c r="J111" s="921"/>
      <c r="K111" s="887"/>
      <c r="L111" s="795"/>
      <c r="M111" s="795"/>
      <c r="N111" s="878"/>
      <c r="O111" s="879"/>
      <c r="P111" s="866"/>
      <c r="Q111" s="866"/>
      <c r="R111" s="246" t="s">
        <v>98</v>
      </c>
      <c r="S111" s="880"/>
      <c r="T111" s="105">
        <v>0</v>
      </c>
      <c r="U111" s="106">
        <v>0</v>
      </c>
      <c r="V111" s="107">
        <v>1</v>
      </c>
      <c r="W111" s="845"/>
      <c r="X111" s="832"/>
      <c r="Y111" s="827"/>
      <c r="Z111" s="845"/>
      <c r="AA111" s="832"/>
      <c r="AB111" s="830"/>
      <c r="AC111" s="845"/>
      <c r="AD111" s="832"/>
      <c r="AE111" s="830"/>
      <c r="AF111" s="789"/>
      <c r="AG111" s="819"/>
      <c r="AH111" s="824"/>
      <c r="AI111" s="821"/>
      <c r="AJ111" s="824"/>
      <c r="AK111" s="821"/>
      <c r="AL111" s="824"/>
      <c r="AM111" s="821"/>
      <c r="AN111" s="72"/>
      <c r="AO111" s="72"/>
    </row>
    <row r="112" spans="1:41" ht="69" customHeight="1" x14ac:dyDescent="0.35">
      <c r="A112" s="789"/>
      <c r="B112" s="789"/>
      <c r="C112" s="849"/>
      <c r="D112" s="794">
        <v>37</v>
      </c>
      <c r="E112" s="798" t="s">
        <v>99</v>
      </c>
      <c r="F112" s="798" t="s">
        <v>84</v>
      </c>
      <c r="G112" s="798" t="s">
        <v>192</v>
      </c>
      <c r="H112" s="798" t="s">
        <v>215</v>
      </c>
      <c r="I112" s="920"/>
      <c r="J112" s="921"/>
      <c r="K112" s="887"/>
      <c r="L112" s="795" t="s">
        <v>1556</v>
      </c>
      <c r="M112" s="795" t="s">
        <v>1556</v>
      </c>
      <c r="N112" s="878" t="s">
        <v>1505</v>
      </c>
      <c r="O112" s="879" t="s">
        <v>264</v>
      </c>
      <c r="P112" s="866">
        <v>46023</v>
      </c>
      <c r="Q112" s="866">
        <v>46387</v>
      </c>
      <c r="R112" s="108" t="s">
        <v>93</v>
      </c>
      <c r="S112" s="855">
        <f>+S66</f>
        <v>0.125</v>
      </c>
      <c r="T112" s="103">
        <v>0</v>
      </c>
      <c r="U112" s="103">
        <v>0</v>
      </c>
      <c r="V112" s="136">
        <v>1</v>
      </c>
      <c r="W112" s="845"/>
      <c r="X112" s="832"/>
      <c r="Y112" s="826" t="s">
        <v>1475</v>
      </c>
      <c r="Z112" s="845"/>
      <c r="AA112" s="832"/>
      <c r="AB112" s="829" t="s">
        <v>1475</v>
      </c>
      <c r="AC112" s="845"/>
      <c r="AD112" s="832"/>
      <c r="AE112" s="829"/>
      <c r="AF112" s="789"/>
      <c r="AG112" s="819"/>
      <c r="AH112" s="824"/>
      <c r="AI112" s="821"/>
      <c r="AJ112" s="824"/>
      <c r="AK112" s="821"/>
      <c r="AL112" s="824"/>
      <c r="AM112" s="821"/>
      <c r="AN112" s="87"/>
      <c r="AO112" s="72"/>
    </row>
    <row r="113" spans="1:41" ht="69" customHeight="1" thickBot="1" x14ac:dyDescent="0.4">
      <c r="A113" s="789"/>
      <c r="B113" s="789"/>
      <c r="C113" s="849"/>
      <c r="D113" s="794"/>
      <c r="E113" s="798"/>
      <c r="F113" s="798"/>
      <c r="G113" s="798"/>
      <c r="H113" s="798"/>
      <c r="I113" s="920"/>
      <c r="J113" s="921"/>
      <c r="K113" s="887"/>
      <c r="L113" s="795"/>
      <c r="M113" s="795"/>
      <c r="N113" s="878"/>
      <c r="O113" s="879"/>
      <c r="P113" s="866"/>
      <c r="Q113" s="866"/>
      <c r="R113" s="246" t="s">
        <v>98</v>
      </c>
      <c r="S113" s="880"/>
      <c r="T113" s="105">
        <v>0</v>
      </c>
      <c r="U113" s="106">
        <v>0</v>
      </c>
      <c r="V113" s="107">
        <v>1</v>
      </c>
      <c r="W113" s="845"/>
      <c r="X113" s="832"/>
      <c r="Y113" s="827"/>
      <c r="Z113" s="845"/>
      <c r="AA113" s="832"/>
      <c r="AB113" s="830"/>
      <c r="AC113" s="845"/>
      <c r="AD113" s="832"/>
      <c r="AE113" s="830"/>
      <c r="AF113" s="789"/>
      <c r="AG113" s="819"/>
      <c r="AH113" s="824"/>
      <c r="AI113" s="821"/>
      <c r="AJ113" s="824"/>
      <c r="AK113" s="821"/>
      <c r="AL113" s="824"/>
      <c r="AM113" s="821"/>
      <c r="AN113" s="72"/>
      <c r="AO113" s="72"/>
    </row>
    <row r="114" spans="1:41" ht="69" customHeight="1" x14ac:dyDescent="0.35">
      <c r="A114" s="789"/>
      <c r="B114" s="789"/>
      <c r="C114" s="849"/>
      <c r="D114" s="794">
        <v>38</v>
      </c>
      <c r="E114" s="798" t="s">
        <v>99</v>
      </c>
      <c r="F114" s="798" t="s">
        <v>84</v>
      </c>
      <c r="G114" s="798" t="s">
        <v>192</v>
      </c>
      <c r="H114" s="798" t="s">
        <v>215</v>
      </c>
      <c r="I114" s="920"/>
      <c r="J114" s="921"/>
      <c r="K114" s="887"/>
      <c r="L114" s="795" t="s">
        <v>1557</v>
      </c>
      <c r="M114" s="795" t="s">
        <v>1557</v>
      </c>
      <c r="N114" s="878" t="s">
        <v>1505</v>
      </c>
      <c r="O114" s="879" t="s">
        <v>264</v>
      </c>
      <c r="P114" s="866">
        <v>46023</v>
      </c>
      <c r="Q114" s="866">
        <v>46387</v>
      </c>
      <c r="R114" s="108" t="s">
        <v>93</v>
      </c>
      <c r="S114" s="855">
        <f>+S68</f>
        <v>0.125</v>
      </c>
      <c r="T114" s="103">
        <v>0</v>
      </c>
      <c r="U114" s="103">
        <v>0</v>
      </c>
      <c r="V114" s="136">
        <v>1</v>
      </c>
      <c r="W114" s="845"/>
      <c r="X114" s="832"/>
      <c r="Y114" s="826" t="s">
        <v>1475</v>
      </c>
      <c r="Z114" s="845"/>
      <c r="AA114" s="832"/>
      <c r="AB114" s="829" t="s">
        <v>1475</v>
      </c>
      <c r="AC114" s="845"/>
      <c r="AD114" s="832"/>
      <c r="AE114" s="829"/>
      <c r="AF114" s="789"/>
      <c r="AG114" s="819"/>
      <c r="AH114" s="824"/>
      <c r="AI114" s="821"/>
      <c r="AJ114" s="824"/>
      <c r="AK114" s="821"/>
      <c r="AL114" s="824"/>
      <c r="AM114" s="821"/>
      <c r="AN114" s="87"/>
      <c r="AO114" s="72"/>
    </row>
    <row r="115" spans="1:41" ht="69" customHeight="1" thickBot="1" x14ac:dyDescent="0.4">
      <c r="A115" s="789"/>
      <c r="B115" s="789"/>
      <c r="C115" s="849"/>
      <c r="D115" s="794"/>
      <c r="E115" s="798"/>
      <c r="F115" s="798"/>
      <c r="G115" s="798"/>
      <c r="H115" s="798"/>
      <c r="I115" s="920"/>
      <c r="J115" s="921"/>
      <c r="K115" s="888"/>
      <c r="L115" s="795"/>
      <c r="M115" s="795"/>
      <c r="N115" s="878"/>
      <c r="O115" s="879"/>
      <c r="P115" s="866"/>
      <c r="Q115" s="866"/>
      <c r="R115" s="246" t="s">
        <v>98</v>
      </c>
      <c r="S115" s="880"/>
      <c r="T115" s="105">
        <v>0</v>
      </c>
      <c r="U115" s="106">
        <v>0</v>
      </c>
      <c r="V115" s="107">
        <v>1</v>
      </c>
      <c r="W115" s="845"/>
      <c r="X115" s="832"/>
      <c r="Y115" s="827"/>
      <c r="Z115" s="845"/>
      <c r="AA115" s="832"/>
      <c r="AB115" s="830"/>
      <c r="AC115" s="845"/>
      <c r="AD115" s="832"/>
      <c r="AE115" s="830"/>
      <c r="AF115" s="789"/>
      <c r="AG115" s="819"/>
      <c r="AH115" s="824"/>
      <c r="AI115" s="821"/>
      <c r="AJ115" s="824"/>
      <c r="AK115" s="821"/>
      <c r="AL115" s="824"/>
      <c r="AM115" s="821"/>
      <c r="AN115" s="72"/>
      <c r="AO115" s="72"/>
    </row>
    <row r="116" spans="1:41" s="118" customFormat="1" ht="77.150000000000006" hidden="1" customHeight="1" thickBot="1" x14ac:dyDescent="0.65">
      <c r="A116" s="799"/>
      <c r="B116" s="799"/>
      <c r="C116" s="114"/>
      <c r="D116" s="114"/>
      <c r="E116" s="114"/>
      <c r="F116" s="114"/>
      <c r="G116" s="114"/>
      <c r="H116" s="114"/>
      <c r="I116" s="114"/>
      <c r="J116" s="114"/>
      <c r="K116" s="114"/>
      <c r="L116" s="114"/>
      <c r="M116" s="114"/>
      <c r="N116" s="114"/>
      <c r="O116" s="114"/>
      <c r="P116" s="114"/>
      <c r="Q116" s="114"/>
      <c r="R116" s="115"/>
      <c r="S116" s="114"/>
      <c r="T116" s="114"/>
      <c r="U116" s="114"/>
      <c r="V116" s="114"/>
      <c r="W116" s="115"/>
      <c r="X116" s="115"/>
      <c r="Y116" s="116"/>
      <c r="Z116" s="116"/>
      <c r="AA116" s="116"/>
      <c r="AB116" s="116"/>
      <c r="AC116" s="116"/>
      <c r="AD116" s="115"/>
      <c r="AE116" s="115"/>
      <c r="AF116" s="114"/>
      <c r="AG116" s="115"/>
      <c r="AH116" s="127" t="e">
        <f>+(#REF!*AH40)+(#REF!*AH56)+(#REF!*#REF!)+(#REF!*#REF!)+(#REF!*#REF!)</f>
        <v>#REF!</v>
      </c>
      <c r="AI116" s="119" t="e">
        <f>+(#REF!*AI40)+(#REF!*AI56)+(#REF!*#REF!)+(#REF!*#REF!)+(#REF!*#REF!)</f>
        <v>#REF!</v>
      </c>
      <c r="AJ116" s="128" t="e">
        <f>+(#REF!*AJ40)+(#REF!*AJ56)+(#REF!*#REF!)+(#REF!*#REF!)+(#REF!*#REF!)</f>
        <v>#REF!</v>
      </c>
      <c r="AK116" s="119" t="e">
        <f>+(#REF!*AK40)+(#REF!*AK56)+(#REF!*#REF!)+(#REF!*#REF!)+(#REF!*#REF!)</f>
        <v>#REF!</v>
      </c>
      <c r="AL116" s="128" t="e">
        <f>+(#REF!*AL40)+(#REF!*AL56)+(#REF!*#REF!)+(#REF!*#REF!)+(#REF!*#REF!)</f>
        <v>#REF!</v>
      </c>
      <c r="AM116" s="119" t="e">
        <f>+(#REF!*AM40)+(#REF!*AM56)+(#REF!*#REF!)+(#REF!*#REF!)+(#REF!*#REF!)</f>
        <v>#REF!</v>
      </c>
      <c r="AN116" s="117"/>
      <c r="AO116" s="117"/>
    </row>
    <row r="117" spans="1:41" s="118" customFormat="1" ht="52.5" hidden="1" thickBot="1" x14ac:dyDescent="0.65">
      <c r="A117" s="799"/>
      <c r="B117" s="799"/>
      <c r="C117" s="114"/>
      <c r="D117" s="114"/>
      <c r="E117" s="413" t="s">
        <v>51</v>
      </c>
      <c r="F117" s="413" t="s">
        <v>52</v>
      </c>
      <c r="G117" s="413" t="s">
        <v>53</v>
      </c>
      <c r="H117" s="413" t="s">
        <v>54</v>
      </c>
      <c r="I117" s="413" t="s">
        <v>29</v>
      </c>
      <c r="J117" s="227"/>
      <c r="K117" s="415" t="s">
        <v>55</v>
      </c>
      <c r="L117" s="1"/>
      <c r="M117" s="1"/>
      <c r="N117" s="1"/>
      <c r="O117" s="1"/>
      <c r="P117" s="415" t="s">
        <v>167</v>
      </c>
      <c r="Q117" s="114"/>
      <c r="R117" s="115"/>
      <c r="S117" s="114"/>
      <c r="T117" s="114"/>
      <c r="U117" s="114"/>
      <c r="V117" s="114"/>
      <c r="W117" s="115"/>
      <c r="X117" s="115"/>
      <c r="Y117" s="116"/>
      <c r="Z117" s="116"/>
      <c r="AA117" s="116"/>
      <c r="AB117" s="116"/>
      <c r="AC117" s="116"/>
      <c r="AD117" s="115"/>
      <c r="AE117" s="115"/>
      <c r="AF117" s="114"/>
      <c r="AG117"/>
      <c r="AH117" s="134" t="s">
        <v>1558</v>
      </c>
      <c r="AI117" s="120" t="e">
        <f>+AI116/AH116</f>
        <v>#REF!</v>
      </c>
      <c r="AJ117" s="121"/>
      <c r="AK117" s="120" t="e">
        <f>+AK116/AJ116</f>
        <v>#REF!</v>
      </c>
      <c r="AL117" s="121"/>
      <c r="AM117" s="120" t="e">
        <f>+AM116/AL116</f>
        <v>#REF!</v>
      </c>
      <c r="AN117" s="117"/>
      <c r="AO117" s="117"/>
    </row>
    <row r="118" spans="1:41" s="118" customFormat="1" ht="46.5" hidden="1" thickBot="1" x14ac:dyDescent="0.65">
      <c r="A118" s="799"/>
      <c r="B118" s="799"/>
      <c r="C118" s="114"/>
      <c r="D118" s="114"/>
      <c r="E118" s="414"/>
      <c r="F118" s="414"/>
      <c r="G118" s="414"/>
      <c r="H118" s="414"/>
      <c r="I118" s="414"/>
      <c r="J118" s="226"/>
      <c r="K118" s="414"/>
      <c r="L118" s="1"/>
      <c r="M118" s="1"/>
      <c r="N118" s="1"/>
      <c r="O118" s="1"/>
      <c r="P118" s="414"/>
      <c r="Q118" s="114"/>
      <c r="R118" s="115"/>
      <c r="S118" s="114"/>
      <c r="T118" s="114"/>
      <c r="U118" s="114"/>
      <c r="V118" s="114"/>
      <c r="W118" s="115"/>
      <c r="X118" s="115"/>
      <c r="Y118" s="116"/>
      <c r="Z118" s="116"/>
      <c r="AA118" s="116"/>
      <c r="AB118" s="116"/>
      <c r="AC118" s="116"/>
      <c r="AD118" s="115"/>
      <c r="AE118" s="115"/>
      <c r="AF118" s="114"/>
      <c r="AG118"/>
      <c r="AH118" s="135" t="s">
        <v>1559</v>
      </c>
      <c r="AI118" s="120" t="e">
        <f>+AI117</f>
        <v>#REF!</v>
      </c>
      <c r="AJ118" s="121"/>
      <c r="AK118" s="120" t="e">
        <f>+(AI116+AK116)/(AH116+AJ116)</f>
        <v>#REF!</v>
      </c>
      <c r="AL118" s="121"/>
      <c r="AM118" s="120" t="e">
        <f>+(AM116+AK116+AI116)/(AL116+AJ116+AH116)</f>
        <v>#REF!</v>
      </c>
      <c r="AN118" s="143" t="e">
        <f>AVERAGE(AI118,AK118,AM118)</f>
        <v>#REF!</v>
      </c>
      <c r="AO118" s="117"/>
    </row>
    <row r="119" spans="1:41" hidden="1" x14ac:dyDescent="0.35">
      <c r="E119" s="1" t="s">
        <v>99</v>
      </c>
      <c r="F119" s="13" t="s">
        <v>168</v>
      </c>
      <c r="G119" s="1" t="s">
        <v>130</v>
      </c>
      <c r="H119" s="1" t="s">
        <v>131</v>
      </c>
      <c r="I119" s="1" t="s">
        <v>169</v>
      </c>
      <c r="J119" s="1"/>
      <c r="K119" s="1" t="s">
        <v>170</v>
      </c>
      <c r="L119" s="1"/>
      <c r="M119" s="1"/>
      <c r="N119" s="1"/>
      <c r="O119" s="1"/>
      <c r="P119" s="13" t="s">
        <v>171</v>
      </c>
    </row>
    <row r="120" spans="1:41" hidden="1" x14ac:dyDescent="0.35">
      <c r="E120" s="1" t="s">
        <v>116</v>
      </c>
      <c r="F120" s="13" t="s">
        <v>129</v>
      </c>
      <c r="G120" s="1" t="s">
        <v>172</v>
      </c>
      <c r="H120" s="1" t="s">
        <v>173</v>
      </c>
      <c r="I120" s="1" t="s">
        <v>174</v>
      </c>
      <c r="J120" s="1"/>
      <c r="K120" s="1" t="s">
        <v>175</v>
      </c>
      <c r="L120" s="1"/>
      <c r="M120" s="1"/>
      <c r="N120" s="1"/>
      <c r="O120" s="1"/>
      <c r="P120" s="13" t="s">
        <v>92</v>
      </c>
    </row>
    <row r="121" spans="1:41" hidden="1" x14ac:dyDescent="0.35">
      <c r="E121" s="1" t="s">
        <v>83</v>
      </c>
      <c r="F121" s="13" t="s">
        <v>110</v>
      </c>
      <c r="G121" s="1" t="s">
        <v>85</v>
      </c>
      <c r="H121" s="1" t="s">
        <v>176</v>
      </c>
      <c r="I121" s="1" t="s">
        <v>177</v>
      </c>
      <c r="J121" s="1"/>
      <c r="K121" s="1" t="s">
        <v>178</v>
      </c>
      <c r="L121" s="1"/>
      <c r="M121" s="1"/>
      <c r="N121" s="1"/>
      <c r="O121" s="1"/>
      <c r="P121" s="13" t="s">
        <v>179</v>
      </c>
    </row>
    <row r="122" spans="1:41" hidden="1" x14ac:dyDescent="0.35">
      <c r="E122" s="1" t="s">
        <v>109</v>
      </c>
      <c r="F122" s="13" t="s">
        <v>125</v>
      </c>
      <c r="G122" s="1" t="s">
        <v>180</v>
      </c>
      <c r="H122" s="1" t="s">
        <v>181</v>
      </c>
      <c r="I122" s="1" t="s">
        <v>182</v>
      </c>
      <c r="J122" s="1"/>
      <c r="K122" s="1" t="s">
        <v>183</v>
      </c>
      <c r="L122" s="1"/>
      <c r="M122" s="1"/>
      <c r="N122" s="1"/>
      <c r="O122" s="1"/>
      <c r="P122" s="1"/>
    </row>
    <row r="123" spans="1:41" hidden="1" x14ac:dyDescent="0.35">
      <c r="E123" s="1" t="s">
        <v>124</v>
      </c>
      <c r="F123" s="13" t="s">
        <v>142</v>
      </c>
      <c r="G123" s="1" t="s">
        <v>100</v>
      </c>
      <c r="H123" s="1" t="s">
        <v>184</v>
      </c>
      <c r="I123" s="1" t="s">
        <v>185</v>
      </c>
      <c r="J123" s="1"/>
      <c r="K123" s="1" t="s">
        <v>186</v>
      </c>
      <c r="L123" s="1"/>
      <c r="M123" s="1"/>
      <c r="N123" s="1"/>
      <c r="O123" s="1"/>
      <c r="P123" s="1"/>
    </row>
    <row r="124" spans="1:41" hidden="1" x14ac:dyDescent="0.35">
      <c r="E124" s="1" t="s">
        <v>187</v>
      </c>
      <c r="F124" s="13" t="s">
        <v>188</v>
      </c>
      <c r="G124" s="1" t="s">
        <v>111</v>
      </c>
      <c r="H124" s="1" t="s">
        <v>149</v>
      </c>
      <c r="I124" s="1" t="s">
        <v>189</v>
      </c>
      <c r="J124" s="1"/>
      <c r="K124" s="1" t="s">
        <v>127</v>
      </c>
      <c r="L124" s="1"/>
      <c r="M124" s="1"/>
      <c r="N124" s="1"/>
      <c r="O124" s="1"/>
      <c r="P124" s="1"/>
    </row>
    <row r="125" spans="1:41" hidden="1" x14ac:dyDescent="0.35">
      <c r="E125" s="1" t="s">
        <v>190</v>
      </c>
      <c r="F125" s="13" t="s">
        <v>191</v>
      </c>
      <c r="G125" s="1" t="s">
        <v>192</v>
      </c>
      <c r="H125" s="1" t="s">
        <v>193</v>
      </c>
      <c r="I125" s="1" t="s">
        <v>194</v>
      </c>
      <c r="J125" s="1"/>
      <c r="K125" s="1" t="s">
        <v>195</v>
      </c>
      <c r="L125" s="1"/>
      <c r="M125" s="1"/>
      <c r="N125" s="1"/>
      <c r="O125" s="1"/>
      <c r="P125" s="1"/>
    </row>
    <row r="126" spans="1:41" hidden="1" x14ac:dyDescent="0.35">
      <c r="E126" s="1" t="s">
        <v>196</v>
      </c>
      <c r="F126" s="13" t="s">
        <v>197</v>
      </c>
      <c r="G126" s="1"/>
      <c r="H126" s="1" t="s">
        <v>126</v>
      </c>
      <c r="I126" s="1" t="s">
        <v>198</v>
      </c>
      <c r="J126" s="1"/>
      <c r="K126" s="1" t="s">
        <v>150</v>
      </c>
      <c r="L126" s="1"/>
      <c r="M126" s="1"/>
      <c r="N126" s="1"/>
      <c r="O126" s="1"/>
      <c r="P126" s="1"/>
    </row>
    <row r="127" spans="1:41" hidden="1" x14ac:dyDescent="0.35">
      <c r="E127" s="1"/>
      <c r="F127" s="13" t="s">
        <v>117</v>
      </c>
      <c r="G127" s="1"/>
      <c r="H127" s="1" t="s">
        <v>118</v>
      </c>
      <c r="I127" s="1" t="s">
        <v>199</v>
      </c>
      <c r="J127" s="1"/>
      <c r="K127" s="1" t="s">
        <v>102</v>
      </c>
      <c r="L127" s="1"/>
      <c r="M127" s="1"/>
      <c r="N127" s="1"/>
      <c r="O127" s="1"/>
      <c r="P127" s="1"/>
    </row>
    <row r="128" spans="1:41" hidden="1" x14ac:dyDescent="0.35">
      <c r="E128" s="1"/>
      <c r="F128" s="13" t="s">
        <v>84</v>
      </c>
      <c r="G128" s="1"/>
      <c r="H128" s="1" t="s">
        <v>200</v>
      </c>
      <c r="I128" s="1" t="s">
        <v>201</v>
      </c>
      <c r="J128" s="1"/>
      <c r="K128" s="1" t="s">
        <v>132</v>
      </c>
      <c r="L128" s="1"/>
      <c r="M128" s="1"/>
      <c r="N128" s="1"/>
      <c r="O128" s="1"/>
      <c r="P128" s="1"/>
    </row>
    <row r="129" spans="5:16" hidden="1" x14ac:dyDescent="0.35">
      <c r="E129" s="1"/>
      <c r="F129" s="1"/>
      <c r="G129" s="1"/>
      <c r="H129" s="1" t="s">
        <v>202</v>
      </c>
      <c r="I129" s="1" t="s">
        <v>203</v>
      </c>
      <c r="J129" s="1"/>
      <c r="K129" s="1" t="s">
        <v>144</v>
      </c>
      <c r="L129" s="1"/>
      <c r="M129" s="1"/>
      <c r="N129" s="1"/>
      <c r="O129" s="1"/>
      <c r="P129" s="1"/>
    </row>
    <row r="130" spans="5:16" hidden="1" x14ac:dyDescent="0.35">
      <c r="E130" s="1"/>
      <c r="F130" s="1"/>
      <c r="G130" s="1"/>
      <c r="H130" s="1" t="s">
        <v>204</v>
      </c>
      <c r="I130" s="1" t="s">
        <v>205</v>
      </c>
      <c r="J130" s="1"/>
      <c r="K130" s="1" t="s">
        <v>206</v>
      </c>
      <c r="L130" s="1"/>
      <c r="M130" s="1"/>
      <c r="N130" s="1"/>
      <c r="O130" s="1"/>
      <c r="P130" s="1"/>
    </row>
    <row r="131" spans="5:16" hidden="1" x14ac:dyDescent="0.35">
      <c r="E131" s="1"/>
      <c r="F131" s="1"/>
      <c r="G131" s="1"/>
      <c r="H131" s="1" t="s">
        <v>86</v>
      </c>
      <c r="I131" s="1"/>
      <c r="J131" s="1"/>
      <c r="K131" s="1" t="s">
        <v>207</v>
      </c>
      <c r="L131" s="1"/>
      <c r="M131" s="1"/>
      <c r="N131" s="1"/>
      <c r="O131" s="1"/>
      <c r="P131" s="1"/>
    </row>
    <row r="132" spans="5:16" hidden="1" x14ac:dyDescent="0.35">
      <c r="E132" s="1"/>
      <c r="F132" s="1"/>
      <c r="G132" s="1"/>
      <c r="H132" s="1" t="s">
        <v>208</v>
      </c>
      <c r="I132" s="1"/>
      <c r="J132" s="1"/>
      <c r="K132" s="1" t="s">
        <v>209</v>
      </c>
      <c r="L132" s="1"/>
      <c r="M132" s="1"/>
      <c r="N132" s="1"/>
      <c r="O132" s="1"/>
      <c r="P132" s="1"/>
    </row>
    <row r="133" spans="5:16" hidden="1" x14ac:dyDescent="0.35">
      <c r="E133" s="1"/>
      <c r="F133" s="1"/>
      <c r="G133" s="1"/>
      <c r="H133" s="1" t="s">
        <v>101</v>
      </c>
      <c r="I133" s="1"/>
      <c r="J133" s="1"/>
      <c r="K133" s="1" t="s">
        <v>210</v>
      </c>
      <c r="L133" s="1"/>
      <c r="M133" s="1"/>
      <c r="N133" s="1"/>
      <c r="O133" s="1"/>
      <c r="P133" s="1"/>
    </row>
    <row r="134" spans="5:16" hidden="1" x14ac:dyDescent="0.35">
      <c r="E134" s="1"/>
      <c r="F134" s="1"/>
      <c r="G134" s="1"/>
      <c r="H134" s="1" t="s">
        <v>143</v>
      </c>
      <c r="I134" s="1"/>
      <c r="J134" s="1"/>
      <c r="K134" s="1" t="s">
        <v>211</v>
      </c>
      <c r="L134" s="1"/>
      <c r="M134" s="1"/>
      <c r="N134" s="1"/>
      <c r="O134" s="1"/>
      <c r="P134" s="1"/>
    </row>
    <row r="135" spans="5:16" hidden="1" x14ac:dyDescent="0.35">
      <c r="E135" s="1"/>
      <c r="F135" s="1"/>
      <c r="G135" s="1"/>
      <c r="H135" s="1" t="s">
        <v>212</v>
      </c>
      <c r="I135" s="1"/>
      <c r="J135" s="1"/>
      <c r="K135" s="1" t="s">
        <v>213</v>
      </c>
      <c r="L135" s="1"/>
      <c r="M135" s="1"/>
      <c r="N135" s="1"/>
      <c r="O135" s="1"/>
      <c r="P135" s="1"/>
    </row>
    <row r="136" spans="5:16" hidden="1" x14ac:dyDescent="0.35">
      <c r="E136" s="1"/>
      <c r="F136" s="1"/>
      <c r="G136" s="1"/>
      <c r="H136" s="1" t="s">
        <v>112</v>
      </c>
      <c r="I136" s="1"/>
      <c r="J136" s="1"/>
      <c r="K136" s="1" t="s">
        <v>214</v>
      </c>
      <c r="L136" s="1"/>
      <c r="M136" s="1"/>
      <c r="N136" s="1"/>
      <c r="O136" s="1"/>
      <c r="P136" s="1"/>
    </row>
    <row r="137" spans="5:16" hidden="1" x14ac:dyDescent="0.35">
      <c r="E137" s="1"/>
      <c r="F137" s="1"/>
      <c r="G137" s="1"/>
      <c r="H137" s="1" t="s">
        <v>215</v>
      </c>
      <c r="I137" s="1"/>
      <c r="J137" s="1"/>
      <c r="K137" s="1" t="s">
        <v>216</v>
      </c>
      <c r="L137" s="1"/>
      <c r="M137" s="1"/>
      <c r="N137" s="1"/>
      <c r="O137" s="1"/>
      <c r="P137" s="1"/>
    </row>
    <row r="138" spans="5:16" hidden="1" x14ac:dyDescent="0.35">
      <c r="E138" s="1"/>
      <c r="F138" s="1"/>
      <c r="G138" s="1"/>
      <c r="H138" s="1"/>
      <c r="I138" s="1"/>
      <c r="J138" s="1"/>
      <c r="K138" s="1" t="s">
        <v>217</v>
      </c>
      <c r="L138" s="1"/>
      <c r="M138" s="1"/>
      <c r="N138" s="1"/>
      <c r="O138" s="1"/>
      <c r="P138" s="1"/>
    </row>
    <row r="139" spans="5:16" hidden="1" x14ac:dyDescent="0.35">
      <c r="E139" s="1"/>
      <c r="F139" s="1"/>
      <c r="G139" s="1"/>
      <c r="H139" s="1"/>
      <c r="I139" s="1"/>
      <c r="J139" s="1"/>
      <c r="K139" s="1" t="s">
        <v>218</v>
      </c>
      <c r="L139" s="1"/>
      <c r="M139" s="1"/>
      <c r="N139" s="1"/>
      <c r="O139" s="1"/>
      <c r="P139" s="1"/>
    </row>
    <row r="140" spans="5:16" hidden="1" x14ac:dyDescent="0.35">
      <c r="E140" s="1"/>
      <c r="F140" s="1"/>
      <c r="G140" s="1"/>
      <c r="H140" s="1"/>
      <c r="I140" s="1"/>
      <c r="J140" s="1"/>
      <c r="K140" s="1" t="s">
        <v>219</v>
      </c>
      <c r="L140" s="1"/>
      <c r="M140" s="1"/>
      <c r="N140" s="1"/>
      <c r="O140" s="1"/>
      <c r="P140" s="1"/>
    </row>
    <row r="141" spans="5:16" hidden="1" x14ac:dyDescent="0.35">
      <c r="E141" s="1"/>
      <c r="F141" s="1"/>
      <c r="G141" s="1"/>
      <c r="H141" s="1"/>
      <c r="I141" s="1"/>
      <c r="J141" s="1"/>
      <c r="K141" s="1" t="s">
        <v>220</v>
      </c>
      <c r="L141" s="1"/>
      <c r="M141" s="1"/>
      <c r="N141" s="1"/>
      <c r="O141" s="1"/>
      <c r="P141" s="1"/>
    </row>
    <row r="142" spans="5:16" hidden="1" x14ac:dyDescent="0.35">
      <c r="E142" s="1"/>
      <c r="F142" s="1"/>
      <c r="G142" s="1"/>
      <c r="H142" s="1"/>
      <c r="I142" s="1"/>
      <c r="J142" s="1"/>
      <c r="K142" s="1" t="s">
        <v>221</v>
      </c>
      <c r="L142" s="1"/>
      <c r="M142" s="1"/>
      <c r="N142" s="1"/>
      <c r="O142" s="1"/>
      <c r="P142" s="1"/>
    </row>
    <row r="143" spans="5:16" hidden="1" x14ac:dyDescent="0.35">
      <c r="E143" s="1"/>
      <c r="F143" s="1"/>
      <c r="G143" s="1"/>
      <c r="H143" s="1"/>
      <c r="I143" s="1"/>
      <c r="J143" s="1"/>
      <c r="K143" s="1" t="s">
        <v>222</v>
      </c>
      <c r="L143" s="1"/>
      <c r="M143" s="1"/>
      <c r="N143" s="1"/>
      <c r="O143" s="1"/>
      <c r="P143" s="1"/>
    </row>
    <row r="144" spans="5:16" hidden="1" x14ac:dyDescent="0.35">
      <c r="E144" s="1"/>
      <c r="F144" s="1"/>
      <c r="G144" s="1"/>
      <c r="H144" s="1"/>
      <c r="I144" s="1"/>
      <c r="J144" s="1"/>
      <c r="K144" s="1" t="s">
        <v>223</v>
      </c>
      <c r="L144" s="1"/>
      <c r="M144" s="1"/>
      <c r="N144" s="1"/>
      <c r="O144" s="1"/>
      <c r="P144" s="1"/>
    </row>
    <row r="145" spans="5:16" hidden="1" x14ac:dyDescent="0.35">
      <c r="E145" s="1"/>
      <c r="F145" s="1"/>
      <c r="G145" s="1"/>
      <c r="H145" s="1"/>
      <c r="I145" s="1"/>
      <c r="J145" s="1"/>
      <c r="K145" s="1" t="s">
        <v>224</v>
      </c>
      <c r="L145" s="1"/>
      <c r="M145" s="1"/>
      <c r="N145" s="1"/>
      <c r="O145" s="1"/>
      <c r="P145" s="1"/>
    </row>
    <row r="146" spans="5:16" hidden="1" x14ac:dyDescent="0.35">
      <c r="E146" s="1"/>
      <c r="F146" s="1"/>
      <c r="G146" s="1"/>
      <c r="H146" s="1"/>
      <c r="I146" s="1"/>
      <c r="J146" s="1"/>
      <c r="K146" s="1" t="s">
        <v>225</v>
      </c>
      <c r="L146" s="1"/>
      <c r="M146" s="1"/>
      <c r="N146" s="1"/>
      <c r="O146" s="1"/>
      <c r="P146" s="1"/>
    </row>
    <row r="147" spans="5:16" hidden="1" x14ac:dyDescent="0.35">
      <c r="E147" s="1"/>
      <c r="F147" s="1"/>
      <c r="G147" s="1"/>
      <c r="H147" s="1"/>
      <c r="I147" s="1"/>
      <c r="J147" s="1"/>
      <c r="K147" s="1" t="s">
        <v>226</v>
      </c>
      <c r="L147" s="1"/>
      <c r="M147" s="1"/>
      <c r="N147" s="1"/>
      <c r="O147" s="1"/>
      <c r="P147" s="1"/>
    </row>
    <row r="148" spans="5:16" hidden="1" x14ac:dyDescent="0.35">
      <c r="E148" s="1"/>
      <c r="F148" s="1"/>
      <c r="G148" s="1"/>
      <c r="H148" s="1"/>
      <c r="I148" s="1"/>
      <c r="J148" s="1"/>
      <c r="K148" s="1" t="s">
        <v>227</v>
      </c>
      <c r="L148" s="1"/>
      <c r="M148" s="1"/>
      <c r="N148" s="1"/>
      <c r="O148" s="1"/>
      <c r="P148" s="1"/>
    </row>
    <row r="149" spans="5:16" hidden="1" x14ac:dyDescent="0.35">
      <c r="E149" s="1"/>
      <c r="F149" s="1"/>
      <c r="G149" s="1"/>
      <c r="H149" s="1"/>
      <c r="I149" s="1"/>
      <c r="J149" s="1"/>
      <c r="K149" s="1" t="s">
        <v>228</v>
      </c>
      <c r="L149" s="1"/>
      <c r="M149" s="1"/>
      <c r="N149" s="1"/>
      <c r="O149" s="1"/>
      <c r="P149" s="1"/>
    </row>
    <row r="150" spans="5:16" hidden="1" x14ac:dyDescent="0.35">
      <c r="E150" s="1"/>
      <c r="F150" s="1"/>
      <c r="G150" s="1"/>
      <c r="H150" s="1"/>
      <c r="I150" s="1"/>
      <c r="J150" s="1"/>
      <c r="K150" s="1" t="s">
        <v>229</v>
      </c>
      <c r="L150" s="1"/>
      <c r="M150" s="1"/>
      <c r="N150" s="1"/>
      <c r="O150" s="1"/>
      <c r="P150" s="1"/>
    </row>
    <row r="151" spans="5:16" hidden="1" x14ac:dyDescent="0.35">
      <c r="E151" s="1"/>
      <c r="F151" s="1"/>
      <c r="G151" s="1"/>
      <c r="H151" s="1"/>
      <c r="I151" s="1"/>
      <c r="J151" s="1"/>
      <c r="K151" s="1" t="s">
        <v>230</v>
      </c>
      <c r="L151" s="1"/>
      <c r="M151" s="1"/>
      <c r="N151" s="1"/>
      <c r="O151" s="1"/>
      <c r="P151" s="1"/>
    </row>
    <row r="152" spans="5:16" hidden="1" x14ac:dyDescent="0.35">
      <c r="E152" s="1"/>
      <c r="F152" s="1"/>
      <c r="G152" s="1"/>
      <c r="H152" s="1"/>
      <c r="I152" s="1"/>
      <c r="J152" s="1"/>
      <c r="K152" s="1" t="s">
        <v>119</v>
      </c>
      <c r="L152" s="1"/>
      <c r="M152" s="1"/>
      <c r="N152" s="1"/>
      <c r="O152" s="1"/>
      <c r="P152" s="1"/>
    </row>
    <row r="153" spans="5:16" hidden="1" x14ac:dyDescent="0.35">
      <c r="E153" s="1"/>
      <c r="F153" s="1"/>
      <c r="G153" s="1"/>
      <c r="H153" s="1"/>
      <c r="I153" s="1"/>
      <c r="J153" s="1"/>
      <c r="K153" s="1" t="s">
        <v>138</v>
      </c>
      <c r="L153" s="1"/>
      <c r="M153" s="1"/>
      <c r="N153" s="1"/>
      <c r="O153" s="1"/>
      <c r="P153" s="1"/>
    </row>
    <row r="154" spans="5:16" hidden="1" x14ac:dyDescent="0.35">
      <c r="E154" s="1"/>
      <c r="F154" s="1"/>
      <c r="G154" s="1"/>
      <c r="H154" s="1"/>
      <c r="I154" s="1"/>
      <c r="J154" s="1"/>
      <c r="K154" s="1" t="s">
        <v>231</v>
      </c>
      <c r="L154" s="1"/>
      <c r="M154" s="1"/>
      <c r="N154" s="1"/>
      <c r="O154" s="1"/>
      <c r="P154" s="1"/>
    </row>
    <row r="155" spans="5:16" hidden="1" x14ac:dyDescent="0.35">
      <c r="E155" s="1"/>
      <c r="F155" s="1"/>
      <c r="G155" s="1"/>
      <c r="H155" s="1"/>
      <c r="I155" s="1"/>
      <c r="J155" s="1"/>
      <c r="K155" s="1" t="s">
        <v>232</v>
      </c>
      <c r="L155" s="1"/>
      <c r="M155" s="1"/>
      <c r="N155" s="1"/>
      <c r="O155" s="1"/>
      <c r="P155" s="1"/>
    </row>
    <row r="156" spans="5:16" hidden="1" x14ac:dyDescent="0.35">
      <c r="E156" s="1"/>
      <c r="F156" s="1"/>
      <c r="G156" s="1"/>
      <c r="H156" s="1"/>
      <c r="I156" s="1"/>
      <c r="J156" s="1"/>
      <c r="K156" s="1" t="s">
        <v>233</v>
      </c>
      <c r="L156" s="1"/>
      <c r="M156" s="1"/>
      <c r="N156" s="1"/>
      <c r="O156" s="1"/>
      <c r="P156" s="1"/>
    </row>
    <row r="157" spans="5:16" hidden="1" x14ac:dyDescent="0.35">
      <c r="E157" s="1"/>
      <c r="F157" s="1"/>
      <c r="G157" s="1"/>
      <c r="H157" s="1"/>
      <c r="I157" s="1"/>
      <c r="J157" s="1"/>
      <c r="K157" s="1" t="s">
        <v>87</v>
      </c>
      <c r="L157" s="1"/>
      <c r="M157" s="1"/>
      <c r="N157" s="1"/>
      <c r="O157" s="1"/>
      <c r="P157" s="1"/>
    </row>
    <row r="158" spans="5:16" hidden="1" x14ac:dyDescent="0.35">
      <c r="E158" s="1"/>
      <c r="F158" s="1"/>
      <c r="G158" s="1"/>
      <c r="H158" s="1"/>
      <c r="I158" s="1"/>
      <c r="J158" s="1"/>
      <c r="K158" s="1" t="s">
        <v>234</v>
      </c>
      <c r="L158" s="1"/>
      <c r="M158" s="1"/>
      <c r="N158" s="1"/>
      <c r="O158" s="1"/>
      <c r="P158" s="1"/>
    </row>
    <row r="159" spans="5:16" hidden="1" x14ac:dyDescent="0.35">
      <c r="E159" s="1"/>
      <c r="F159" s="1"/>
      <c r="G159" s="1"/>
      <c r="H159" s="1"/>
      <c r="I159" s="1"/>
      <c r="J159" s="1"/>
      <c r="K159" s="1" t="s">
        <v>235</v>
      </c>
      <c r="L159" s="1"/>
      <c r="M159" s="1"/>
      <c r="N159" s="1"/>
      <c r="O159" s="1"/>
      <c r="P159" s="1"/>
    </row>
    <row r="160" spans="5:16" hidden="1" x14ac:dyDescent="0.35">
      <c r="E160" s="1"/>
      <c r="F160" s="1"/>
      <c r="G160" s="1"/>
      <c r="H160" s="1"/>
      <c r="I160" s="1"/>
      <c r="J160" s="1"/>
      <c r="K160" s="1" t="s">
        <v>236</v>
      </c>
      <c r="L160" s="1"/>
      <c r="M160" s="1"/>
      <c r="N160" s="1"/>
      <c r="O160" s="1"/>
      <c r="P160" s="1"/>
    </row>
    <row r="161" spans="5:16" hidden="1" x14ac:dyDescent="0.35">
      <c r="E161" s="1"/>
      <c r="F161" s="1"/>
      <c r="G161" s="1"/>
      <c r="H161" s="1"/>
      <c r="I161" s="1"/>
      <c r="J161" s="1"/>
      <c r="K161" s="1" t="s">
        <v>237</v>
      </c>
      <c r="L161" s="1"/>
      <c r="M161" s="1"/>
      <c r="N161" s="1"/>
      <c r="O161" s="1"/>
      <c r="P161" s="1"/>
    </row>
    <row r="162" spans="5:16" hidden="1" x14ac:dyDescent="0.35">
      <c r="E162" s="1"/>
      <c r="F162" s="1"/>
      <c r="G162" s="1"/>
      <c r="H162" s="1"/>
      <c r="I162" s="1"/>
      <c r="J162" s="1"/>
      <c r="K162" s="1" t="s">
        <v>238</v>
      </c>
      <c r="L162" s="1"/>
      <c r="M162" s="1"/>
      <c r="N162" s="1"/>
      <c r="O162" s="1"/>
      <c r="P162" s="1"/>
    </row>
    <row r="163" spans="5:16" hidden="1" x14ac:dyDescent="0.35">
      <c r="E163" s="1"/>
      <c r="F163" s="1"/>
      <c r="G163" s="1"/>
      <c r="H163" s="1"/>
      <c r="I163" s="1"/>
      <c r="J163" s="1"/>
      <c r="K163" s="1" t="s">
        <v>239</v>
      </c>
      <c r="L163" s="1"/>
      <c r="M163" s="1"/>
      <c r="N163" s="1"/>
      <c r="O163" s="1"/>
      <c r="P163" s="1"/>
    </row>
    <row r="164" spans="5:16" hidden="1" x14ac:dyDescent="0.35">
      <c r="E164" s="1"/>
      <c r="F164" s="1"/>
      <c r="G164" s="1"/>
      <c r="H164" s="1"/>
      <c r="I164" s="1"/>
      <c r="J164" s="1"/>
      <c r="K164" s="1" t="s">
        <v>240</v>
      </c>
      <c r="L164" s="1"/>
      <c r="M164" s="1"/>
      <c r="N164" s="1"/>
      <c r="O164" s="1"/>
      <c r="P164" s="1"/>
    </row>
    <row r="165" spans="5:16" hidden="1" x14ac:dyDescent="0.35">
      <c r="E165" s="1"/>
      <c r="F165" s="1"/>
      <c r="G165" s="1"/>
      <c r="H165" s="1"/>
      <c r="I165" s="1"/>
      <c r="J165" s="1"/>
      <c r="K165" s="1" t="s">
        <v>241</v>
      </c>
      <c r="L165" s="1"/>
      <c r="M165" s="1"/>
      <c r="N165" s="1"/>
      <c r="O165" s="1"/>
      <c r="P165" s="1"/>
    </row>
    <row r="166" spans="5:16" hidden="1" x14ac:dyDescent="0.35">
      <c r="E166" s="1"/>
      <c r="F166" s="1"/>
      <c r="G166" s="1"/>
      <c r="H166" s="1"/>
      <c r="I166" s="1"/>
      <c r="J166" s="1"/>
      <c r="K166" s="1" t="s">
        <v>242</v>
      </c>
      <c r="L166" s="1"/>
      <c r="M166" s="1"/>
      <c r="N166" s="1"/>
      <c r="O166" s="1"/>
      <c r="P166" s="1"/>
    </row>
    <row r="167" spans="5:16" hidden="1" x14ac:dyDescent="0.35">
      <c r="E167" s="1"/>
      <c r="F167" s="1"/>
      <c r="G167" s="1"/>
      <c r="H167" s="1"/>
      <c r="I167" s="1"/>
      <c r="J167" s="1"/>
      <c r="K167" s="1" t="s">
        <v>243</v>
      </c>
      <c r="L167" s="1"/>
      <c r="M167" s="1"/>
      <c r="N167" s="1"/>
      <c r="O167" s="1"/>
      <c r="P167" s="1"/>
    </row>
    <row r="168" spans="5:16" hidden="1" x14ac:dyDescent="0.35">
      <c r="E168" s="1"/>
      <c r="F168" s="1"/>
      <c r="G168" s="1"/>
      <c r="H168" s="1"/>
      <c r="I168" s="1"/>
      <c r="J168" s="1"/>
      <c r="K168" s="1" t="s">
        <v>244</v>
      </c>
      <c r="L168" s="1"/>
      <c r="M168" s="1"/>
      <c r="N168" s="1"/>
      <c r="O168" s="1"/>
      <c r="P168" s="1"/>
    </row>
    <row r="169" spans="5:16" hidden="1" x14ac:dyDescent="0.35">
      <c r="E169" s="1"/>
      <c r="F169" s="1"/>
      <c r="G169" s="1"/>
      <c r="H169" s="1"/>
      <c r="I169" s="1"/>
      <c r="J169" s="1"/>
      <c r="K169" s="1" t="s">
        <v>245</v>
      </c>
      <c r="L169" s="1"/>
      <c r="M169" s="1"/>
      <c r="N169" s="1"/>
      <c r="O169" s="1"/>
      <c r="P169" s="1"/>
    </row>
    <row r="170" spans="5:16" hidden="1" x14ac:dyDescent="0.35">
      <c r="E170" s="1"/>
      <c r="F170" s="1"/>
      <c r="G170" s="1"/>
      <c r="H170" s="1"/>
      <c r="I170" s="1"/>
      <c r="J170" s="1"/>
      <c r="K170" s="1" t="s">
        <v>246</v>
      </c>
      <c r="L170" s="1"/>
      <c r="M170" s="1"/>
      <c r="N170" s="1"/>
      <c r="O170" s="1"/>
      <c r="P170" s="1"/>
    </row>
    <row r="171" spans="5:16" hidden="1" x14ac:dyDescent="0.35">
      <c r="E171" s="1"/>
      <c r="F171" s="1"/>
      <c r="G171" s="1"/>
      <c r="H171" s="1"/>
      <c r="I171" s="1"/>
      <c r="J171" s="1"/>
      <c r="K171" s="1" t="s">
        <v>39</v>
      </c>
      <c r="L171" s="1"/>
      <c r="M171" s="1"/>
      <c r="N171" s="1"/>
      <c r="O171" s="1"/>
      <c r="P171" s="1"/>
    </row>
    <row r="172" spans="5:16" hidden="1" x14ac:dyDescent="0.35">
      <c r="E172" s="1"/>
      <c r="F172" s="1"/>
      <c r="G172" s="1"/>
      <c r="H172" s="1"/>
      <c r="I172" s="1"/>
      <c r="J172" s="1"/>
      <c r="K172" s="1" t="s">
        <v>247</v>
      </c>
      <c r="L172" s="1"/>
      <c r="M172" s="1"/>
      <c r="N172" s="1"/>
      <c r="O172" s="1"/>
      <c r="P172" s="1"/>
    </row>
    <row r="173" spans="5:16" hidden="1" x14ac:dyDescent="0.35">
      <c r="E173" s="1"/>
      <c r="F173" s="1"/>
      <c r="G173" s="1"/>
      <c r="H173" s="1"/>
      <c r="I173" s="1"/>
      <c r="J173" s="1"/>
      <c r="K173" s="1" t="s">
        <v>248</v>
      </c>
      <c r="L173" s="1"/>
      <c r="M173" s="1"/>
      <c r="N173" s="1"/>
      <c r="O173" s="1"/>
      <c r="P173" s="1"/>
    </row>
    <row r="174" spans="5:16" hidden="1" x14ac:dyDescent="0.35">
      <c r="E174" s="1"/>
      <c r="F174" s="1"/>
      <c r="G174" s="1"/>
      <c r="H174" s="1"/>
      <c r="I174" s="1"/>
      <c r="J174" s="1"/>
      <c r="K174" s="1" t="s">
        <v>249</v>
      </c>
      <c r="L174" s="1"/>
      <c r="M174" s="1"/>
      <c r="N174" s="1"/>
      <c r="O174" s="1"/>
      <c r="P174" s="1"/>
    </row>
    <row r="175" spans="5:16" hidden="1" x14ac:dyDescent="0.35">
      <c r="E175" s="1"/>
      <c r="F175" s="1"/>
      <c r="G175" s="1"/>
      <c r="H175" s="1"/>
      <c r="I175" s="1"/>
      <c r="J175" s="1"/>
      <c r="K175" s="1" t="s">
        <v>250</v>
      </c>
      <c r="L175" s="1"/>
      <c r="M175" s="1"/>
      <c r="N175" s="1"/>
      <c r="O175" s="1"/>
      <c r="P175" s="1"/>
    </row>
    <row r="176" spans="5:16" hidden="1" x14ac:dyDescent="0.35">
      <c r="E176" s="1"/>
      <c r="F176" s="1"/>
      <c r="G176" s="1"/>
      <c r="H176" s="1"/>
      <c r="I176" s="1"/>
      <c r="J176" s="1"/>
      <c r="K176" s="1" t="s">
        <v>251</v>
      </c>
      <c r="L176" s="1"/>
      <c r="M176" s="1"/>
      <c r="N176" s="1"/>
      <c r="O176" s="1"/>
      <c r="P176" s="1"/>
    </row>
    <row r="177" spans="5:16" hidden="1" x14ac:dyDescent="0.35">
      <c r="E177" s="1"/>
      <c r="F177" s="1"/>
      <c r="G177" s="1"/>
      <c r="H177" s="1"/>
      <c r="I177" s="1"/>
      <c r="J177" s="1"/>
      <c r="K177" s="1" t="s">
        <v>252</v>
      </c>
      <c r="L177" s="1"/>
      <c r="M177" s="1"/>
      <c r="N177" s="1"/>
      <c r="O177" s="1"/>
      <c r="P177" s="1"/>
    </row>
    <row r="178" spans="5:16" hidden="1" x14ac:dyDescent="0.35">
      <c r="E178" s="1"/>
      <c r="F178" s="1"/>
      <c r="G178" s="1"/>
      <c r="H178" s="1"/>
      <c r="I178" s="1"/>
      <c r="J178" s="1"/>
      <c r="K178" s="1" t="s">
        <v>253</v>
      </c>
      <c r="L178" s="1"/>
      <c r="M178" s="1"/>
      <c r="N178" s="1"/>
      <c r="O178" s="1"/>
      <c r="P178" s="1"/>
    </row>
    <row r="179" spans="5:16" hidden="1" x14ac:dyDescent="0.35"/>
  </sheetData>
  <sheetProtection formatCells="0" formatColumns="0" formatRows="0" insertColumns="0" insertRows="0" insertHyperlinks="0" deleteColumns="0" deleteRows="0" sort="0" autoFilter="0" pivotTables="0"/>
  <autoFilter ref="C39:AE115" xr:uid="{E7369476-1993-4393-BAC7-AF45F5018B0D}"/>
  <mergeCells count="706">
    <mergeCell ref="Q104:Q105"/>
    <mergeCell ref="I98:I115"/>
    <mergeCell ref="J110:J115"/>
    <mergeCell ref="J40:J41"/>
    <mergeCell ref="I40:I41"/>
    <mergeCell ref="D94:D95"/>
    <mergeCell ref="D96:D97"/>
    <mergeCell ref="E94:E95"/>
    <mergeCell ref="F94:F95"/>
    <mergeCell ref="G94:G95"/>
    <mergeCell ref="H94:H95"/>
    <mergeCell ref="E96:E97"/>
    <mergeCell ref="F96:F97"/>
    <mergeCell ref="G96:G97"/>
    <mergeCell ref="H96:H97"/>
    <mergeCell ref="O88:O89"/>
    <mergeCell ref="P88:P89"/>
    <mergeCell ref="Q88:Q89"/>
    <mergeCell ref="J88:J93"/>
    <mergeCell ref="J94:J97"/>
    <mergeCell ref="K94:K95"/>
    <mergeCell ref="L94:L95"/>
    <mergeCell ref="M94:M95"/>
    <mergeCell ref="N94:N95"/>
    <mergeCell ref="O94:O95"/>
    <mergeCell ref="P94:P95"/>
    <mergeCell ref="Q94:Q95"/>
    <mergeCell ref="K96:K97"/>
    <mergeCell ref="L96:L97"/>
    <mergeCell ref="M96:M97"/>
    <mergeCell ref="N96:N97"/>
    <mergeCell ref="O96:O97"/>
    <mergeCell ref="P96:P97"/>
    <mergeCell ref="Q96:Q97"/>
    <mergeCell ref="N90:N91"/>
    <mergeCell ref="D88:D89"/>
    <mergeCell ref="E88:E89"/>
    <mergeCell ref="F88:F89"/>
    <mergeCell ref="G88:G89"/>
    <mergeCell ref="H88:H89"/>
    <mergeCell ref="K88:K89"/>
    <mergeCell ref="L88:L89"/>
    <mergeCell ref="M88:M89"/>
    <mergeCell ref="N88:N89"/>
    <mergeCell ref="I54:I97"/>
    <mergeCell ref="D82:D83"/>
    <mergeCell ref="E82:E83"/>
    <mergeCell ref="F82:F83"/>
    <mergeCell ref="G82:G83"/>
    <mergeCell ref="H82:H83"/>
    <mergeCell ref="K82:K83"/>
    <mergeCell ref="L82:L83"/>
    <mergeCell ref="M82:M83"/>
    <mergeCell ref="N82:N83"/>
    <mergeCell ref="M54:M55"/>
    <mergeCell ref="N54:N55"/>
    <mergeCell ref="F58:F59"/>
    <mergeCell ref="G58:G59"/>
    <mergeCell ref="Q80:Q81"/>
    <mergeCell ref="O90:O91"/>
    <mergeCell ref="P90:P91"/>
    <mergeCell ref="Q90:Q91"/>
    <mergeCell ref="D92:D93"/>
    <mergeCell ref="E92:E93"/>
    <mergeCell ref="F92:F93"/>
    <mergeCell ref="G92:G93"/>
    <mergeCell ref="H92:H93"/>
    <mergeCell ref="K92:K93"/>
    <mergeCell ref="L92:L93"/>
    <mergeCell ref="M92:M93"/>
    <mergeCell ref="N92:N93"/>
    <mergeCell ref="O92:O93"/>
    <mergeCell ref="P92:P93"/>
    <mergeCell ref="Q92:Q93"/>
    <mergeCell ref="D90:D91"/>
    <mergeCell ref="E90:E91"/>
    <mergeCell ref="F90:F91"/>
    <mergeCell ref="G90:G91"/>
    <mergeCell ref="H90:H91"/>
    <mergeCell ref="K90:K91"/>
    <mergeCell ref="L90:L91"/>
    <mergeCell ref="M90:M91"/>
    <mergeCell ref="D86:D87"/>
    <mergeCell ref="E86:E87"/>
    <mergeCell ref="F86:F87"/>
    <mergeCell ref="G86:G87"/>
    <mergeCell ref="H86:H87"/>
    <mergeCell ref="K86:K87"/>
    <mergeCell ref="L86:L87"/>
    <mergeCell ref="M86:M87"/>
    <mergeCell ref="N86:N87"/>
    <mergeCell ref="J74:J87"/>
    <mergeCell ref="D84:D85"/>
    <mergeCell ref="E84:E85"/>
    <mergeCell ref="F84:F85"/>
    <mergeCell ref="G84:G85"/>
    <mergeCell ref="H84:H85"/>
    <mergeCell ref="K84:K85"/>
    <mergeCell ref="L84:L85"/>
    <mergeCell ref="M84:M85"/>
    <mergeCell ref="N84:N85"/>
    <mergeCell ref="D78:D79"/>
    <mergeCell ref="E78:E79"/>
    <mergeCell ref="F78:F79"/>
    <mergeCell ref="G78:G79"/>
    <mergeCell ref="H78:H79"/>
    <mergeCell ref="K78:K79"/>
    <mergeCell ref="L78:L79"/>
    <mergeCell ref="M78:M79"/>
    <mergeCell ref="N78:N79"/>
    <mergeCell ref="D80:D81"/>
    <mergeCell ref="E80:E81"/>
    <mergeCell ref="F80:F81"/>
    <mergeCell ref="G80:G81"/>
    <mergeCell ref="H80:H81"/>
    <mergeCell ref="K80:K81"/>
    <mergeCell ref="L80:L81"/>
    <mergeCell ref="M80:M81"/>
    <mergeCell ref="N80:N81"/>
    <mergeCell ref="Q74:Q75"/>
    <mergeCell ref="D76:D77"/>
    <mergeCell ref="E76:E77"/>
    <mergeCell ref="F76:F77"/>
    <mergeCell ref="G76:G77"/>
    <mergeCell ref="H76:H77"/>
    <mergeCell ref="K76:K77"/>
    <mergeCell ref="L76:L77"/>
    <mergeCell ref="M76:M77"/>
    <mergeCell ref="N76:N77"/>
    <mergeCell ref="O76:O77"/>
    <mergeCell ref="P76:P77"/>
    <mergeCell ref="Q76:Q77"/>
    <mergeCell ref="D74:D75"/>
    <mergeCell ref="E74:E75"/>
    <mergeCell ref="F74:F75"/>
    <mergeCell ref="G74:G75"/>
    <mergeCell ref="H74:H75"/>
    <mergeCell ref="K74:K75"/>
    <mergeCell ref="L74:L75"/>
    <mergeCell ref="M74:M75"/>
    <mergeCell ref="N74:N75"/>
    <mergeCell ref="O74:O75"/>
    <mergeCell ref="P74:P75"/>
    <mergeCell ref="AB60:AB61"/>
    <mergeCell ref="AE60:AE61"/>
    <mergeCell ref="AF60:AG60"/>
    <mergeCell ref="A61:B61"/>
    <mergeCell ref="AF61:AG61"/>
    <mergeCell ref="K56:K57"/>
    <mergeCell ref="L56:L57"/>
    <mergeCell ref="M56:M57"/>
    <mergeCell ref="N56:N57"/>
    <mergeCell ref="O56:O57"/>
    <mergeCell ref="P56:P57"/>
    <mergeCell ref="Q56:Q57"/>
    <mergeCell ref="K60:K61"/>
    <mergeCell ref="L60:L61"/>
    <mergeCell ref="M60:M61"/>
    <mergeCell ref="N60:N61"/>
    <mergeCell ref="O60:O61"/>
    <mergeCell ref="P60:P61"/>
    <mergeCell ref="Q60:Q61"/>
    <mergeCell ref="J54:J63"/>
    <mergeCell ref="K54:K55"/>
    <mergeCell ref="L54:L55"/>
    <mergeCell ref="H58:H59"/>
    <mergeCell ref="D60:D61"/>
    <mergeCell ref="K46:K47"/>
    <mergeCell ref="L46:L47"/>
    <mergeCell ref="M46:M47"/>
    <mergeCell ref="O46:O47"/>
    <mergeCell ref="P46:P47"/>
    <mergeCell ref="Q46:Q47"/>
    <mergeCell ref="N46:N47"/>
    <mergeCell ref="S60:S61"/>
    <mergeCell ref="Y60:Y61"/>
    <mergeCell ref="P48:P49"/>
    <mergeCell ref="S52:S53"/>
    <mergeCell ref="Q48:Q49"/>
    <mergeCell ref="J42:J45"/>
    <mergeCell ref="J46:J49"/>
    <mergeCell ref="J50:J53"/>
    <mergeCell ref="I42:I53"/>
    <mergeCell ref="D46:D47"/>
    <mergeCell ref="E46:E47"/>
    <mergeCell ref="F46:F47"/>
    <mergeCell ref="G46:G47"/>
    <mergeCell ref="H46:H47"/>
    <mergeCell ref="D48:D49"/>
    <mergeCell ref="E48:E49"/>
    <mergeCell ref="F48:F49"/>
    <mergeCell ref="G48:G49"/>
    <mergeCell ref="H48:H49"/>
    <mergeCell ref="E42:E43"/>
    <mergeCell ref="Q72:Q73"/>
    <mergeCell ref="D70:D71"/>
    <mergeCell ref="E70:E71"/>
    <mergeCell ref="F70:F71"/>
    <mergeCell ref="G70:G71"/>
    <mergeCell ref="H70:H71"/>
    <mergeCell ref="D72:D73"/>
    <mergeCell ref="E72:E73"/>
    <mergeCell ref="F72:F73"/>
    <mergeCell ref="G72:G73"/>
    <mergeCell ref="H72:H73"/>
    <mergeCell ref="J64:J73"/>
    <mergeCell ref="O70:O71"/>
    <mergeCell ref="K72:K73"/>
    <mergeCell ref="L72:L73"/>
    <mergeCell ref="M72:M73"/>
    <mergeCell ref="N72:N73"/>
    <mergeCell ref="O72:O73"/>
    <mergeCell ref="P70:P71"/>
    <mergeCell ref="P72:P73"/>
    <mergeCell ref="K70:K71"/>
    <mergeCell ref="L70:L71"/>
    <mergeCell ref="M70:M71"/>
    <mergeCell ref="L108:L109"/>
    <mergeCell ref="M108:M109"/>
    <mergeCell ref="O108:O109"/>
    <mergeCell ref="P108:P109"/>
    <mergeCell ref="O78:O79"/>
    <mergeCell ref="P78:P79"/>
    <mergeCell ref="O84:O85"/>
    <mergeCell ref="P84:P85"/>
    <mergeCell ref="Q100:Q101"/>
    <mergeCell ref="L102:L103"/>
    <mergeCell ref="M102:M103"/>
    <mergeCell ref="N102:N103"/>
    <mergeCell ref="O102:O103"/>
    <mergeCell ref="P102:P103"/>
    <mergeCell ref="Q102:Q103"/>
    <mergeCell ref="N98:N99"/>
    <mergeCell ref="O98:O99"/>
    <mergeCell ref="O82:O83"/>
    <mergeCell ref="P82:P83"/>
    <mergeCell ref="Q82:Q83"/>
    <mergeCell ref="Q78:Q79"/>
    <mergeCell ref="O80:O81"/>
    <mergeCell ref="P80:P81"/>
    <mergeCell ref="Q84:Q85"/>
    <mergeCell ref="D108:D109"/>
    <mergeCell ref="E108:E109"/>
    <mergeCell ref="F108:F109"/>
    <mergeCell ref="G108:G109"/>
    <mergeCell ref="H108:H109"/>
    <mergeCell ref="D100:D101"/>
    <mergeCell ref="D102:D103"/>
    <mergeCell ref="D104:D105"/>
    <mergeCell ref="K100:K101"/>
    <mergeCell ref="F100:F101"/>
    <mergeCell ref="G100:G101"/>
    <mergeCell ref="H100:H101"/>
    <mergeCell ref="E102:E103"/>
    <mergeCell ref="F102:F103"/>
    <mergeCell ref="G102:G103"/>
    <mergeCell ref="H102:H103"/>
    <mergeCell ref="J98:J103"/>
    <mergeCell ref="K104:K105"/>
    <mergeCell ref="J104:J109"/>
    <mergeCell ref="K102:K103"/>
    <mergeCell ref="A109:B109"/>
    <mergeCell ref="A110:B110"/>
    <mergeCell ref="A111:B111"/>
    <mergeCell ref="AF114:AG114"/>
    <mergeCell ref="A115:B115"/>
    <mergeCell ref="AF115:AG115"/>
    <mergeCell ref="A112:B112"/>
    <mergeCell ref="D112:D113"/>
    <mergeCell ref="E112:E113"/>
    <mergeCell ref="F112:F113"/>
    <mergeCell ref="G112:G113"/>
    <mergeCell ref="H112:H113"/>
    <mergeCell ref="L112:L113"/>
    <mergeCell ref="M112:M113"/>
    <mergeCell ref="N112:N113"/>
    <mergeCell ref="O112:O113"/>
    <mergeCell ref="P112:P113"/>
    <mergeCell ref="Q112:Q113"/>
    <mergeCell ref="S112:S113"/>
    <mergeCell ref="Y112:Y113"/>
    <mergeCell ref="AB112:AB113"/>
    <mergeCell ref="AF110:AG110"/>
    <mergeCell ref="AF111:AG111"/>
    <mergeCell ref="N108:N109"/>
    <mergeCell ref="A108:B108"/>
    <mergeCell ref="AF112:AG112"/>
    <mergeCell ref="A113:B113"/>
    <mergeCell ref="AE114:AE115"/>
    <mergeCell ref="K110:K115"/>
    <mergeCell ref="A114:B114"/>
    <mergeCell ref="D114:D115"/>
    <mergeCell ref="E114:E115"/>
    <mergeCell ref="F114:F115"/>
    <mergeCell ref="G114:G115"/>
    <mergeCell ref="H114:H115"/>
    <mergeCell ref="L114:L115"/>
    <mergeCell ref="M114:M115"/>
    <mergeCell ref="N114:N115"/>
    <mergeCell ref="O114:O115"/>
    <mergeCell ref="P114:P115"/>
    <mergeCell ref="Q114:Q115"/>
    <mergeCell ref="Y114:Y115"/>
    <mergeCell ref="AB114:AB115"/>
    <mergeCell ref="AF113:AG113"/>
    <mergeCell ref="L110:L111"/>
    <mergeCell ref="M110:M111"/>
    <mergeCell ref="D110:D111"/>
    <mergeCell ref="E110:E111"/>
    <mergeCell ref="Q108:Q109"/>
    <mergeCell ref="S108:S109"/>
    <mergeCell ref="Y108:Y109"/>
    <mergeCell ref="AB108:AB109"/>
    <mergeCell ref="AE108:AE109"/>
    <mergeCell ref="A53:B53"/>
    <mergeCell ref="AF53:AG53"/>
    <mergeCell ref="R52:R53"/>
    <mergeCell ref="A52:B52"/>
    <mergeCell ref="D52:D53"/>
    <mergeCell ref="E52:E53"/>
    <mergeCell ref="F52:F53"/>
    <mergeCell ref="G52:G53"/>
    <mergeCell ref="H52:H53"/>
    <mergeCell ref="K52:K53"/>
    <mergeCell ref="L52:L53"/>
    <mergeCell ref="M52:M53"/>
    <mergeCell ref="N52:N53"/>
    <mergeCell ref="O52:O53"/>
    <mergeCell ref="P52:P53"/>
    <mergeCell ref="Q52:Q53"/>
    <mergeCell ref="A54:B54"/>
    <mergeCell ref="D54:D55"/>
    <mergeCell ref="E54:E55"/>
    <mergeCell ref="H54:H55"/>
    <mergeCell ref="A55:B55"/>
    <mergeCell ref="A59:B59"/>
    <mergeCell ref="A66:B66"/>
    <mergeCell ref="D66:D67"/>
    <mergeCell ref="A65:B65"/>
    <mergeCell ref="E56:E57"/>
    <mergeCell ref="F56:F57"/>
    <mergeCell ref="G56:G57"/>
    <mergeCell ref="H56:H57"/>
    <mergeCell ref="E58:E59"/>
    <mergeCell ref="A60:B60"/>
    <mergeCell ref="E60:E61"/>
    <mergeCell ref="F60:F61"/>
    <mergeCell ref="G60:G61"/>
    <mergeCell ref="H60:H61"/>
    <mergeCell ref="AF50:AG50"/>
    <mergeCell ref="AF51:AG51"/>
    <mergeCell ref="Y54:Y55"/>
    <mergeCell ref="AB54:AB55"/>
    <mergeCell ref="AE54:AE55"/>
    <mergeCell ref="AF54:AG54"/>
    <mergeCell ref="AF55:AG55"/>
    <mergeCell ref="Y52:Y53"/>
    <mergeCell ref="AB52:AB53"/>
    <mergeCell ref="AE52:AE53"/>
    <mergeCell ref="AF52:AG52"/>
    <mergeCell ref="P50:P51"/>
    <mergeCell ref="Q50:Q51"/>
    <mergeCell ref="S50:S51"/>
    <mergeCell ref="Y50:Y51"/>
    <mergeCell ref="AB50:AB51"/>
    <mergeCell ref="AE50:AE51"/>
    <mergeCell ref="K50:K51"/>
    <mergeCell ref="L50:L51"/>
    <mergeCell ref="M50:M51"/>
    <mergeCell ref="S114:S115"/>
    <mergeCell ref="S68:S69"/>
    <mergeCell ref="A106:B106"/>
    <mergeCell ref="D106:D107"/>
    <mergeCell ref="K106:K107"/>
    <mergeCell ref="L106:L107"/>
    <mergeCell ref="M106:M107"/>
    <mergeCell ref="S54:S55"/>
    <mergeCell ref="K64:K65"/>
    <mergeCell ref="L64:L65"/>
    <mergeCell ref="M64:M65"/>
    <mergeCell ref="L62:L63"/>
    <mergeCell ref="M62:M63"/>
    <mergeCell ref="N62:N63"/>
    <mergeCell ref="S64:S65"/>
    <mergeCell ref="O54:O55"/>
    <mergeCell ref="P54:P55"/>
    <mergeCell ref="Q54:Q55"/>
    <mergeCell ref="S58:S59"/>
    <mergeCell ref="N64:N65"/>
    <mergeCell ref="O64:O65"/>
    <mergeCell ref="Q62:Q63"/>
    <mergeCell ref="F54:F55"/>
    <mergeCell ref="G54:G55"/>
    <mergeCell ref="AF106:AG106"/>
    <mergeCell ref="AF107:AG107"/>
    <mergeCell ref="AB106:AB107"/>
    <mergeCell ref="X56:X115"/>
    <mergeCell ref="P66:P67"/>
    <mergeCell ref="Q66:Q67"/>
    <mergeCell ref="P68:P69"/>
    <mergeCell ref="Q68:Q69"/>
    <mergeCell ref="P106:P107"/>
    <mergeCell ref="Q106:Q107"/>
    <mergeCell ref="P64:P65"/>
    <mergeCell ref="AB68:AB69"/>
    <mergeCell ref="AE68:AE69"/>
    <mergeCell ref="AF68:AG68"/>
    <mergeCell ref="AF69:AG69"/>
    <mergeCell ref="Z56:Z115"/>
    <mergeCell ref="R64:R65"/>
    <mergeCell ref="R66:R67"/>
    <mergeCell ref="AF108:AG108"/>
    <mergeCell ref="AF109:AG109"/>
    <mergeCell ref="P110:P111"/>
    <mergeCell ref="Q110:Q111"/>
    <mergeCell ref="S110:S111"/>
    <mergeCell ref="Y110:Y111"/>
    <mergeCell ref="A117:B117"/>
    <mergeCell ref="Q64:Q65"/>
    <mergeCell ref="O68:O69"/>
    <mergeCell ref="P98:P99"/>
    <mergeCell ref="R68:R69"/>
    <mergeCell ref="A116:B116"/>
    <mergeCell ref="AE106:AE107"/>
    <mergeCell ref="M98:M99"/>
    <mergeCell ref="K66:K67"/>
    <mergeCell ref="L66:L67"/>
    <mergeCell ref="M66:M67"/>
    <mergeCell ref="N66:N67"/>
    <mergeCell ref="N110:N111"/>
    <mergeCell ref="O110:O111"/>
    <mergeCell ref="AB110:AB111"/>
    <mergeCell ref="AE110:AE111"/>
    <mergeCell ref="AE112:AE113"/>
    <mergeCell ref="K108:K109"/>
    <mergeCell ref="N106:N107"/>
    <mergeCell ref="A107:B107"/>
    <mergeCell ref="E106:E107"/>
    <mergeCell ref="F106:F107"/>
    <mergeCell ref="G106:G107"/>
    <mergeCell ref="H106:H107"/>
    <mergeCell ref="AF65:AG65"/>
    <mergeCell ref="Y68:Y69"/>
    <mergeCell ref="Y66:Y67"/>
    <mergeCell ref="Q98:Q99"/>
    <mergeCell ref="AF66:AG66"/>
    <mergeCell ref="AF67:AG67"/>
    <mergeCell ref="A68:B68"/>
    <mergeCell ref="D68:D69"/>
    <mergeCell ref="K68:K69"/>
    <mergeCell ref="L68:L69"/>
    <mergeCell ref="M68:M69"/>
    <mergeCell ref="N68:N69"/>
    <mergeCell ref="A69:B69"/>
    <mergeCell ref="E68:E69"/>
    <mergeCell ref="F68:F69"/>
    <mergeCell ref="G68:G69"/>
    <mergeCell ref="H68:H69"/>
    <mergeCell ref="W56:W115"/>
    <mergeCell ref="Q58:Q59"/>
    <mergeCell ref="P62:P63"/>
    <mergeCell ref="P58:P59"/>
    <mergeCell ref="O106:O107"/>
    <mergeCell ref="S106:S107"/>
    <mergeCell ref="L98:L99"/>
    <mergeCell ref="AB64:AB65"/>
    <mergeCell ref="AE58:AE59"/>
    <mergeCell ref="Y56:Y57"/>
    <mergeCell ref="D98:D99"/>
    <mergeCell ref="N70:N71"/>
    <mergeCell ref="E104:E105"/>
    <mergeCell ref="F104:F105"/>
    <mergeCell ref="G104:G105"/>
    <mergeCell ref="H104:H105"/>
    <mergeCell ref="L100:L101"/>
    <mergeCell ref="K98:K99"/>
    <mergeCell ref="M100:M101"/>
    <mergeCell ref="N100:N101"/>
    <mergeCell ref="O100:O101"/>
    <mergeCell ref="P100:P101"/>
    <mergeCell ref="L104:L105"/>
    <mergeCell ref="M104:M105"/>
    <mergeCell ref="N104:N105"/>
    <mergeCell ref="O104:O105"/>
    <mergeCell ref="P104:P105"/>
    <mergeCell ref="O86:O87"/>
    <mergeCell ref="P86:P87"/>
    <mergeCell ref="Q86:Q87"/>
    <mergeCell ref="Q70:Q71"/>
    <mergeCell ref="AF64:AG64"/>
    <mergeCell ref="S62:S63"/>
    <mergeCell ref="AB56:AB57"/>
    <mergeCell ref="AD56:AD115"/>
    <mergeCell ref="AB58:AB59"/>
    <mergeCell ref="AC56:AC115"/>
    <mergeCell ref="O62:O63"/>
    <mergeCell ref="AM56:AM115"/>
    <mergeCell ref="A57:B57"/>
    <mergeCell ref="AF57:AG57"/>
    <mergeCell ref="A58:B58"/>
    <mergeCell ref="D58:D59"/>
    <mergeCell ref="K58:K59"/>
    <mergeCell ref="L58:L59"/>
    <mergeCell ref="M58:M59"/>
    <mergeCell ref="N58:N59"/>
    <mergeCell ref="O58:O59"/>
    <mergeCell ref="AF56:AG56"/>
    <mergeCell ref="AH56:AH115"/>
    <mergeCell ref="AI56:AI115"/>
    <mergeCell ref="AJ56:AJ115"/>
    <mergeCell ref="AK56:AK115"/>
    <mergeCell ref="AL56:AL115"/>
    <mergeCell ref="AF58:AG58"/>
    <mergeCell ref="S44:S45"/>
    <mergeCell ref="Y106:Y107"/>
    <mergeCell ref="Y62:Y63"/>
    <mergeCell ref="Y64:Y65"/>
    <mergeCell ref="A67:B67"/>
    <mergeCell ref="E66:E67"/>
    <mergeCell ref="F66:F67"/>
    <mergeCell ref="G110:G111"/>
    <mergeCell ref="H110:H111"/>
    <mergeCell ref="E100:E101"/>
    <mergeCell ref="Y58:Y59"/>
    <mergeCell ref="O66:O67"/>
    <mergeCell ref="S66:S67"/>
    <mergeCell ref="W40:W45"/>
    <mergeCell ref="M44:M45"/>
    <mergeCell ref="A50:B50"/>
    <mergeCell ref="D50:D51"/>
    <mergeCell ref="E50:E51"/>
    <mergeCell ref="F50:F51"/>
    <mergeCell ref="G50:G51"/>
    <mergeCell ref="H50:H51"/>
    <mergeCell ref="A51:B51"/>
    <mergeCell ref="N50:N51"/>
    <mergeCell ref="O50:O51"/>
    <mergeCell ref="AE64:AE65"/>
    <mergeCell ref="G66:G67"/>
    <mergeCell ref="H66:H67"/>
    <mergeCell ref="AA56:AA115"/>
    <mergeCell ref="D62:D63"/>
    <mergeCell ref="K62:K63"/>
    <mergeCell ref="E98:E99"/>
    <mergeCell ref="F98:F99"/>
    <mergeCell ref="G98:G99"/>
    <mergeCell ref="H98:H99"/>
    <mergeCell ref="E62:E63"/>
    <mergeCell ref="F62:F63"/>
    <mergeCell ref="G62:G63"/>
    <mergeCell ref="H62:H63"/>
    <mergeCell ref="F64:F65"/>
    <mergeCell ref="G64:G65"/>
    <mergeCell ref="H64:H65"/>
    <mergeCell ref="E64:E65"/>
    <mergeCell ref="D64:D65"/>
    <mergeCell ref="AE56:AE57"/>
    <mergeCell ref="AE66:AE67"/>
    <mergeCell ref="AB62:AB63"/>
    <mergeCell ref="AE62:AE63"/>
    <mergeCell ref="AB66:AB67"/>
    <mergeCell ref="A63:B63"/>
    <mergeCell ref="AF63:AG63"/>
    <mergeCell ref="A64:B64"/>
    <mergeCell ref="Y42:Y43"/>
    <mergeCell ref="Z40:Z45"/>
    <mergeCell ref="AC40:AC45"/>
    <mergeCell ref="AB42:AB43"/>
    <mergeCell ref="Q44:Q45"/>
    <mergeCell ref="AF44:AG44"/>
    <mergeCell ref="A45:B45"/>
    <mergeCell ref="AF45:AG45"/>
    <mergeCell ref="A56:B56"/>
    <mergeCell ref="C56:C115"/>
    <mergeCell ref="D56:D57"/>
    <mergeCell ref="K48:K49"/>
    <mergeCell ref="L48:L49"/>
    <mergeCell ref="M48:M49"/>
    <mergeCell ref="N48:N49"/>
    <mergeCell ref="O48:O49"/>
    <mergeCell ref="S56:S57"/>
    <mergeCell ref="O40:O41"/>
    <mergeCell ref="F110:F111"/>
    <mergeCell ref="S40:S41"/>
    <mergeCell ref="A44:B44"/>
    <mergeCell ref="AF59:AG59"/>
    <mergeCell ref="A62:B62"/>
    <mergeCell ref="A41:B41"/>
    <mergeCell ref="AF41:AG41"/>
    <mergeCell ref="A42:B42"/>
    <mergeCell ref="D42:D43"/>
    <mergeCell ref="K42:K43"/>
    <mergeCell ref="L42:L43"/>
    <mergeCell ref="M42:M43"/>
    <mergeCell ref="N42:N43"/>
    <mergeCell ref="K44:K45"/>
    <mergeCell ref="L44:L45"/>
    <mergeCell ref="N44:N45"/>
    <mergeCell ref="F42:F43"/>
    <mergeCell ref="G42:G43"/>
    <mergeCell ref="H42:H43"/>
    <mergeCell ref="E44:E45"/>
    <mergeCell ref="F44:F45"/>
    <mergeCell ref="G44:G45"/>
    <mergeCell ref="H44:H45"/>
    <mergeCell ref="H40:H41"/>
    <mergeCell ref="AF62:AG62"/>
    <mergeCell ref="D44:D45"/>
    <mergeCell ref="O44:O45"/>
    <mergeCell ref="AM40:AM45"/>
    <mergeCell ref="AH40:AH45"/>
    <mergeCell ref="AI40:AI45"/>
    <mergeCell ref="AJ40:AJ45"/>
    <mergeCell ref="AK40:AK45"/>
    <mergeCell ref="AL40:AL45"/>
    <mergeCell ref="Y44:Y45"/>
    <mergeCell ref="L40:L41"/>
    <mergeCell ref="M40:M41"/>
    <mergeCell ref="N40:N41"/>
    <mergeCell ref="AE44:AE45"/>
    <mergeCell ref="X40:X45"/>
    <mergeCell ref="O42:O43"/>
    <mergeCell ref="S42:S43"/>
    <mergeCell ref="AB44:AB45"/>
    <mergeCell ref="AE42:AE43"/>
    <mergeCell ref="AF40:AG40"/>
    <mergeCell ref="AF42:AG42"/>
    <mergeCell ref="AF43:AG43"/>
    <mergeCell ref="Y40:Y41"/>
    <mergeCell ref="AA40:AA45"/>
    <mergeCell ref="AB40:AB41"/>
    <mergeCell ref="AD40:AD45"/>
    <mergeCell ref="AE40:AE41"/>
    <mergeCell ref="AF37:AG37"/>
    <mergeCell ref="AH37:AI37"/>
    <mergeCell ref="AJ37:AK37"/>
    <mergeCell ref="AL37:AM37"/>
    <mergeCell ref="A39:B39"/>
    <mergeCell ref="AF39:AG39"/>
    <mergeCell ref="A34:B34"/>
    <mergeCell ref="AF34:AG34"/>
    <mergeCell ref="A35:B35"/>
    <mergeCell ref="AF35:AG35"/>
    <mergeCell ref="A36:B36"/>
    <mergeCell ref="AF36:AG36"/>
    <mergeCell ref="AF22:AG22"/>
    <mergeCell ref="A31:B31"/>
    <mergeCell ref="AF31:AG31"/>
    <mergeCell ref="A32:B32"/>
    <mergeCell ref="AF32:AG32"/>
    <mergeCell ref="A33:B33"/>
    <mergeCell ref="AF33:AG33"/>
    <mergeCell ref="A28:B28"/>
    <mergeCell ref="AF28:AG28"/>
    <mergeCell ref="A29:B29"/>
    <mergeCell ref="AF29:AG29"/>
    <mergeCell ref="A30:B30"/>
    <mergeCell ref="AF30:AG30"/>
    <mergeCell ref="A118:B118"/>
    <mergeCell ref="AF1:AG1"/>
    <mergeCell ref="C12:I37"/>
    <mergeCell ref="K12:AE37"/>
    <mergeCell ref="AF12:AG12"/>
    <mergeCell ref="AF13:AG13"/>
    <mergeCell ref="AF14:AG14"/>
    <mergeCell ref="AF15:AG15"/>
    <mergeCell ref="AF16:AG16"/>
    <mergeCell ref="AF23:AG23"/>
    <mergeCell ref="AF24:AG24"/>
    <mergeCell ref="AF25:AG25"/>
    <mergeCell ref="AF26:AG26"/>
    <mergeCell ref="O10:AE11"/>
    <mergeCell ref="K10:K11"/>
    <mergeCell ref="L10:N11"/>
    <mergeCell ref="A27:B27"/>
    <mergeCell ref="AF27:AG27"/>
    <mergeCell ref="AF17:AG17"/>
    <mergeCell ref="AF18:AG18"/>
    <mergeCell ref="AF19:AG19"/>
    <mergeCell ref="AF20:AG20"/>
    <mergeCell ref="AF21:AG21"/>
    <mergeCell ref="E40:E41"/>
    <mergeCell ref="E117:E118"/>
    <mergeCell ref="F117:F118"/>
    <mergeCell ref="G117:G118"/>
    <mergeCell ref="H117:H118"/>
    <mergeCell ref="I117:I118"/>
    <mergeCell ref="K117:K118"/>
    <mergeCell ref="P117:P118"/>
    <mergeCell ref="A2:E9"/>
    <mergeCell ref="F1:AE9"/>
    <mergeCell ref="D38:I38"/>
    <mergeCell ref="K38:AE38"/>
    <mergeCell ref="A37:B37"/>
    <mergeCell ref="A40:B40"/>
    <mergeCell ref="C40:C45"/>
    <mergeCell ref="D40:D41"/>
    <mergeCell ref="K40:K41"/>
    <mergeCell ref="A43:B43"/>
    <mergeCell ref="P40:P41"/>
    <mergeCell ref="Q40:Q41"/>
    <mergeCell ref="P42:P43"/>
    <mergeCell ref="Q42:Q43"/>
    <mergeCell ref="P44:P45"/>
    <mergeCell ref="F40:F41"/>
    <mergeCell ref="G40:G41"/>
  </mergeCells>
  <dataValidations count="6">
    <dataValidation type="list" allowBlank="1" showInputMessage="1" showErrorMessage="1" sqref="G40:G97 G104:G115" xr:uid="{7C034547-BB94-4272-9E85-7EDE3CC87271}">
      <formula1>$G$119:$G$125</formula1>
    </dataValidation>
    <dataValidation type="list" allowBlank="1" showInputMessage="1" showErrorMessage="1" sqref="H40:H97 H104:H115" xr:uid="{47C6C5CA-C5F2-4A73-A98D-929827BCD2CA}">
      <formula1>$H$119:$H$137</formula1>
    </dataValidation>
    <dataValidation type="list" allowBlank="1" showInputMessage="1" showErrorMessage="1" sqref="E40:E115" xr:uid="{E3529F8D-623C-465B-84A7-8BB0E727EB10}">
      <formula1>$E$119:$E$126</formula1>
    </dataValidation>
    <dataValidation type="list" allowBlank="1" showInputMessage="1" showErrorMessage="1" sqref="F40:F115" xr:uid="{C6672571-3310-463F-A044-5B81960A43C6}">
      <formula1>$F$119:$F$128</formula1>
    </dataValidation>
    <dataValidation type="list" allowBlank="1" showInputMessage="1" showErrorMessage="1" sqref="G98:G103" xr:uid="{DD19E6E1-D3F2-4050-B2DA-5A90DF6B2117}">
      <formula1>$G$53:$G$59</formula1>
    </dataValidation>
    <dataValidation type="list" allowBlank="1" showInputMessage="1" showErrorMessage="1" sqref="H98:H103" xr:uid="{D1F5DD33-C030-448F-B6EF-55074E1907FD}">
      <formula1>$H$53:$H$101</formula1>
    </dataValidation>
  </dataValidations>
  <pageMargins left="0.7" right="0.7" top="0.75" bottom="0.75" header="0.3" footer="0.3"/>
  <pageSetup orientation="portrait" r:id="rId1"/>
  <headerFooter>
    <oddFooter>&amp;C_x000D_&amp;1#&amp;"Calibri"&amp;10&amp;K008000 DOCUMENTO PÚBLICO</oddFooter>
  </headerFooter>
  <rowBreaks count="1" manualBreakCount="1">
    <brk id="116" max="16383" man="1"/>
  </rowBreaks>
  <colBreaks count="4" manualBreakCount="4">
    <brk id="7" max="151" man="1"/>
    <brk id="12" max="151" man="1"/>
    <brk id="14" max="151" man="1"/>
    <brk id="39" max="1048575" man="1"/>
  </colBreaks>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1F68E-5952-4874-9F03-8E9D1ABA4877}">
  <dimension ref="A1:AJ101"/>
  <sheetViews>
    <sheetView showGridLines="0" zoomScale="80" zoomScaleNormal="80" zoomScaleSheetLayoutView="50" zoomScalePageLayoutView="48" workbookViewId="0">
      <selection activeCell="H20" sqref="H20:H21"/>
    </sheetView>
  </sheetViews>
  <sheetFormatPr baseColWidth="10" defaultColWidth="12.54296875" defaultRowHeight="15" customHeight="1" x14ac:dyDescent="0.35"/>
  <cols>
    <col min="1" max="1" width="7.36328125" style="185" customWidth="1"/>
    <col min="2" max="4" width="28.54296875" style="185" customWidth="1"/>
    <col min="5" max="5" width="36.453125" style="185" customWidth="1"/>
    <col min="6" max="6" width="28.54296875" style="185" hidden="1" customWidth="1"/>
    <col min="7" max="9" width="28.54296875" style="185" customWidth="1"/>
    <col min="10" max="10" width="37.54296875" style="185" customWidth="1"/>
    <col min="11" max="11" width="50" style="185" customWidth="1"/>
    <col min="12" max="12" width="19.54296875" style="185" customWidth="1"/>
    <col min="13" max="13" width="28.54296875" style="185" customWidth="1"/>
    <col min="14" max="16" width="18.36328125" style="185" customWidth="1"/>
    <col min="17" max="19" width="13.6328125" style="185" hidden="1" customWidth="1"/>
    <col min="20" max="32" width="9.54296875" style="185" hidden="1" customWidth="1"/>
    <col min="33" max="33" width="35.6328125" style="185" hidden="1" customWidth="1"/>
    <col min="34" max="36" width="42.54296875" style="185" hidden="1" customWidth="1"/>
    <col min="37" max="16384" width="12.54296875" style="185"/>
  </cols>
  <sheetData>
    <row r="1" spans="1:36" s="178" customFormat="1" ht="15" customHeight="1" x14ac:dyDescent="0.35">
      <c r="A1" s="930"/>
      <c r="B1" s="931"/>
      <c r="C1" s="932"/>
      <c r="D1" s="785" t="s">
        <v>1560</v>
      </c>
      <c r="E1" s="785"/>
      <c r="F1" s="785"/>
      <c r="G1" s="785"/>
      <c r="H1" s="785"/>
      <c r="I1" s="785"/>
      <c r="J1" s="785"/>
      <c r="K1" s="785"/>
      <c r="L1" s="785"/>
      <c r="M1" s="785"/>
      <c r="N1" s="785"/>
      <c r="O1" s="785"/>
      <c r="P1" s="785"/>
      <c r="Q1" s="785"/>
      <c r="R1" s="785"/>
      <c r="S1" s="785"/>
      <c r="T1" s="785"/>
      <c r="U1" s="785"/>
      <c r="V1" s="785"/>
      <c r="W1" s="785"/>
      <c r="X1" s="785"/>
      <c r="Y1" s="785"/>
      <c r="Z1" s="785"/>
      <c r="AA1" s="785"/>
      <c r="AB1" s="785"/>
      <c r="AC1" s="1016"/>
      <c r="AD1" s="785"/>
      <c r="AE1" s="785"/>
      <c r="AF1" s="785"/>
      <c r="AG1" s="785"/>
      <c r="AH1" s="785"/>
      <c r="AI1" s="785"/>
      <c r="AJ1" s="785"/>
    </row>
    <row r="2" spans="1:36" s="178" customFormat="1" ht="20.149999999999999" customHeight="1" x14ac:dyDescent="0.35">
      <c r="A2" s="933"/>
      <c r="B2" s="934"/>
      <c r="C2" s="935"/>
      <c r="D2" s="786"/>
      <c r="E2" s="786"/>
      <c r="F2" s="786"/>
      <c r="G2" s="786"/>
      <c r="H2" s="786"/>
      <c r="I2" s="786"/>
      <c r="J2" s="786"/>
      <c r="K2" s="786"/>
      <c r="L2" s="786"/>
      <c r="M2" s="786"/>
      <c r="N2" s="786"/>
      <c r="O2" s="786"/>
      <c r="P2" s="786"/>
      <c r="Q2" s="786"/>
      <c r="R2" s="786"/>
      <c r="S2" s="786"/>
      <c r="T2" s="786"/>
      <c r="U2" s="786"/>
      <c r="V2" s="786"/>
      <c r="W2" s="786"/>
      <c r="X2" s="786"/>
      <c r="Y2" s="786"/>
      <c r="Z2" s="786"/>
      <c r="AA2" s="786"/>
      <c r="AB2" s="786"/>
      <c r="AC2" s="1017"/>
      <c r="AD2" s="786"/>
      <c r="AE2" s="786"/>
      <c r="AF2" s="786"/>
      <c r="AG2" s="786"/>
      <c r="AH2" s="786"/>
      <c r="AI2" s="786"/>
      <c r="AJ2" s="786"/>
    </row>
    <row r="3" spans="1:36" s="178" customFormat="1" ht="60" customHeight="1" thickBot="1" x14ac:dyDescent="0.4">
      <c r="A3" s="936"/>
      <c r="B3" s="937"/>
      <c r="C3" s="938"/>
      <c r="D3" s="786"/>
      <c r="E3" s="786"/>
      <c r="F3" s="786"/>
      <c r="G3" s="786"/>
      <c r="H3" s="786"/>
      <c r="I3" s="786"/>
      <c r="J3" s="786"/>
      <c r="K3" s="786"/>
      <c r="L3" s="786"/>
      <c r="M3" s="786"/>
      <c r="N3" s="786"/>
      <c r="O3" s="786"/>
      <c r="P3" s="786"/>
      <c r="Q3" s="786"/>
      <c r="R3" s="786"/>
      <c r="S3" s="786"/>
      <c r="T3" s="786"/>
      <c r="U3" s="786"/>
      <c r="V3" s="786"/>
      <c r="W3" s="786"/>
      <c r="X3" s="786"/>
      <c r="Y3" s="786"/>
      <c r="Z3" s="786"/>
      <c r="AA3" s="786"/>
      <c r="AB3" s="786"/>
      <c r="AC3" s="1017"/>
      <c r="AD3" s="786"/>
      <c r="AE3" s="786"/>
      <c r="AF3" s="786"/>
      <c r="AG3" s="786"/>
      <c r="AH3" s="786"/>
      <c r="AI3" s="786"/>
      <c r="AJ3" s="786"/>
    </row>
    <row r="4" spans="1:36" s="178" customFormat="1" ht="60" hidden="1" customHeight="1" x14ac:dyDescent="0.35">
      <c r="A4" s="939" t="s">
        <v>34</v>
      </c>
      <c r="B4" s="180" t="s">
        <v>35</v>
      </c>
      <c r="C4" s="181">
        <v>0.7</v>
      </c>
      <c r="D4" s="181"/>
      <c r="E4" s="181"/>
      <c r="F4" s="179"/>
      <c r="G4" s="939" t="s">
        <v>36</v>
      </c>
      <c r="H4" s="180" t="s">
        <v>35</v>
      </c>
      <c r="I4" s="181">
        <v>0.7</v>
      </c>
      <c r="J4" s="182"/>
      <c r="K4" s="183"/>
      <c r="L4" s="183"/>
      <c r="M4" s="183"/>
      <c r="N4" s="183"/>
      <c r="O4" s="183"/>
      <c r="P4" s="183"/>
      <c r="Q4" s="183"/>
      <c r="R4" s="183"/>
      <c r="S4" s="183"/>
      <c r="T4" s="183"/>
      <c r="U4" s="183"/>
      <c r="V4" s="183"/>
      <c r="W4" s="183"/>
      <c r="X4" s="183"/>
      <c r="Y4" s="183"/>
      <c r="Z4" s="183"/>
      <c r="AA4" s="183"/>
      <c r="AB4" s="183"/>
      <c r="AC4" s="183"/>
      <c r="AD4" s="183"/>
      <c r="AE4" s="183"/>
      <c r="AF4" s="183"/>
      <c r="AG4" s="183"/>
      <c r="AH4" s="183"/>
    </row>
    <row r="5" spans="1:36" s="178" customFormat="1" ht="60" hidden="1" customHeight="1" x14ac:dyDescent="0.35">
      <c r="A5" s="939"/>
      <c r="B5" s="180" t="s">
        <v>37</v>
      </c>
      <c r="C5" s="184">
        <v>0.9</v>
      </c>
      <c r="D5" s="184"/>
      <c r="E5" s="184"/>
      <c r="F5" s="184">
        <v>1</v>
      </c>
      <c r="G5" s="939"/>
      <c r="H5" s="180" t="s">
        <v>37</v>
      </c>
      <c r="I5" s="184">
        <v>0.95</v>
      </c>
      <c r="J5" s="182"/>
      <c r="K5" s="183"/>
      <c r="L5" s="183"/>
      <c r="M5" s="183"/>
      <c r="N5" s="183"/>
      <c r="O5" s="183"/>
      <c r="P5" s="183"/>
      <c r="Q5" s="183"/>
      <c r="R5" s="183"/>
      <c r="S5" s="183"/>
      <c r="T5" s="183"/>
      <c r="U5" s="183"/>
      <c r="V5" s="183"/>
      <c r="W5" s="183"/>
      <c r="X5" s="183"/>
      <c r="Y5" s="183"/>
      <c r="Z5" s="183"/>
      <c r="AA5" s="183"/>
      <c r="AB5" s="183"/>
      <c r="AC5" s="183"/>
      <c r="AD5" s="183"/>
      <c r="AE5" s="183"/>
      <c r="AF5" s="183"/>
      <c r="AG5" s="183"/>
      <c r="AH5" s="183"/>
    </row>
    <row r="6" spans="1:36" ht="20.149999999999999" hidden="1" customHeight="1" x14ac:dyDescent="0.35">
      <c r="A6" s="940" t="s">
        <v>38</v>
      </c>
      <c r="B6" s="940"/>
      <c r="C6" s="941" t="s">
        <v>1561</v>
      </c>
      <c r="D6" s="941"/>
      <c r="E6" s="942" t="s">
        <v>40</v>
      </c>
      <c r="F6" s="942"/>
      <c r="G6" s="943">
        <f>+R15+R17+R19+R21+R23+R25</f>
        <v>0</v>
      </c>
      <c r="H6" s="942" t="s">
        <v>256</v>
      </c>
      <c r="I6" s="942"/>
      <c r="J6" s="946">
        <f>+R14+R16+R18+R20+R22+R24</f>
        <v>0</v>
      </c>
      <c r="K6" s="972" t="s">
        <v>41</v>
      </c>
      <c r="L6" s="973"/>
      <c r="M6" s="978">
        <v>0.95</v>
      </c>
      <c r="N6" s="940" t="s">
        <v>42</v>
      </c>
      <c r="O6" s="940"/>
      <c r="P6" s="940"/>
      <c r="Q6" s="958" t="e">
        <f>(SUM(W14,W16,W18,W20,W22,W24)/SUM(W15,W17,W19,W21,W23,W25))/M6</f>
        <v>#DIV/0!</v>
      </c>
      <c r="R6" s="981"/>
      <c r="S6" s="959"/>
      <c r="T6" s="949" t="s">
        <v>43</v>
      </c>
      <c r="U6" s="950"/>
      <c r="V6" s="950"/>
      <c r="W6" s="951"/>
      <c r="X6" s="958" t="e">
        <f>SUM(Z14,Z16,Z18,Z20,Z22,Z24)/SUM(Z15,Z17,Z19,Z21,Z23,Z25)/M6</f>
        <v>#DIV/0!</v>
      </c>
      <c r="Y6" s="981"/>
      <c r="Z6" s="981"/>
      <c r="AA6" s="959"/>
      <c r="AB6" s="949" t="s">
        <v>44</v>
      </c>
      <c r="AC6" s="950"/>
      <c r="AD6" s="950"/>
      <c r="AE6" s="951"/>
      <c r="AF6" s="958" t="e">
        <f>SUM(AC14,AC16,AC18,AC20,AC22,AC24)/SUM(AC15,AC17,AC19,AC21,AC23,AC25)/M6</f>
        <v>#DIV/0!</v>
      </c>
      <c r="AG6" s="959"/>
      <c r="AH6" s="949" t="s">
        <v>45</v>
      </c>
      <c r="AI6" s="958" t="e">
        <f>SUM(AF14,AF16,AF18,AF20,AF22,AF24)/SUM(AF15,AF17,AF19,AF21,AF23,AF25)/M6</f>
        <v>#DIV/0!</v>
      </c>
    </row>
    <row r="7" spans="1:36" ht="15" hidden="1" customHeight="1" x14ac:dyDescent="0.35">
      <c r="A7" s="940"/>
      <c r="B7" s="940"/>
      <c r="C7" s="941"/>
      <c r="D7" s="941"/>
      <c r="E7" s="942"/>
      <c r="F7" s="942"/>
      <c r="G7" s="944"/>
      <c r="H7" s="942"/>
      <c r="I7" s="942"/>
      <c r="J7" s="947"/>
      <c r="K7" s="974"/>
      <c r="L7" s="975"/>
      <c r="M7" s="979"/>
      <c r="N7" s="940"/>
      <c r="O7" s="940"/>
      <c r="P7" s="940"/>
      <c r="Q7" s="960"/>
      <c r="R7" s="982"/>
      <c r="S7" s="961"/>
      <c r="T7" s="952"/>
      <c r="U7" s="953"/>
      <c r="V7" s="953"/>
      <c r="W7" s="954"/>
      <c r="X7" s="960"/>
      <c r="Y7" s="982"/>
      <c r="Z7" s="982"/>
      <c r="AA7" s="961"/>
      <c r="AB7" s="952"/>
      <c r="AC7" s="953"/>
      <c r="AD7" s="953"/>
      <c r="AE7" s="954"/>
      <c r="AF7" s="960"/>
      <c r="AG7" s="961"/>
      <c r="AH7" s="952"/>
      <c r="AI7" s="960"/>
    </row>
    <row r="8" spans="1:36" ht="25.4" hidden="1" customHeight="1" x14ac:dyDescent="0.35">
      <c r="A8" s="940"/>
      <c r="B8" s="940"/>
      <c r="C8" s="941"/>
      <c r="D8" s="941"/>
      <c r="E8" s="942"/>
      <c r="F8" s="942"/>
      <c r="G8" s="944"/>
      <c r="H8" s="942"/>
      <c r="I8" s="942"/>
      <c r="J8" s="947"/>
      <c r="K8" s="974"/>
      <c r="L8" s="975"/>
      <c r="M8" s="979"/>
      <c r="N8" s="940"/>
      <c r="O8" s="940"/>
      <c r="P8" s="940"/>
      <c r="Q8" s="960"/>
      <c r="R8" s="982"/>
      <c r="S8" s="961"/>
      <c r="T8" s="952"/>
      <c r="U8" s="953"/>
      <c r="V8" s="953"/>
      <c r="W8" s="954"/>
      <c r="X8" s="960"/>
      <c r="Y8" s="982"/>
      <c r="Z8" s="982"/>
      <c r="AA8" s="961"/>
      <c r="AB8" s="952"/>
      <c r="AC8" s="953"/>
      <c r="AD8" s="953"/>
      <c r="AE8" s="954"/>
      <c r="AF8" s="960"/>
      <c r="AG8" s="961"/>
      <c r="AH8" s="952"/>
      <c r="AI8" s="960"/>
    </row>
    <row r="9" spans="1:36" ht="25.4" hidden="1" customHeight="1" x14ac:dyDescent="0.35">
      <c r="A9" s="940"/>
      <c r="B9" s="940"/>
      <c r="C9" s="941"/>
      <c r="D9" s="941"/>
      <c r="E9" s="942"/>
      <c r="F9" s="942"/>
      <c r="G9" s="944"/>
      <c r="H9" s="942"/>
      <c r="I9" s="942"/>
      <c r="J9" s="947"/>
      <c r="K9" s="974"/>
      <c r="L9" s="975"/>
      <c r="M9" s="979"/>
      <c r="N9" s="940"/>
      <c r="O9" s="940"/>
      <c r="P9" s="940"/>
      <c r="Q9" s="960"/>
      <c r="R9" s="982"/>
      <c r="S9" s="961"/>
      <c r="T9" s="952"/>
      <c r="U9" s="953"/>
      <c r="V9" s="953"/>
      <c r="W9" s="954"/>
      <c r="X9" s="960"/>
      <c r="Y9" s="982"/>
      <c r="Z9" s="982"/>
      <c r="AA9" s="961"/>
      <c r="AB9" s="952"/>
      <c r="AC9" s="953"/>
      <c r="AD9" s="953"/>
      <c r="AE9" s="954"/>
      <c r="AF9" s="960"/>
      <c r="AG9" s="961"/>
      <c r="AH9" s="952"/>
      <c r="AI9" s="960"/>
    </row>
    <row r="10" spans="1:36" ht="15" hidden="1" customHeight="1" thickBot="1" x14ac:dyDescent="0.4">
      <c r="A10" s="940"/>
      <c r="B10" s="940"/>
      <c r="C10" s="941"/>
      <c r="D10" s="941"/>
      <c r="E10" s="942"/>
      <c r="F10" s="942"/>
      <c r="G10" s="945"/>
      <c r="H10" s="942"/>
      <c r="I10" s="942"/>
      <c r="J10" s="948"/>
      <c r="K10" s="976"/>
      <c r="L10" s="977"/>
      <c r="M10" s="980"/>
      <c r="N10" s="940"/>
      <c r="O10" s="940"/>
      <c r="P10" s="940"/>
      <c r="Q10" s="962"/>
      <c r="R10" s="983"/>
      <c r="S10" s="963"/>
      <c r="T10" s="955"/>
      <c r="U10" s="956"/>
      <c r="V10" s="956"/>
      <c r="W10" s="957"/>
      <c r="X10" s="962"/>
      <c r="Y10" s="983"/>
      <c r="Z10" s="983"/>
      <c r="AA10" s="963"/>
      <c r="AB10" s="955"/>
      <c r="AC10" s="956"/>
      <c r="AD10" s="956"/>
      <c r="AE10" s="957"/>
      <c r="AF10" s="962"/>
      <c r="AG10" s="963"/>
      <c r="AH10" s="955"/>
      <c r="AI10" s="962"/>
    </row>
    <row r="11" spans="1:36" s="186" customFormat="1" ht="40.4" customHeight="1" thickBot="1" x14ac:dyDescent="0.4">
      <c r="A11" s="964" t="s">
        <v>46</v>
      </c>
      <c r="B11" s="964"/>
      <c r="C11" s="964"/>
      <c r="D11" s="964"/>
      <c r="E11" s="964"/>
      <c r="F11" s="965"/>
      <c r="G11" s="966" t="s">
        <v>47</v>
      </c>
      <c r="H11" s="967"/>
      <c r="I11" s="967"/>
      <c r="J11" s="967"/>
      <c r="K11" s="967"/>
      <c r="L11" s="967"/>
      <c r="M11" s="967"/>
      <c r="N11" s="967"/>
      <c r="O11" s="967"/>
      <c r="P11" s="968"/>
      <c r="Q11" s="969" t="s">
        <v>48</v>
      </c>
      <c r="R11" s="970"/>
      <c r="S11" s="970"/>
      <c r="T11" s="970"/>
      <c r="U11" s="970"/>
      <c r="V11" s="970"/>
      <c r="W11" s="970"/>
      <c r="X11" s="970"/>
      <c r="Y11" s="970"/>
      <c r="Z11" s="970"/>
      <c r="AA11" s="970"/>
      <c r="AB11" s="970"/>
      <c r="AC11" s="970"/>
      <c r="AD11" s="970"/>
      <c r="AE11" s="970"/>
      <c r="AF11" s="971"/>
      <c r="AG11" s="969" t="s">
        <v>49</v>
      </c>
      <c r="AH11" s="970"/>
      <c r="AI11" s="970"/>
      <c r="AJ11" s="970"/>
    </row>
    <row r="12" spans="1:36" ht="39" customHeight="1" x14ac:dyDescent="0.35">
      <c r="A12" s="988" t="s">
        <v>50</v>
      </c>
      <c r="B12" s="986" t="s">
        <v>51</v>
      </c>
      <c r="C12" s="986" t="s">
        <v>52</v>
      </c>
      <c r="D12" s="986" t="s">
        <v>53</v>
      </c>
      <c r="E12" s="986" t="s">
        <v>54</v>
      </c>
      <c r="F12" s="986" t="s">
        <v>29</v>
      </c>
      <c r="G12" s="986" t="s">
        <v>1562</v>
      </c>
      <c r="H12" s="986" t="s">
        <v>1563</v>
      </c>
      <c r="I12" s="986" t="s">
        <v>1564</v>
      </c>
      <c r="J12" s="986" t="s">
        <v>1565</v>
      </c>
      <c r="K12" s="986" t="s">
        <v>1566</v>
      </c>
      <c r="L12" s="986" t="s">
        <v>58</v>
      </c>
      <c r="M12" s="986" t="s">
        <v>59</v>
      </c>
      <c r="N12" s="986" t="s">
        <v>60</v>
      </c>
      <c r="O12" s="986" t="s">
        <v>61</v>
      </c>
      <c r="P12" s="986" t="s">
        <v>62</v>
      </c>
      <c r="Q12" s="984" t="s">
        <v>63</v>
      </c>
      <c r="R12" s="985" t="s">
        <v>64</v>
      </c>
      <c r="S12" s="992" t="s">
        <v>65</v>
      </c>
      <c r="T12" s="669" t="s">
        <v>66</v>
      </c>
      <c r="U12" s="667" t="s">
        <v>67</v>
      </c>
      <c r="V12" s="665" t="s">
        <v>68</v>
      </c>
      <c r="W12" s="671" t="s">
        <v>69</v>
      </c>
      <c r="X12" s="673" t="s">
        <v>70</v>
      </c>
      <c r="Y12" s="671" t="s">
        <v>71</v>
      </c>
      <c r="Z12" s="665" t="s">
        <v>71</v>
      </c>
      <c r="AA12" s="667" t="s">
        <v>73</v>
      </c>
      <c r="AB12" s="669" t="s">
        <v>74</v>
      </c>
      <c r="AC12" s="667" t="s">
        <v>75</v>
      </c>
      <c r="AD12" s="665" t="s">
        <v>76</v>
      </c>
      <c r="AE12" s="671" t="s">
        <v>77</v>
      </c>
      <c r="AF12" s="662" t="s">
        <v>78</v>
      </c>
      <c r="AG12" s="991" t="s">
        <v>79</v>
      </c>
      <c r="AH12" s="991" t="s">
        <v>80</v>
      </c>
      <c r="AI12" s="991" t="s">
        <v>81</v>
      </c>
      <c r="AJ12" s="991" t="s">
        <v>82</v>
      </c>
    </row>
    <row r="13" spans="1:36" ht="60" customHeight="1" thickBot="1" x14ac:dyDescent="0.4">
      <c r="A13" s="987"/>
      <c r="B13" s="987"/>
      <c r="C13" s="987"/>
      <c r="D13" s="987"/>
      <c r="E13" s="987"/>
      <c r="F13" s="987"/>
      <c r="G13" s="987"/>
      <c r="H13" s="987"/>
      <c r="I13" s="987"/>
      <c r="J13" s="987"/>
      <c r="K13" s="987"/>
      <c r="L13" s="987"/>
      <c r="M13" s="987"/>
      <c r="N13" s="987"/>
      <c r="O13" s="987"/>
      <c r="P13" s="987"/>
      <c r="Q13" s="984"/>
      <c r="R13" s="985"/>
      <c r="S13" s="992"/>
      <c r="T13" s="670"/>
      <c r="U13" s="668"/>
      <c r="V13" s="666"/>
      <c r="W13" s="672"/>
      <c r="X13" s="674"/>
      <c r="Y13" s="672"/>
      <c r="Z13" s="666"/>
      <c r="AA13" s="668"/>
      <c r="AB13" s="670"/>
      <c r="AC13" s="668"/>
      <c r="AD13" s="666"/>
      <c r="AE13" s="672"/>
      <c r="AF13" s="663"/>
      <c r="AG13" s="991"/>
      <c r="AH13" s="991"/>
      <c r="AI13" s="991"/>
      <c r="AJ13" s="991"/>
    </row>
    <row r="14" spans="1:36" ht="53.15" customHeight="1" thickBot="1" x14ac:dyDescent="0.4">
      <c r="A14" s="989">
        <v>1</v>
      </c>
      <c r="B14" s="989" t="s">
        <v>124</v>
      </c>
      <c r="C14" s="989" t="s">
        <v>1212</v>
      </c>
      <c r="D14" s="989" t="s">
        <v>85</v>
      </c>
      <c r="E14" s="989" t="s">
        <v>193</v>
      </c>
      <c r="F14" s="989" t="s">
        <v>1567</v>
      </c>
      <c r="G14" s="989" t="s">
        <v>258</v>
      </c>
      <c r="H14" s="1001" t="s">
        <v>1568</v>
      </c>
      <c r="I14" s="232" t="s">
        <v>1569</v>
      </c>
      <c r="J14" s="232" t="s">
        <v>1570</v>
      </c>
      <c r="K14" s="1001" t="s">
        <v>1535</v>
      </c>
      <c r="L14" s="1001" t="s">
        <v>1571</v>
      </c>
      <c r="M14" s="995" t="s">
        <v>91</v>
      </c>
      <c r="N14" s="995" t="s">
        <v>92</v>
      </c>
      <c r="O14" s="927">
        <v>46054</v>
      </c>
      <c r="P14" s="927">
        <v>46387</v>
      </c>
      <c r="Q14" s="187"/>
      <c r="R14" s="188"/>
      <c r="S14" s="189"/>
      <c r="T14" s="190"/>
      <c r="U14" s="190"/>
      <c r="V14" s="190"/>
      <c r="W14" s="190"/>
      <c r="X14" s="190"/>
      <c r="Y14" s="190"/>
      <c r="Z14" s="190"/>
      <c r="AA14" s="190"/>
      <c r="AB14" s="191"/>
      <c r="AC14" s="191"/>
      <c r="AD14" s="191"/>
      <c r="AE14" s="191"/>
      <c r="AF14" s="191"/>
      <c r="AG14" s="997"/>
      <c r="AH14" s="999"/>
      <c r="AI14" s="993"/>
      <c r="AJ14" s="993"/>
    </row>
    <row r="15" spans="1:36" ht="59.9" customHeight="1" thickBot="1" x14ac:dyDescent="0.4">
      <c r="A15" s="990"/>
      <c r="B15" s="990"/>
      <c r="C15" s="990"/>
      <c r="D15" s="990"/>
      <c r="E15" s="990"/>
      <c r="F15" s="990"/>
      <c r="G15" s="990"/>
      <c r="H15" s="1002"/>
      <c r="I15" s="233" t="s">
        <v>1572</v>
      </c>
      <c r="J15" s="233" t="s">
        <v>1573</v>
      </c>
      <c r="K15" s="1002"/>
      <c r="L15" s="1002"/>
      <c r="M15" s="996"/>
      <c r="N15" s="996"/>
      <c r="O15" s="928"/>
      <c r="P15" s="928"/>
      <c r="Q15" s="187"/>
      <c r="R15" s="192"/>
      <c r="S15" s="189"/>
      <c r="T15" s="193"/>
      <c r="U15" s="193"/>
      <c r="V15" s="193"/>
      <c r="W15" s="193"/>
      <c r="X15" s="193"/>
      <c r="Y15" s="193"/>
      <c r="Z15" s="193"/>
      <c r="AA15" s="193"/>
      <c r="AB15" s="193"/>
      <c r="AC15" s="193"/>
      <c r="AD15" s="193"/>
      <c r="AE15" s="193"/>
      <c r="AF15" s="193"/>
      <c r="AG15" s="998"/>
      <c r="AH15" s="1000"/>
      <c r="AI15" s="994"/>
      <c r="AJ15" s="994"/>
    </row>
    <row r="16" spans="1:36" ht="37.4" customHeight="1" thickBot="1" x14ac:dyDescent="0.4">
      <c r="A16" s="989">
        <v>2</v>
      </c>
      <c r="B16" s="989" t="s">
        <v>124</v>
      </c>
      <c r="C16" s="989" t="s">
        <v>1212</v>
      </c>
      <c r="D16" s="989" t="s">
        <v>85</v>
      </c>
      <c r="E16" s="989" t="s">
        <v>193</v>
      </c>
      <c r="F16" s="989" t="s">
        <v>1574</v>
      </c>
      <c r="G16" s="989" t="s">
        <v>258</v>
      </c>
      <c r="H16" s="1001" t="s">
        <v>1575</v>
      </c>
      <c r="I16" s="232" t="s">
        <v>1576</v>
      </c>
      <c r="J16" s="232" t="s">
        <v>1577</v>
      </c>
      <c r="K16" s="1001" t="s">
        <v>1535</v>
      </c>
      <c r="L16" s="1001" t="s">
        <v>1571</v>
      </c>
      <c r="M16" s="995" t="s">
        <v>91</v>
      </c>
      <c r="N16" s="995" t="s">
        <v>92</v>
      </c>
      <c r="O16" s="927">
        <v>46054</v>
      </c>
      <c r="P16" s="927">
        <v>46387</v>
      </c>
      <c r="Q16" s="187"/>
      <c r="R16" s="188"/>
      <c r="S16" s="189"/>
      <c r="T16" s="190"/>
      <c r="U16" s="190"/>
      <c r="V16" s="190"/>
      <c r="W16" s="190"/>
      <c r="X16" s="190"/>
      <c r="Y16" s="190"/>
      <c r="Z16" s="190"/>
      <c r="AA16" s="190"/>
      <c r="AB16" s="191"/>
      <c r="AC16" s="191"/>
      <c r="AD16" s="191"/>
      <c r="AE16" s="191"/>
      <c r="AF16" s="191"/>
      <c r="AG16" s="997"/>
      <c r="AH16" s="999"/>
      <c r="AI16" s="993"/>
      <c r="AJ16" s="993"/>
    </row>
    <row r="17" spans="1:36" ht="100.5" customHeight="1" thickBot="1" x14ac:dyDescent="0.4">
      <c r="A17" s="990"/>
      <c r="B17" s="990"/>
      <c r="C17" s="990"/>
      <c r="D17" s="990"/>
      <c r="E17" s="990"/>
      <c r="F17" s="990"/>
      <c r="G17" s="990"/>
      <c r="H17" s="1002"/>
      <c r="I17" s="234" t="s">
        <v>1578</v>
      </c>
      <c r="J17" s="234" t="s">
        <v>1579</v>
      </c>
      <c r="K17" s="1002"/>
      <c r="L17" s="1002"/>
      <c r="M17" s="996"/>
      <c r="N17" s="996"/>
      <c r="O17" s="928"/>
      <c r="P17" s="928"/>
      <c r="Q17" s="187"/>
      <c r="R17" s="192"/>
      <c r="S17" s="189"/>
      <c r="T17" s="193"/>
      <c r="U17" s="193"/>
      <c r="V17" s="193"/>
      <c r="W17" s="193"/>
      <c r="X17" s="193"/>
      <c r="Y17" s="193"/>
      <c r="Z17" s="193"/>
      <c r="AA17" s="193"/>
      <c r="AB17" s="193"/>
      <c r="AC17" s="193"/>
      <c r="AD17" s="193"/>
      <c r="AE17" s="193"/>
      <c r="AF17" s="193"/>
      <c r="AG17" s="998"/>
      <c r="AH17" s="1000"/>
      <c r="AI17" s="994"/>
      <c r="AJ17" s="994"/>
    </row>
    <row r="18" spans="1:36" ht="37.5" customHeight="1" thickBot="1" x14ac:dyDescent="0.4">
      <c r="A18" s="989">
        <v>3</v>
      </c>
      <c r="B18" s="989" t="s">
        <v>124</v>
      </c>
      <c r="C18" s="989" t="s">
        <v>1212</v>
      </c>
      <c r="D18" s="989" t="s">
        <v>111</v>
      </c>
      <c r="E18" s="989" t="s">
        <v>112</v>
      </c>
      <c r="F18" s="989" t="s">
        <v>1580</v>
      </c>
      <c r="G18" s="989" t="s">
        <v>258</v>
      </c>
      <c r="H18" s="1001" t="s">
        <v>1581</v>
      </c>
      <c r="I18" s="232" t="s">
        <v>1582</v>
      </c>
      <c r="J18" s="232" t="s">
        <v>1583</v>
      </c>
      <c r="K18" s="1001" t="s">
        <v>1535</v>
      </c>
      <c r="L18" s="1001" t="s">
        <v>1571</v>
      </c>
      <c r="M18" s="995" t="s">
        <v>91</v>
      </c>
      <c r="N18" s="995" t="s">
        <v>92</v>
      </c>
      <c r="O18" s="927">
        <v>46054</v>
      </c>
      <c r="P18" s="927">
        <v>46387</v>
      </c>
      <c r="Q18" s="187"/>
      <c r="R18" s="188"/>
      <c r="S18" s="189"/>
      <c r="T18" s="190"/>
      <c r="U18" s="190"/>
      <c r="V18" s="190"/>
      <c r="W18" s="190"/>
      <c r="X18" s="190"/>
      <c r="Y18" s="190"/>
      <c r="Z18" s="190"/>
      <c r="AA18" s="190"/>
      <c r="AB18" s="191"/>
      <c r="AC18" s="191"/>
      <c r="AD18" s="191"/>
      <c r="AE18" s="191"/>
      <c r="AF18" s="191"/>
      <c r="AG18" s="1004"/>
      <c r="AH18" s="1006"/>
      <c r="AI18" s="1006"/>
      <c r="AJ18" s="1003"/>
    </row>
    <row r="19" spans="1:36" ht="76.5" customHeight="1" thickBot="1" x14ac:dyDescent="0.4">
      <c r="A19" s="990"/>
      <c r="B19" s="990"/>
      <c r="C19" s="990"/>
      <c r="D19" s="990"/>
      <c r="E19" s="990"/>
      <c r="F19" s="990"/>
      <c r="G19" s="990"/>
      <c r="H19" s="1002"/>
      <c r="I19" s="233" t="s">
        <v>1584</v>
      </c>
      <c r="J19" s="233" t="s">
        <v>1585</v>
      </c>
      <c r="K19" s="1002"/>
      <c r="L19" s="1002"/>
      <c r="M19" s="996"/>
      <c r="N19" s="996"/>
      <c r="O19" s="928"/>
      <c r="P19" s="928"/>
      <c r="Q19" s="187"/>
      <c r="R19" s="192"/>
      <c r="S19" s="189"/>
      <c r="T19" s="193"/>
      <c r="U19" s="193"/>
      <c r="V19" s="193"/>
      <c r="W19" s="193"/>
      <c r="X19" s="193"/>
      <c r="Y19" s="193"/>
      <c r="Z19" s="193"/>
      <c r="AA19" s="193"/>
      <c r="AB19" s="193"/>
      <c r="AC19" s="193"/>
      <c r="AD19" s="193"/>
      <c r="AE19" s="193"/>
      <c r="AF19" s="193"/>
      <c r="AG19" s="1005"/>
      <c r="AH19" s="1006"/>
      <c r="AI19" s="1006"/>
      <c r="AJ19" s="1003"/>
    </row>
    <row r="20" spans="1:36" ht="37.4" customHeight="1" thickBot="1" x14ac:dyDescent="0.4">
      <c r="A20" s="989">
        <v>4</v>
      </c>
      <c r="B20" s="989" t="s">
        <v>124</v>
      </c>
      <c r="C20" s="989" t="s">
        <v>1586</v>
      </c>
      <c r="D20" s="989" t="s">
        <v>85</v>
      </c>
      <c r="E20" s="989" t="s">
        <v>193</v>
      </c>
      <c r="F20" s="989" t="s">
        <v>1587</v>
      </c>
      <c r="G20" s="989" t="s">
        <v>258</v>
      </c>
      <c r="H20" s="1001" t="s">
        <v>1588</v>
      </c>
      <c r="I20" s="223" t="s">
        <v>1589</v>
      </c>
      <c r="J20" s="232" t="s">
        <v>1590</v>
      </c>
      <c r="K20" s="1001" t="s">
        <v>1535</v>
      </c>
      <c r="L20" s="1001" t="s">
        <v>1571</v>
      </c>
      <c r="M20" s="995" t="s">
        <v>91</v>
      </c>
      <c r="N20" s="995" t="s">
        <v>92</v>
      </c>
      <c r="O20" s="927">
        <v>46054</v>
      </c>
      <c r="P20" s="927">
        <v>46387</v>
      </c>
      <c r="Q20" s="187"/>
      <c r="R20" s="188"/>
      <c r="S20" s="189"/>
      <c r="T20" s="194"/>
      <c r="U20" s="194"/>
      <c r="V20" s="194"/>
      <c r="W20" s="190"/>
      <c r="X20" s="190"/>
      <c r="Y20" s="190"/>
      <c r="Z20" s="190"/>
      <c r="AA20" s="190"/>
      <c r="AB20" s="191"/>
      <c r="AC20" s="191"/>
      <c r="AD20" s="191"/>
      <c r="AE20" s="191"/>
      <c r="AF20" s="191"/>
      <c r="AG20" s="1007"/>
      <c r="AH20" s="1009"/>
      <c r="AI20" s="1009"/>
      <c r="AJ20" s="993"/>
    </row>
    <row r="21" spans="1:36" ht="150.65" customHeight="1" thickBot="1" x14ac:dyDescent="0.4">
      <c r="A21" s="990"/>
      <c r="B21" s="990"/>
      <c r="C21" s="990"/>
      <c r="D21" s="990"/>
      <c r="E21" s="990"/>
      <c r="F21" s="990"/>
      <c r="G21" s="990"/>
      <c r="H21" s="1002"/>
      <c r="I21" s="224" t="s">
        <v>1591</v>
      </c>
      <c r="J21" s="234" t="s">
        <v>1592</v>
      </c>
      <c r="K21" s="1002"/>
      <c r="L21" s="1002"/>
      <c r="M21" s="996"/>
      <c r="N21" s="996"/>
      <c r="O21" s="928"/>
      <c r="P21" s="928"/>
      <c r="Q21" s="187"/>
      <c r="R21" s="192"/>
      <c r="S21" s="189"/>
      <c r="T21" s="193"/>
      <c r="U21" s="193"/>
      <c r="V21" s="193"/>
      <c r="W21" s="193"/>
      <c r="X21" s="193"/>
      <c r="Y21" s="193"/>
      <c r="Z21" s="193"/>
      <c r="AA21" s="193"/>
      <c r="AB21" s="193"/>
      <c r="AC21" s="193"/>
      <c r="AD21" s="193"/>
      <c r="AE21" s="193"/>
      <c r="AF21" s="193"/>
      <c r="AG21" s="1008"/>
      <c r="AH21" s="1010"/>
      <c r="AI21" s="1010"/>
      <c r="AJ21" s="994"/>
    </row>
    <row r="22" spans="1:36" ht="37.4" customHeight="1" thickBot="1" x14ac:dyDescent="0.4">
      <c r="A22" s="989">
        <v>5</v>
      </c>
      <c r="B22" s="989" t="s">
        <v>124</v>
      </c>
      <c r="C22" s="989" t="s">
        <v>1586</v>
      </c>
      <c r="D22" s="989" t="s">
        <v>85</v>
      </c>
      <c r="E22" s="989" t="s">
        <v>193</v>
      </c>
      <c r="F22" s="989" t="s">
        <v>1593</v>
      </c>
      <c r="G22" s="989" t="s">
        <v>258</v>
      </c>
      <c r="H22" s="1001" t="s">
        <v>1594</v>
      </c>
      <c r="I22" s="232" t="s">
        <v>1595</v>
      </c>
      <c r="J22" s="232" t="s">
        <v>1596</v>
      </c>
      <c r="K22" s="995" t="s">
        <v>1535</v>
      </c>
      <c r="L22" s="995" t="s">
        <v>1571</v>
      </c>
      <c r="M22" s="995" t="s">
        <v>91</v>
      </c>
      <c r="N22" s="995" t="s">
        <v>92</v>
      </c>
      <c r="O22" s="927">
        <v>46054</v>
      </c>
      <c r="P22" s="927">
        <v>46387</v>
      </c>
      <c r="Q22" s="187"/>
      <c r="R22" s="188"/>
      <c r="S22" s="189"/>
      <c r="T22" s="195"/>
      <c r="U22" s="195"/>
      <c r="V22" s="195"/>
      <c r="W22" s="190"/>
      <c r="X22" s="195"/>
      <c r="Y22" s="195"/>
      <c r="Z22" s="190"/>
      <c r="AA22" s="195"/>
      <c r="AB22" s="195"/>
      <c r="AC22" s="195"/>
      <c r="AD22" s="195"/>
      <c r="AE22" s="195"/>
      <c r="AF22" s="195"/>
      <c r="AG22" s="1011"/>
      <c r="AH22" s="999"/>
      <c r="AI22" s="993"/>
      <c r="AJ22" s="993"/>
    </row>
    <row r="23" spans="1:36" ht="84.65" customHeight="1" thickBot="1" x14ac:dyDescent="0.4">
      <c r="A23" s="990"/>
      <c r="B23" s="990"/>
      <c r="C23" s="990"/>
      <c r="D23" s="990"/>
      <c r="E23" s="990"/>
      <c r="F23" s="990"/>
      <c r="G23" s="990"/>
      <c r="H23" s="1002"/>
      <c r="I23" s="233" t="s">
        <v>1597</v>
      </c>
      <c r="J23" s="233" t="s">
        <v>1598</v>
      </c>
      <c r="K23" s="996"/>
      <c r="L23" s="996"/>
      <c r="M23" s="996"/>
      <c r="N23" s="996"/>
      <c r="O23" s="928"/>
      <c r="P23" s="928"/>
      <c r="Q23" s="187"/>
      <c r="R23" s="192"/>
      <c r="S23" s="189"/>
      <c r="T23" s="193"/>
      <c r="U23" s="193"/>
      <c r="V23" s="193"/>
      <c r="W23" s="193"/>
      <c r="X23" s="193"/>
      <c r="Y23" s="193"/>
      <c r="Z23" s="193"/>
      <c r="AA23" s="193"/>
      <c r="AB23" s="193"/>
      <c r="AC23" s="193"/>
      <c r="AD23" s="193"/>
      <c r="AE23" s="193"/>
      <c r="AF23" s="193"/>
      <c r="AG23" s="998"/>
      <c r="AH23" s="1000"/>
      <c r="AI23" s="994"/>
      <c r="AJ23" s="994"/>
    </row>
    <row r="24" spans="1:36" ht="37.4" customHeight="1" thickBot="1" x14ac:dyDescent="0.4">
      <c r="A24" s="1022">
        <v>6</v>
      </c>
      <c r="B24" s="1022" t="s">
        <v>124</v>
      </c>
      <c r="C24" s="1022" t="s">
        <v>1212</v>
      </c>
      <c r="D24" s="1022" t="s">
        <v>85</v>
      </c>
      <c r="E24" s="1022" t="s">
        <v>193</v>
      </c>
      <c r="F24" s="1022" t="s">
        <v>563</v>
      </c>
      <c r="G24" s="1022" t="s">
        <v>258</v>
      </c>
      <c r="H24" s="1012" t="s">
        <v>1599</v>
      </c>
      <c r="I24" s="239" t="s">
        <v>1600</v>
      </c>
      <c r="J24" s="239" t="s">
        <v>1601</v>
      </c>
      <c r="K24" s="1012" t="s">
        <v>1535</v>
      </c>
      <c r="L24" s="1012" t="s">
        <v>1571</v>
      </c>
      <c r="M24" s="1013" t="s">
        <v>91</v>
      </c>
      <c r="N24" s="1013" t="s">
        <v>92</v>
      </c>
      <c r="O24" s="927">
        <v>46054</v>
      </c>
      <c r="P24" s="927">
        <v>46387</v>
      </c>
      <c r="Q24" s="187"/>
      <c r="R24" s="188"/>
      <c r="S24" s="189"/>
      <c r="T24" s="195"/>
      <c r="U24" s="195"/>
      <c r="V24" s="195"/>
      <c r="W24" s="196"/>
      <c r="X24" s="195"/>
      <c r="Y24" s="195"/>
      <c r="Z24" s="196"/>
      <c r="AA24" s="195"/>
      <c r="AB24" s="195"/>
      <c r="AC24" s="195"/>
      <c r="AD24" s="195"/>
      <c r="AE24" s="195"/>
      <c r="AF24" s="195"/>
      <c r="AG24" s="1005"/>
      <c r="AH24" s="1027"/>
      <c r="AI24" s="993"/>
      <c r="AJ24" s="993"/>
    </row>
    <row r="25" spans="1:36" ht="210.65" customHeight="1" x14ac:dyDescent="0.35">
      <c r="A25" s="1022"/>
      <c r="B25" s="1022"/>
      <c r="C25" s="1022"/>
      <c r="D25" s="1022"/>
      <c r="E25" s="1022"/>
      <c r="F25" s="1022"/>
      <c r="G25" s="1022"/>
      <c r="H25" s="1012"/>
      <c r="I25" s="239" t="s">
        <v>1602</v>
      </c>
      <c r="J25" s="239" t="s">
        <v>1603</v>
      </c>
      <c r="K25" s="1012"/>
      <c r="L25" s="1012"/>
      <c r="M25" s="1013"/>
      <c r="N25" s="1013"/>
      <c r="O25" s="928"/>
      <c r="P25" s="928"/>
      <c r="Q25" s="187"/>
      <c r="R25" s="192"/>
      <c r="S25" s="189"/>
      <c r="T25" s="193"/>
      <c r="U25" s="193"/>
      <c r="V25" s="193"/>
      <c r="W25" s="193"/>
      <c r="X25" s="193"/>
      <c r="Y25" s="193"/>
      <c r="Z25" s="193"/>
      <c r="AA25" s="193"/>
      <c r="AB25" s="193"/>
      <c r="AC25" s="193"/>
      <c r="AD25" s="193"/>
      <c r="AE25" s="193"/>
      <c r="AF25" s="193"/>
      <c r="AG25" s="1026"/>
      <c r="AH25" s="1027"/>
      <c r="AI25" s="993"/>
      <c r="AJ25" s="993"/>
    </row>
    <row r="26" spans="1:36" ht="14.15" hidden="1" customHeight="1" x14ac:dyDescent="0.35">
      <c r="A26" s="1018">
        <v>7</v>
      </c>
      <c r="B26" s="1019" t="s">
        <v>1604</v>
      </c>
      <c r="C26" s="1019" t="s">
        <v>1605</v>
      </c>
      <c r="D26" s="1019" t="s">
        <v>172</v>
      </c>
      <c r="E26" s="1019" t="s">
        <v>193</v>
      </c>
      <c r="H26" s="197"/>
      <c r="I26" s="198" t="s">
        <v>160</v>
      </c>
      <c r="J26" s="199"/>
      <c r="K26" s="200"/>
      <c r="L26" s="200"/>
      <c r="M26" s="200"/>
      <c r="N26" s="200"/>
      <c r="O26" s="929"/>
      <c r="P26" s="929"/>
      <c r="Q26" s="200"/>
      <c r="R26" s="201"/>
      <c r="S26" s="200"/>
      <c r="T26" s="200"/>
      <c r="U26" s="202"/>
      <c r="V26" s="203"/>
      <c r="W26" s="203"/>
      <c r="X26" s="203"/>
      <c r="Y26" s="203"/>
      <c r="Z26" s="203"/>
      <c r="AA26" s="203"/>
      <c r="AB26" s="203"/>
      <c r="AC26" s="203" t="e">
        <f>+#REF!+#REF!</f>
        <v>#REF!</v>
      </c>
      <c r="AD26" s="204"/>
      <c r="AE26" s="205"/>
      <c r="AF26" s="206"/>
    </row>
    <row r="27" spans="1:36" ht="14.15" hidden="1" customHeight="1" x14ac:dyDescent="0.35">
      <c r="A27" s="557"/>
      <c r="B27" s="1020"/>
      <c r="C27" s="1020"/>
      <c r="D27" s="1020"/>
      <c r="E27" s="1020"/>
      <c r="H27" s="24"/>
      <c r="I27" s="1021" t="s">
        <v>161</v>
      </c>
      <c r="J27" s="1021"/>
      <c r="K27" s="207"/>
      <c r="L27" s="207"/>
      <c r="M27" s="207"/>
      <c r="N27" s="207"/>
      <c r="O27" s="928"/>
      <c r="P27" s="928" t="e">
        <f>+#REF!/#REF!</f>
        <v>#REF!</v>
      </c>
      <c r="Q27" s="208" t="e">
        <f>+(#REF!+#REF!+#REF!+#REF!+#REF!+#REF!+#REF!+#REF!)/(#REF!+#REF!+#REF!+#REF!+#REF!+#REF!+#REF!+#REF!)</f>
        <v>#REF!</v>
      </c>
      <c r="R27" s="209" t="e">
        <f>+(#REF!+#REF!+#REF!+#REF!+#REF!+#REF!+#REF!+#REF!+#REF!)/(#REF!+#REF!+#REF!+#REF!+#REF!+#REF!+#REF!+#REF!+#REF!)</f>
        <v>#REF!</v>
      </c>
      <c r="S27" s="207" t="e">
        <f>+(#REF!+#REF!+#REF!+#REF!+#REF!+#REF!+#REF!+#REF!+#REF!+#REF!)/(#REF!+#REF!+#REF!+#REF!+#REF!+#REF!+#REF!+#REF!+#REF!+#REF!)</f>
        <v>#REF!</v>
      </c>
      <c r="T27" s="207" t="e">
        <f>+(#REF!+#REF!+#REF!+#REF!+#REF!+#REF!+#REF!+#REF!+#REF!+#REF!+#REF!)/(#REF!+#REF!+#REF!+#REF!+#REF!+#REF!+#REF!+#REF!+#REF!+#REF!+#REF!)</f>
        <v>#REF!</v>
      </c>
      <c r="U27" s="208" t="e">
        <f>+(#REF!+#REF!+#REF!+#REF!+#REF!+#REF!+#REF!+#REF!+#REF!+#REF!+#REF!+#REF!)/(#REF!+#REF!+#REF!+#REF!+#REF!+#REF!+#REF!+#REF!+#REF!+#REF!+#REF!+#REF!)</f>
        <v>#REF!</v>
      </c>
      <c r="V27" s="207" t="e">
        <f>+(#REF!+#REF!+#REF!+#REF!+#REF!+#REF!+#REF!+#REF!+#REF!+#REF!+#REF!+#REF!+#REF!)/(#REF!+#REF!+#REF!+#REF!+#REF!+#REF!+#REF!+#REF!+#REF!+#REF!+#REF!+#REF!+#REF!)</f>
        <v>#REF!</v>
      </c>
      <c r="W27" s="207" t="e">
        <f>+(#REF!+#REF!+#REF!+#REF!+#REF!+#REF!+#REF!+#REF!+#REF!+#REF!+#REF!+#REF!+#REF!+#REF!)/(#REF!+#REF!+#REF!+#REF!+#REF!+#REF!+#REF!+#REF!+#REF!+#REF!+#REF!+#REF!+#REF!+#REF!)</f>
        <v>#REF!</v>
      </c>
      <c r="X27" s="207" t="e">
        <f>+(#REF!+#REF!+#REF!+#REF!+#REF!+#REF!+#REF!+#REF!+#REF!+#REF!+#REF!+#REF!+#REF!+#REF!+#REF!)/(#REF!+#REF!+#REF!+#REF!+#REF!+#REF!+#REF!+#REF!+#REF!+#REF!+#REF!+#REF!+#REF!+#REF!+#REF!)</f>
        <v>#REF!</v>
      </c>
      <c r="Y27" s="208" t="e">
        <f>+(#REF!+#REF!+#REF!+#REF!+#REF!+#REF!+#REF!+#REF!+#REF!+#REF!+#REF!+#REF!+#REF!+#REF!+#REF!+#REF!)/(#REF!+#REF!+#REF!+#REF!+#REF!+#REF!+#REF!+#REF!+#REF!+#REF!+#REF!+#REF!+#REF!+#REF!+#REF!+#REF!)</f>
        <v>#REF!</v>
      </c>
      <c r="Z27" s="207" t="e">
        <f>+(#REF!+#REF!+#REF!+#REF!+#REF!+#REF!+#REF!+#REF!+#REF!+#REF!+#REF!+#REF!+#REF!+#REF!+#REF!+#REF!+#REF!)/(#REF!+#REF!+#REF!+#REF!+#REF!+#REF!+#REF!+#REF!+#REF!+#REF!+#REF!+#REF!+#REF!+#REF!+#REF!+#REF!+#REF!)</f>
        <v>#REF!</v>
      </c>
      <c r="AA27" s="207" t="e">
        <f>+(#REF!+#REF!+#REF!+#REF!+#REF!+#REF!+#REF!+#REF!+#REF!+#REF!+#REF!+#REF!+#REF!+#REF!+#REF!+#REF!+#REF!+#REF!)/(#REF!+#REF!+#REF!+#REF!+#REF!+#REF!+#REF!+#REF!+#REF!+#REF!+#REF!+#REF!+#REF!+#REF!+#REF!+#REF!+#REF!+#REF!)</f>
        <v>#REF!</v>
      </c>
      <c r="AB27" s="207" t="e">
        <f>+(#REF!+#REF!+#REF!+#REF!+#REF!+#REF!+#REF!+#REF!+#REF!+#REF!+#REF!+#REF!+#REF!+#REF!+#REF!+#REF!+#REF!+#REF!+#REF!)/(#REF!+#REF!+#REF!+#REF!+#REF!+#REF!+#REF!+#REF!+#REF!+#REF!+#REF!+#REF!+#REF!+#REF!+#REF!+#REF!+#REF!+#REF!+#REF!)</f>
        <v>#REF!</v>
      </c>
      <c r="AC27" s="208" t="e">
        <f>+(#REF!+#REF!+#REF!+#REF!+#REF!+#REF!+#REF!+#REF!+#REF!+#REF!+#REF!+#REF!+#REF!+#REF!+#REF!+#REF!+#REF!+#REF!+#REF!+#REF!)/(#REF!+#REF!+#REF!+#REF!+#REF!+#REF!+#REF!+#REF!+#REF!+#REF!+#REF!+#REF!+#REF!+#REF!+#REF!+#REF!+#REF!+#REF!+#REF!+#REF!)</f>
        <v>#REF!</v>
      </c>
      <c r="AD27" s="209" t="e">
        <f>+(#REF!+#REF!+#REF!+#REF!+#REF!+#REF!+#REF!+#REF!+#REF!+#REF!+#REF!+#REF!+#REF!+#REF!+#REF!+#REF!+#REF!+#REF!+#REF!+#REF!+#REF!)/(#REF!+#REF!+#REF!+#REF!+#REF!+#REF!+#REF!+#REF!+#REF!+#REF!+#REF!+#REF!+#REF!+#REF!+#REF!+#REF!+#REF!+#REF!+#REF!+#REF!+#REF!)</f>
        <v>#REF!</v>
      </c>
      <c r="AE27" s="207" t="e">
        <f>+(#REF!+#REF!+#REF!+#REF!+#REF!+#REF!+#REF!+#REF!+#REF!+#REF!+#REF!+#REF!+#REF!+#REF!+#REF!+#REF!+#REF!+#REF!+#REF!+#REF!+#REF!+#REF!)/(#REF!+#REF!+#REF!+#REF!+#REF!+#REF!+#REF!+#REF!+#REF!+#REF!+#REF!+#REF!+#REF!+#REF!+#REF!+#REF!+#REF!+#REF!+#REF!+#REF!+#REF!+#REF!)</f>
        <v>#REF!</v>
      </c>
      <c r="AF27" s="210"/>
    </row>
    <row r="28" spans="1:36" ht="14.15" hidden="1" customHeight="1" x14ac:dyDescent="0.35">
      <c r="I28" s="1025" t="s">
        <v>162</v>
      </c>
      <c r="J28" s="1025"/>
      <c r="L28" s="208"/>
      <c r="M28" s="208"/>
      <c r="N28" s="208"/>
      <c r="O28" s="927"/>
      <c r="P28" s="927" t="e">
        <f>+#REF!/#REF!</f>
        <v>#REF!</v>
      </c>
      <c r="Q28" s="208" t="e">
        <f>+(#REF!+#REF!+#REF!+#REF!+#REF!+#REF!+#REF!+#REF!)/#REF!</f>
        <v>#REF!</v>
      </c>
      <c r="R28" s="211" t="e">
        <f>+(#REF!+#REF!+#REF!+#REF!+#REF!+#REF!+#REF!+#REF!+#REF!)/#REF!</f>
        <v>#REF!</v>
      </c>
      <c r="S28" s="208" t="e">
        <f>+(#REF!+#REF!+#REF!+#REF!+#REF!+#REF!+#REF!+#REF!+#REF!+#REF!)/#REF!</f>
        <v>#REF!</v>
      </c>
      <c r="T28" s="208" t="e">
        <f>+(#REF!+#REF!+#REF!+#REF!+#REF!+#REF!+#REF!+#REF!+#REF!+#REF!+#REF!)/#REF!</f>
        <v>#REF!</v>
      </c>
      <c r="U28" s="208" t="e">
        <f>+(#REF!+#REF!+#REF!+#REF!+#REF!+#REF!+#REF!+#REF!+#REF!+#REF!+#REF!+#REF!)/#REF!</f>
        <v>#REF!</v>
      </c>
      <c r="V28" s="208" t="e">
        <f>+(#REF!+#REF!+#REF!+#REF!+#REF!+#REF!+#REF!+#REF!+#REF!+#REF!+#REF!+#REF!+#REF!)/#REF!</f>
        <v>#REF!</v>
      </c>
      <c r="W28" s="208" t="e">
        <f>+(#REF!+#REF!+#REF!+#REF!+#REF!+#REF!+#REF!+#REF!+#REF!+#REF!+#REF!+#REF!+#REF!+#REF!)/#REF!</f>
        <v>#REF!</v>
      </c>
      <c r="X28" s="208" t="e">
        <f>+(#REF!+#REF!+#REF!+#REF!+#REF!+#REF!+#REF!+#REF!+#REF!+#REF!+#REF!+#REF!+#REF!+#REF!+#REF!)/#REF!</f>
        <v>#REF!</v>
      </c>
      <c r="Y28" s="208" t="e">
        <f>+(#REF!+#REF!+#REF!+#REF!+#REF!+#REF!+#REF!+#REF!+#REF!+#REF!+#REF!+#REF!+#REF!+#REF!+#REF!+#REF!)/#REF!</f>
        <v>#REF!</v>
      </c>
      <c r="Z28" s="208" t="e">
        <f>+(#REF!+#REF!+#REF!+#REF!+#REF!+#REF!+#REF!+#REF!+#REF!+#REF!+#REF!+#REF!+#REF!+#REF!+#REF!+#REF!+#REF!)/#REF!</f>
        <v>#REF!</v>
      </c>
      <c r="AA28" s="208" t="e">
        <f>+(#REF!+#REF!+#REF!+#REF!+#REF!+#REF!+#REF!+#REF!+#REF!+#REF!+#REF!+#REF!+#REF!+#REF!+#REF!+#REF!+#REF!+#REF!)/#REF!</f>
        <v>#REF!</v>
      </c>
      <c r="AB28" s="208" t="e">
        <f>+(#REF!+#REF!+#REF!+#REF!+#REF!+#REF!+#REF!+#REF!+#REF!+#REF!+#REF!+#REF!+#REF!+#REF!+#REF!+#REF!+#REF!+#REF!+#REF!)/#REF!</f>
        <v>#REF!</v>
      </c>
      <c r="AC28" s="208" t="e">
        <f>+(#REF!+#REF!+#REF!+#REF!+#REF!+#REF!+#REF!+#REF!+#REF!+#REF!+#REF!+#REF!+#REF!+#REF!+#REF!+#REF!+#REF!+#REF!+#REF!+#REF!)/#REF!</f>
        <v>#REF!</v>
      </c>
      <c r="AD28" s="211" t="e">
        <f>+(#REF!+#REF!+#REF!+#REF!+#REF!+#REF!+#REF!+#REF!+#REF!+#REF!+#REF!+#REF!+#REF!+#REF!+#REF!+#REF!+#REF!+#REF!+#REF!+#REF!+#REF!)/#REF!</f>
        <v>#REF!</v>
      </c>
      <c r="AE28" s="208" t="e">
        <f>+(#REF!+#REF!+#REF!+#REF!+#REF!+#REF!+#REF!+#REF!+#REF!+#REF!+#REF!+#REF!+#REF!+#REF!+#REF!+#REF!+#REF!+#REF!+#REF!+#REF!+#REF!+#REF!)/#REF!</f>
        <v>#REF!</v>
      </c>
      <c r="AF28" s="212"/>
    </row>
    <row r="29" spans="1:36" ht="14.15" hidden="1" customHeight="1" x14ac:dyDescent="0.35">
      <c r="I29" s="1021" t="s">
        <v>163</v>
      </c>
      <c r="J29" s="1021"/>
      <c r="K29" s="213"/>
      <c r="L29" s="213"/>
      <c r="M29" s="213"/>
      <c r="N29" s="213"/>
      <c r="O29" s="928"/>
      <c r="P29" s="928"/>
      <c r="Q29" s="208" t="e">
        <f>+#REF!/#REF!</f>
        <v>#REF!</v>
      </c>
      <c r="R29" s="214"/>
      <c r="S29" s="213"/>
      <c r="T29" s="213"/>
      <c r="U29" s="208" t="e">
        <f>+#REF!/#REF!</f>
        <v>#REF!</v>
      </c>
      <c r="V29" s="213"/>
      <c r="W29" s="213"/>
      <c r="X29" s="213"/>
      <c r="Y29" s="208" t="e">
        <f>+#REF!/#REF!</f>
        <v>#REF!</v>
      </c>
      <c r="Z29" s="213"/>
      <c r="AA29" s="213"/>
      <c r="AB29" s="213"/>
      <c r="AC29" s="208" t="e">
        <f>+#REF!/#REF!</f>
        <v>#REF!</v>
      </c>
      <c r="AD29" s="214"/>
      <c r="AE29" s="213"/>
      <c r="AF29" s="215"/>
    </row>
    <row r="30" spans="1:36" ht="5.15" hidden="1" customHeight="1" x14ac:dyDescent="0.35">
      <c r="I30" s="1025" t="s">
        <v>164</v>
      </c>
      <c r="J30" s="1025"/>
      <c r="K30" s="213"/>
      <c r="L30" s="213"/>
      <c r="M30" s="213"/>
      <c r="N30" s="213"/>
      <c r="O30" s="927"/>
      <c r="P30" s="927"/>
      <c r="Q30" s="208" t="e">
        <f>+(#REF!+#REF!)/#REF!</f>
        <v>#REF!</v>
      </c>
      <c r="R30" s="214"/>
      <c r="S30" s="213"/>
      <c r="T30" s="213"/>
      <c r="U30" s="208" t="e">
        <f>+(#REF!+#REF!+#REF!)/#REF!</f>
        <v>#REF!</v>
      </c>
      <c r="V30" s="213"/>
      <c r="W30" s="213"/>
      <c r="X30" s="213"/>
      <c r="Y30" s="208" t="e">
        <f>+(#REF!+#REF!+#REF!+#REF!)/#REF!</f>
        <v>#REF!</v>
      </c>
      <c r="Z30" s="213"/>
      <c r="AA30" s="213"/>
      <c r="AB30" s="213"/>
      <c r="AC30" s="208" t="e">
        <f>+(#REF!+#REF!+#REF!+#REF!+#REF!)/#REF!</f>
        <v>#REF!</v>
      </c>
      <c r="AD30" s="214"/>
      <c r="AE30" s="213"/>
      <c r="AF30" s="215"/>
    </row>
    <row r="31" spans="1:36" ht="14.15" hidden="1" customHeight="1" x14ac:dyDescent="0.35">
      <c r="I31" s="1021" t="s">
        <v>165</v>
      </c>
      <c r="J31" s="1021"/>
      <c r="K31" s="213"/>
      <c r="L31" s="213"/>
      <c r="M31" s="213"/>
      <c r="N31" s="213"/>
      <c r="O31" s="928"/>
      <c r="P31" s="928"/>
      <c r="Q31" s="208" t="e">
        <f>+(#REF!+#REF!)/(#REF!+#REF!)</f>
        <v>#REF!</v>
      </c>
      <c r="R31" s="214"/>
      <c r="S31" s="213"/>
      <c r="T31" s="213"/>
      <c r="U31" s="213"/>
      <c r="V31" s="213"/>
      <c r="W31" s="213"/>
      <c r="X31" s="213"/>
      <c r="Y31" s="213"/>
      <c r="Z31" s="213"/>
      <c r="AA31" s="213"/>
      <c r="AB31" s="213"/>
      <c r="AC31" s="208" t="e">
        <f>+(#REF!+#REF!+#REF!+#REF!+#REF!)/(#REF!+#REF!+#REF!+#REF!+#REF!)</f>
        <v>#REF!</v>
      </c>
      <c r="AD31" s="214"/>
      <c r="AE31" s="213"/>
      <c r="AF31" s="215"/>
    </row>
    <row r="32" spans="1:36" ht="14.15" hidden="1" customHeight="1" x14ac:dyDescent="0.35">
      <c r="I32" s="1021" t="s">
        <v>166</v>
      </c>
      <c r="J32" s="1021"/>
      <c r="K32" s="213"/>
      <c r="L32" s="213"/>
      <c r="M32" s="213"/>
      <c r="N32" s="213"/>
      <c r="O32" s="927"/>
      <c r="P32" s="927"/>
      <c r="Q32" s="208" t="e">
        <f>+(#REF!+#REF!)/#REF!</f>
        <v>#REF!</v>
      </c>
      <c r="R32" s="214"/>
      <c r="S32" s="213"/>
      <c r="T32" s="213"/>
      <c r="U32" s="213"/>
      <c r="V32" s="213"/>
      <c r="W32" s="213"/>
      <c r="X32" s="213"/>
      <c r="Y32" s="213"/>
      <c r="Z32" s="213"/>
      <c r="AA32" s="213"/>
      <c r="AB32" s="213"/>
      <c r="AC32" s="208" t="e">
        <f>+(+#REF!+#REF!+#REF!+#REF!+#REF!)/#REF!</f>
        <v>#REF!</v>
      </c>
      <c r="AD32" s="214"/>
      <c r="AE32" s="213"/>
      <c r="AF32" s="215"/>
    </row>
    <row r="33" spans="2:16" ht="14.15" hidden="1" customHeight="1" x14ac:dyDescent="0.35">
      <c r="O33" s="928"/>
      <c r="P33" s="928"/>
    </row>
    <row r="34" spans="2:16" ht="14.15" hidden="1" customHeight="1" x14ac:dyDescent="0.35">
      <c r="H34" s="1023" t="s">
        <v>331</v>
      </c>
      <c r="I34" s="1023"/>
      <c r="J34" s="216" t="e">
        <f>+#REF!</f>
        <v>#REF!</v>
      </c>
      <c r="K34" s="217"/>
      <c r="L34" s="217"/>
      <c r="M34" s="217"/>
      <c r="N34" s="217"/>
      <c r="O34" s="927"/>
      <c r="P34" s="927"/>
    </row>
    <row r="35" spans="2:16" ht="14.15" hidden="1" customHeight="1" x14ac:dyDescent="0.35">
      <c r="H35" s="1023" t="s">
        <v>332</v>
      </c>
      <c r="I35" s="1023"/>
      <c r="J35" s="218" t="e">
        <f>+#REF!</f>
        <v>#REF!</v>
      </c>
      <c r="K35" s="217"/>
      <c r="L35" s="217"/>
      <c r="M35" s="217"/>
      <c r="N35" s="217"/>
      <c r="O35" s="928"/>
      <c r="P35" s="928"/>
    </row>
    <row r="36" spans="2:16" ht="35.15" hidden="1" customHeight="1" x14ac:dyDescent="0.35">
      <c r="H36" s="1023" t="s">
        <v>333</v>
      </c>
      <c r="I36" s="1023"/>
      <c r="J36" s="219" t="e">
        <f>+J34/J35</f>
        <v>#REF!</v>
      </c>
      <c r="K36" s="217"/>
      <c r="L36" s="217"/>
      <c r="M36" s="217"/>
      <c r="N36" s="217"/>
      <c r="O36" s="927"/>
      <c r="P36" s="927"/>
    </row>
    <row r="37" spans="2:16" ht="15" customHeight="1" x14ac:dyDescent="0.35">
      <c r="K37" s="217"/>
      <c r="L37" s="217"/>
      <c r="M37" s="217"/>
      <c r="N37" s="217"/>
      <c r="O37" s="928"/>
      <c r="P37" s="928"/>
    </row>
    <row r="38" spans="2:16" ht="15" customHeight="1" x14ac:dyDescent="0.35">
      <c r="K38" s="217"/>
      <c r="L38" s="217"/>
      <c r="M38" s="217"/>
      <c r="N38" s="217"/>
      <c r="O38" s="217"/>
      <c r="P38" s="217"/>
    </row>
    <row r="39" spans="2:16" ht="15" customHeight="1" x14ac:dyDescent="0.35">
      <c r="K39" s="217"/>
      <c r="L39" s="217"/>
      <c r="M39" s="217"/>
      <c r="N39" s="217"/>
      <c r="O39" s="217"/>
      <c r="P39" s="217"/>
    </row>
    <row r="40" spans="2:16" ht="15" customHeight="1" x14ac:dyDescent="0.35">
      <c r="B40" s="1024" t="s">
        <v>51</v>
      </c>
      <c r="C40" s="1024" t="s">
        <v>52</v>
      </c>
      <c r="D40" s="1024" t="s">
        <v>53</v>
      </c>
      <c r="E40" s="1024" t="s">
        <v>54</v>
      </c>
      <c r="F40" s="1024" t="s">
        <v>29</v>
      </c>
      <c r="G40" s="1014" t="s">
        <v>55</v>
      </c>
      <c r="H40" s="220"/>
      <c r="I40" s="220"/>
      <c r="L40" s="1014" t="s">
        <v>167</v>
      </c>
    </row>
    <row r="41" spans="2:16" ht="15" customHeight="1" x14ac:dyDescent="0.35">
      <c r="B41" s="1015"/>
      <c r="C41" s="1015"/>
      <c r="D41" s="1015"/>
      <c r="E41" s="1015"/>
      <c r="F41" s="1015"/>
      <c r="G41" s="1015"/>
      <c r="H41" s="220"/>
      <c r="I41" s="220"/>
      <c r="L41" s="1015"/>
    </row>
    <row r="42" spans="2:16" ht="15" customHeight="1" x14ac:dyDescent="0.35">
      <c r="B42" s="185" t="s">
        <v>99</v>
      </c>
      <c r="C42" s="185" t="s">
        <v>1606</v>
      </c>
      <c r="D42" s="185" t="s">
        <v>130</v>
      </c>
      <c r="E42" s="185" t="s">
        <v>131</v>
      </c>
      <c r="F42" s="185" t="s">
        <v>169</v>
      </c>
      <c r="G42" s="185" t="s">
        <v>170</v>
      </c>
      <c r="L42" s="185" t="s">
        <v>171</v>
      </c>
    </row>
    <row r="43" spans="2:16" ht="15" customHeight="1" x14ac:dyDescent="0.35">
      <c r="B43" s="185" t="s">
        <v>116</v>
      </c>
      <c r="C43" s="185" t="s">
        <v>1181</v>
      </c>
      <c r="D43" s="185" t="s">
        <v>172</v>
      </c>
      <c r="E43" s="185" t="s">
        <v>173</v>
      </c>
      <c r="F43" s="185" t="s">
        <v>174</v>
      </c>
      <c r="G43" s="185" t="s">
        <v>175</v>
      </c>
      <c r="L43" s="185" t="s">
        <v>92</v>
      </c>
    </row>
    <row r="44" spans="2:16" ht="15" customHeight="1" x14ac:dyDescent="0.35">
      <c r="B44" s="185" t="s">
        <v>83</v>
      </c>
      <c r="C44" s="185" t="s">
        <v>1221</v>
      </c>
      <c r="D44" s="185" t="s">
        <v>85</v>
      </c>
      <c r="E44" s="185" t="s">
        <v>176</v>
      </c>
      <c r="F44" s="185" t="s">
        <v>177</v>
      </c>
      <c r="G44" s="185" t="s">
        <v>178</v>
      </c>
      <c r="L44" s="185" t="s">
        <v>179</v>
      </c>
    </row>
    <row r="45" spans="2:16" ht="15" customHeight="1" x14ac:dyDescent="0.35">
      <c r="B45" s="185" t="s">
        <v>109</v>
      </c>
      <c r="C45" s="185" t="s">
        <v>1586</v>
      </c>
      <c r="D45" s="185" t="s">
        <v>180</v>
      </c>
      <c r="E45" s="185" t="s">
        <v>181</v>
      </c>
      <c r="F45" s="185" t="s">
        <v>182</v>
      </c>
      <c r="G45" s="185" t="s">
        <v>183</v>
      </c>
    </row>
    <row r="46" spans="2:16" ht="15" customHeight="1" x14ac:dyDescent="0.35">
      <c r="B46" s="185" t="s">
        <v>124</v>
      </c>
      <c r="C46" s="185" t="s">
        <v>1212</v>
      </c>
      <c r="D46" s="185" t="s">
        <v>100</v>
      </c>
      <c r="E46" s="185" t="s">
        <v>184</v>
      </c>
      <c r="F46" s="185" t="s">
        <v>185</v>
      </c>
      <c r="G46" s="185" t="s">
        <v>186</v>
      </c>
    </row>
    <row r="47" spans="2:16" ht="15" customHeight="1" x14ac:dyDescent="0.35">
      <c r="B47" s="185" t="s">
        <v>187</v>
      </c>
      <c r="C47" s="185" t="s">
        <v>1217</v>
      </c>
      <c r="D47" s="185" t="s">
        <v>111</v>
      </c>
      <c r="E47" s="185" t="s">
        <v>149</v>
      </c>
      <c r="F47" s="185" t="s">
        <v>189</v>
      </c>
      <c r="G47" s="185" t="s">
        <v>127</v>
      </c>
    </row>
    <row r="48" spans="2:16" ht="15" customHeight="1" x14ac:dyDescent="0.35">
      <c r="B48" s="185" t="s">
        <v>190</v>
      </c>
      <c r="C48" s="185" t="s">
        <v>1607</v>
      </c>
      <c r="D48" s="185" t="s">
        <v>192</v>
      </c>
      <c r="E48" s="185" t="s">
        <v>193</v>
      </c>
      <c r="F48" s="185" t="s">
        <v>194</v>
      </c>
      <c r="G48" s="185" t="s">
        <v>195</v>
      </c>
    </row>
    <row r="49" spans="2:7" ht="15" customHeight="1" x14ac:dyDescent="0.35">
      <c r="B49" s="185" t="s">
        <v>196</v>
      </c>
      <c r="C49" s="185" t="s">
        <v>1608</v>
      </c>
      <c r="E49" s="185" t="s">
        <v>126</v>
      </c>
      <c r="F49" s="185" t="s">
        <v>198</v>
      </c>
      <c r="G49" s="185" t="s">
        <v>150</v>
      </c>
    </row>
    <row r="50" spans="2:7" ht="15" customHeight="1" x14ac:dyDescent="0.35">
      <c r="C50" s="185" t="s">
        <v>272</v>
      </c>
      <c r="E50" s="185" t="s">
        <v>118</v>
      </c>
      <c r="F50" s="185" t="s">
        <v>199</v>
      </c>
      <c r="G50" s="185" t="s">
        <v>102</v>
      </c>
    </row>
    <row r="51" spans="2:7" ht="15" customHeight="1" x14ac:dyDescent="0.35">
      <c r="C51" s="185" t="s">
        <v>259</v>
      </c>
      <c r="E51" s="185" t="s">
        <v>200</v>
      </c>
      <c r="F51" s="185" t="s">
        <v>201</v>
      </c>
      <c r="G51" s="185" t="s">
        <v>132</v>
      </c>
    </row>
    <row r="52" spans="2:7" ht="15" customHeight="1" x14ac:dyDescent="0.35">
      <c r="E52" s="185" t="s">
        <v>202</v>
      </c>
      <c r="F52" s="185" t="s">
        <v>203</v>
      </c>
      <c r="G52" s="185" t="s">
        <v>144</v>
      </c>
    </row>
    <row r="53" spans="2:7" ht="15" customHeight="1" x14ac:dyDescent="0.35">
      <c r="E53" s="185" t="s">
        <v>204</v>
      </c>
      <c r="F53" s="185" t="s">
        <v>205</v>
      </c>
      <c r="G53" s="185" t="s">
        <v>206</v>
      </c>
    </row>
    <row r="54" spans="2:7" ht="15" customHeight="1" x14ac:dyDescent="0.35">
      <c r="E54" s="185" t="s">
        <v>86</v>
      </c>
      <c r="G54" s="185" t="s">
        <v>207</v>
      </c>
    </row>
    <row r="55" spans="2:7" ht="15" customHeight="1" x14ac:dyDescent="0.35">
      <c r="E55" s="185" t="s">
        <v>208</v>
      </c>
      <c r="G55" s="185" t="s">
        <v>209</v>
      </c>
    </row>
    <row r="56" spans="2:7" ht="15" customHeight="1" x14ac:dyDescent="0.35">
      <c r="E56" s="185" t="s">
        <v>101</v>
      </c>
      <c r="G56" s="185" t="s">
        <v>210</v>
      </c>
    </row>
    <row r="57" spans="2:7" ht="15" customHeight="1" x14ac:dyDescent="0.35">
      <c r="E57" s="185" t="s">
        <v>143</v>
      </c>
      <c r="G57" s="185" t="s">
        <v>211</v>
      </c>
    </row>
    <row r="58" spans="2:7" ht="15" customHeight="1" x14ac:dyDescent="0.35">
      <c r="E58" s="185" t="s">
        <v>212</v>
      </c>
      <c r="G58" s="185" t="s">
        <v>213</v>
      </c>
    </row>
    <row r="59" spans="2:7" ht="15" customHeight="1" x14ac:dyDescent="0.35">
      <c r="E59" s="185" t="s">
        <v>112</v>
      </c>
      <c r="G59" s="185" t="s">
        <v>214</v>
      </c>
    </row>
    <row r="60" spans="2:7" ht="15" customHeight="1" x14ac:dyDescent="0.35">
      <c r="E60" s="185" t="s">
        <v>215</v>
      </c>
      <c r="G60" s="185" t="s">
        <v>216</v>
      </c>
    </row>
    <row r="61" spans="2:7" ht="15" customHeight="1" x14ac:dyDescent="0.35">
      <c r="G61" s="185" t="s">
        <v>217</v>
      </c>
    </row>
    <row r="62" spans="2:7" ht="15" customHeight="1" x14ac:dyDescent="0.35">
      <c r="G62" s="185" t="s">
        <v>218</v>
      </c>
    </row>
    <row r="63" spans="2:7" ht="15" customHeight="1" x14ac:dyDescent="0.35">
      <c r="G63" s="185" t="s">
        <v>219</v>
      </c>
    </row>
    <row r="64" spans="2:7" ht="15" customHeight="1" x14ac:dyDescent="0.35">
      <c r="G64" s="185" t="s">
        <v>220</v>
      </c>
    </row>
    <row r="65" spans="7:7" ht="15" customHeight="1" x14ac:dyDescent="0.35">
      <c r="G65" s="185" t="s">
        <v>221</v>
      </c>
    </row>
    <row r="66" spans="7:7" ht="15" customHeight="1" x14ac:dyDescent="0.35">
      <c r="G66" s="185" t="s">
        <v>222</v>
      </c>
    </row>
    <row r="67" spans="7:7" ht="15" customHeight="1" x14ac:dyDescent="0.35">
      <c r="G67" s="185" t="s">
        <v>223</v>
      </c>
    </row>
    <row r="68" spans="7:7" ht="15" customHeight="1" x14ac:dyDescent="0.35">
      <c r="G68" s="185" t="s">
        <v>224</v>
      </c>
    </row>
    <row r="69" spans="7:7" ht="15" customHeight="1" x14ac:dyDescent="0.35">
      <c r="G69" s="185" t="s">
        <v>225</v>
      </c>
    </row>
    <row r="70" spans="7:7" ht="15" customHeight="1" x14ac:dyDescent="0.35">
      <c r="G70" s="185" t="s">
        <v>226</v>
      </c>
    </row>
    <row r="71" spans="7:7" ht="15" customHeight="1" x14ac:dyDescent="0.35">
      <c r="G71" s="185" t="s">
        <v>227</v>
      </c>
    </row>
    <row r="72" spans="7:7" ht="15" customHeight="1" x14ac:dyDescent="0.35">
      <c r="G72" s="185" t="s">
        <v>228</v>
      </c>
    </row>
    <row r="73" spans="7:7" ht="15" customHeight="1" x14ac:dyDescent="0.35">
      <c r="G73" s="185" t="s">
        <v>229</v>
      </c>
    </row>
    <row r="74" spans="7:7" ht="15" customHeight="1" x14ac:dyDescent="0.35">
      <c r="G74" s="185" t="s">
        <v>230</v>
      </c>
    </row>
    <row r="75" spans="7:7" ht="15" customHeight="1" x14ac:dyDescent="0.35">
      <c r="G75" s="185" t="s">
        <v>119</v>
      </c>
    </row>
    <row r="76" spans="7:7" ht="15" customHeight="1" x14ac:dyDescent="0.35">
      <c r="G76" s="185" t="s">
        <v>138</v>
      </c>
    </row>
    <row r="77" spans="7:7" ht="15" customHeight="1" x14ac:dyDescent="0.35">
      <c r="G77" s="185" t="s">
        <v>231</v>
      </c>
    </row>
    <row r="78" spans="7:7" ht="15" customHeight="1" x14ac:dyDescent="0.35">
      <c r="G78" s="185" t="s">
        <v>232</v>
      </c>
    </row>
    <row r="79" spans="7:7" ht="15" customHeight="1" x14ac:dyDescent="0.35">
      <c r="G79" s="185" t="s">
        <v>233</v>
      </c>
    </row>
    <row r="80" spans="7:7" ht="15" customHeight="1" x14ac:dyDescent="0.35">
      <c r="G80" s="185" t="s">
        <v>87</v>
      </c>
    </row>
    <row r="81" spans="7:7" ht="15" customHeight="1" x14ac:dyDescent="0.35">
      <c r="G81" s="185" t="s">
        <v>234</v>
      </c>
    </row>
    <row r="82" spans="7:7" ht="15" customHeight="1" x14ac:dyDescent="0.35">
      <c r="G82" s="185" t="s">
        <v>235</v>
      </c>
    </row>
    <row r="83" spans="7:7" ht="15" customHeight="1" x14ac:dyDescent="0.35">
      <c r="G83" s="185" t="s">
        <v>236</v>
      </c>
    </row>
    <row r="84" spans="7:7" ht="15" customHeight="1" x14ac:dyDescent="0.35">
      <c r="G84" s="185" t="s">
        <v>237</v>
      </c>
    </row>
    <row r="85" spans="7:7" ht="15" customHeight="1" x14ac:dyDescent="0.35">
      <c r="G85" s="185" t="s">
        <v>238</v>
      </c>
    </row>
    <row r="86" spans="7:7" ht="15" customHeight="1" x14ac:dyDescent="0.35">
      <c r="G86" s="185" t="s">
        <v>239</v>
      </c>
    </row>
    <row r="87" spans="7:7" ht="15" customHeight="1" x14ac:dyDescent="0.35">
      <c r="G87" s="185" t="s">
        <v>240</v>
      </c>
    </row>
    <row r="88" spans="7:7" ht="15" customHeight="1" x14ac:dyDescent="0.35">
      <c r="G88" s="185" t="s">
        <v>241</v>
      </c>
    </row>
    <row r="89" spans="7:7" ht="15" customHeight="1" x14ac:dyDescent="0.35">
      <c r="G89" s="185" t="s">
        <v>242</v>
      </c>
    </row>
    <row r="90" spans="7:7" ht="15" customHeight="1" x14ac:dyDescent="0.35">
      <c r="G90" s="185" t="s">
        <v>243</v>
      </c>
    </row>
    <row r="91" spans="7:7" ht="15" customHeight="1" x14ac:dyDescent="0.35">
      <c r="G91" s="185" t="s">
        <v>244</v>
      </c>
    </row>
    <row r="92" spans="7:7" ht="15" customHeight="1" x14ac:dyDescent="0.35">
      <c r="G92" s="185" t="s">
        <v>245</v>
      </c>
    </row>
    <row r="93" spans="7:7" ht="15" customHeight="1" x14ac:dyDescent="0.35">
      <c r="G93" s="185" t="s">
        <v>246</v>
      </c>
    </row>
    <row r="94" spans="7:7" ht="15" customHeight="1" x14ac:dyDescent="0.35">
      <c r="G94" s="185" t="s">
        <v>39</v>
      </c>
    </row>
    <row r="95" spans="7:7" ht="15" customHeight="1" x14ac:dyDescent="0.35">
      <c r="G95" s="185" t="s">
        <v>247</v>
      </c>
    </row>
    <row r="96" spans="7:7" ht="15" customHeight="1" x14ac:dyDescent="0.35">
      <c r="G96" s="185" t="s">
        <v>248</v>
      </c>
    </row>
    <row r="97" spans="7:7" ht="15" customHeight="1" x14ac:dyDescent="0.35">
      <c r="G97" s="185" t="s">
        <v>249</v>
      </c>
    </row>
    <row r="98" spans="7:7" ht="15" customHeight="1" x14ac:dyDescent="0.35">
      <c r="G98" s="185" t="s">
        <v>250</v>
      </c>
    </row>
    <row r="99" spans="7:7" ht="15" customHeight="1" x14ac:dyDescent="0.35">
      <c r="G99" s="185" t="s">
        <v>251</v>
      </c>
    </row>
    <row r="100" spans="7:7" ht="15" customHeight="1" x14ac:dyDescent="0.35">
      <c r="G100" s="185" t="s">
        <v>252</v>
      </c>
    </row>
    <row r="101" spans="7:7" ht="15" customHeight="1" x14ac:dyDescent="0.35">
      <c r="G101" s="185" t="s">
        <v>253</v>
      </c>
    </row>
  </sheetData>
  <mergeCells count="202">
    <mergeCell ref="AD1:AJ3"/>
    <mergeCell ref="H35:I35"/>
    <mergeCell ref="H36:I36"/>
    <mergeCell ref="B40:B41"/>
    <mergeCell ref="C40:C41"/>
    <mergeCell ref="D40:D41"/>
    <mergeCell ref="E40:E41"/>
    <mergeCell ref="F40:F41"/>
    <mergeCell ref="G40:G41"/>
    <mergeCell ref="I28:J28"/>
    <mergeCell ref="I29:J29"/>
    <mergeCell ref="I30:J30"/>
    <mergeCell ref="I31:J31"/>
    <mergeCell ref="I32:J32"/>
    <mergeCell ref="H34:I34"/>
    <mergeCell ref="AJ24:AJ25"/>
    <mergeCell ref="AG24:AG25"/>
    <mergeCell ref="AH24:AH25"/>
    <mergeCell ref="AI24:AI25"/>
    <mergeCell ref="AH22:AH23"/>
    <mergeCell ref="AI22:AI23"/>
    <mergeCell ref="AJ22:AJ23"/>
    <mergeCell ref="N24:N25"/>
    <mergeCell ref="O24:O25"/>
    <mergeCell ref="K22:K23"/>
    <mergeCell ref="P24:P25"/>
    <mergeCell ref="H24:H25"/>
    <mergeCell ref="K24:K25"/>
    <mergeCell ref="L24:L25"/>
    <mergeCell ref="M24:M25"/>
    <mergeCell ref="L40:L41"/>
    <mergeCell ref="D1:AC3"/>
    <mergeCell ref="A26:A27"/>
    <mergeCell ref="B26:B27"/>
    <mergeCell ref="C26:C27"/>
    <mergeCell ref="D26:D27"/>
    <mergeCell ref="E26:E27"/>
    <mergeCell ref="I27:J27"/>
    <mergeCell ref="A24:A25"/>
    <mergeCell ref="B24:B25"/>
    <mergeCell ref="C24:C25"/>
    <mergeCell ref="D24:D25"/>
    <mergeCell ref="E24:E25"/>
    <mergeCell ref="F24:F25"/>
    <mergeCell ref="G24:G25"/>
    <mergeCell ref="C18:C19"/>
    <mergeCell ref="D18:D19"/>
    <mergeCell ref="E18:E19"/>
    <mergeCell ref="P20:P21"/>
    <mergeCell ref="AG20:AG21"/>
    <mergeCell ref="AH20:AH21"/>
    <mergeCell ref="AI20:AI21"/>
    <mergeCell ref="AJ20:AJ21"/>
    <mergeCell ref="A22:A23"/>
    <mergeCell ref="B22:B23"/>
    <mergeCell ref="C22:C23"/>
    <mergeCell ref="D22:D23"/>
    <mergeCell ref="E22:E23"/>
    <mergeCell ref="K20:K21"/>
    <mergeCell ref="L20:L21"/>
    <mergeCell ref="M20:M21"/>
    <mergeCell ref="N20:N21"/>
    <mergeCell ref="O20:O21"/>
    <mergeCell ref="L22:L23"/>
    <mergeCell ref="M22:M23"/>
    <mergeCell ref="N22:N23"/>
    <mergeCell ref="O22:O23"/>
    <mergeCell ref="P22:P23"/>
    <mergeCell ref="AG22:AG23"/>
    <mergeCell ref="F22:F23"/>
    <mergeCell ref="G22:G23"/>
    <mergeCell ref="H22:H23"/>
    <mergeCell ref="A20:A21"/>
    <mergeCell ref="B20:B21"/>
    <mergeCell ref="C20:C21"/>
    <mergeCell ref="D20:D21"/>
    <mergeCell ref="E20:E21"/>
    <mergeCell ref="F20:F21"/>
    <mergeCell ref="G20:G21"/>
    <mergeCell ref="H20:H21"/>
    <mergeCell ref="N18:N19"/>
    <mergeCell ref="H18:H19"/>
    <mergeCell ref="K18:K19"/>
    <mergeCell ref="L18:L19"/>
    <mergeCell ref="M18:M19"/>
    <mergeCell ref="A18:A19"/>
    <mergeCell ref="B18:B19"/>
    <mergeCell ref="G18:G19"/>
    <mergeCell ref="O16:O17"/>
    <mergeCell ref="P16:P17"/>
    <mergeCell ref="AG16:AG17"/>
    <mergeCell ref="AH16:AH17"/>
    <mergeCell ref="AI16:AI17"/>
    <mergeCell ref="F18:F19"/>
    <mergeCell ref="AJ16:AJ17"/>
    <mergeCell ref="K16:K17"/>
    <mergeCell ref="L16:L17"/>
    <mergeCell ref="M16:M17"/>
    <mergeCell ref="N16:N17"/>
    <mergeCell ref="AJ18:AJ19"/>
    <mergeCell ref="O18:O19"/>
    <mergeCell ref="P18:P19"/>
    <mergeCell ref="AG18:AG19"/>
    <mergeCell ref="AH18:AH19"/>
    <mergeCell ref="AI18:AI19"/>
    <mergeCell ref="AI14:AI15"/>
    <mergeCell ref="AJ14:AJ15"/>
    <mergeCell ref="N14:N15"/>
    <mergeCell ref="O14:O15"/>
    <mergeCell ref="P14:P15"/>
    <mergeCell ref="AG14:AG15"/>
    <mergeCell ref="AH14:AH15"/>
    <mergeCell ref="A16:A17"/>
    <mergeCell ref="B16:B17"/>
    <mergeCell ref="C16:C17"/>
    <mergeCell ref="D16:D17"/>
    <mergeCell ref="E16:E17"/>
    <mergeCell ref="F16:F17"/>
    <mergeCell ref="G16:G17"/>
    <mergeCell ref="H16:H17"/>
    <mergeCell ref="M14:M15"/>
    <mergeCell ref="G14:G15"/>
    <mergeCell ref="H14:H15"/>
    <mergeCell ref="K14:K15"/>
    <mergeCell ref="L14:L15"/>
    <mergeCell ref="A14:A15"/>
    <mergeCell ref="B14:B15"/>
    <mergeCell ref="C14:C15"/>
    <mergeCell ref="D14:D15"/>
    <mergeCell ref="E14:E15"/>
    <mergeCell ref="F14:F15"/>
    <mergeCell ref="AE12:AE13"/>
    <mergeCell ref="AF12:AF13"/>
    <mergeCell ref="AG12:AG13"/>
    <mergeCell ref="AH12:AH13"/>
    <mergeCell ref="AI12:AI13"/>
    <mergeCell ref="AJ12:AJ13"/>
    <mergeCell ref="Y12:Y13"/>
    <mergeCell ref="Z12:Z13"/>
    <mergeCell ref="AA12:AA13"/>
    <mergeCell ref="AB12:AB13"/>
    <mergeCell ref="AC12:AC13"/>
    <mergeCell ref="AD12:AD13"/>
    <mergeCell ref="S12:S13"/>
    <mergeCell ref="T12:T13"/>
    <mergeCell ref="U12:U13"/>
    <mergeCell ref="V12:V13"/>
    <mergeCell ref="W12:W13"/>
    <mergeCell ref="X12:X13"/>
    <mergeCell ref="M12:M13"/>
    <mergeCell ref="N12:N13"/>
    <mergeCell ref="O12:O13"/>
    <mergeCell ref="P12:P13"/>
    <mergeCell ref="Q12:Q13"/>
    <mergeCell ref="R12:R13"/>
    <mergeCell ref="G12:G13"/>
    <mergeCell ref="H12:H13"/>
    <mergeCell ref="I12:I13"/>
    <mergeCell ref="J12:J13"/>
    <mergeCell ref="K12:K13"/>
    <mergeCell ref="L12:L13"/>
    <mergeCell ref="A12:A13"/>
    <mergeCell ref="B12:B13"/>
    <mergeCell ref="C12:C13"/>
    <mergeCell ref="D12:D13"/>
    <mergeCell ref="E12:E13"/>
    <mergeCell ref="F12:F13"/>
    <mergeCell ref="AB6:AE10"/>
    <mergeCell ref="AF6:AG10"/>
    <mergeCell ref="AH6:AH10"/>
    <mergeCell ref="AI6:AI10"/>
    <mergeCell ref="A11:F11"/>
    <mergeCell ref="G11:P11"/>
    <mergeCell ref="Q11:AF11"/>
    <mergeCell ref="AG11:AJ11"/>
    <mergeCell ref="K6:L10"/>
    <mergeCell ref="M6:M10"/>
    <mergeCell ref="N6:P10"/>
    <mergeCell ref="Q6:S10"/>
    <mergeCell ref="T6:W10"/>
    <mergeCell ref="X6:AA10"/>
    <mergeCell ref="A1:C3"/>
    <mergeCell ref="A4:A5"/>
    <mergeCell ref="G4:G5"/>
    <mergeCell ref="A6:B10"/>
    <mergeCell ref="C6:D10"/>
    <mergeCell ref="E6:F10"/>
    <mergeCell ref="G6:G10"/>
    <mergeCell ref="H6:I10"/>
    <mergeCell ref="J6:J10"/>
    <mergeCell ref="O36:O37"/>
    <mergeCell ref="P36:P37"/>
    <mergeCell ref="O26:O27"/>
    <mergeCell ref="P26:P27"/>
    <mergeCell ref="O28:O29"/>
    <mergeCell ref="P28:P29"/>
    <mergeCell ref="O30:O31"/>
    <mergeCell ref="P30:P31"/>
    <mergeCell ref="O32:O33"/>
    <mergeCell ref="P32:P33"/>
    <mergeCell ref="O34:O35"/>
    <mergeCell ref="P34:P35"/>
  </mergeCells>
  <conditionalFormatting sqref="I4">
    <cfRule type="cellIs" dxfId="50" priority="13" operator="lessThanOrEqual">
      <formula>$C$4</formula>
    </cfRule>
  </conditionalFormatting>
  <conditionalFormatting sqref="J6 S14:S25">
    <cfRule type="cellIs" dxfId="49" priority="14" operator="greaterThanOrEqual">
      <formula>$C$5</formula>
    </cfRule>
    <cfRule type="cellIs" dxfId="48" priority="15" operator="lessThanOrEqual">
      <formula>$C$4</formula>
    </cfRule>
    <cfRule type="cellIs" dxfId="47" priority="16" operator="between">
      <formula>$C$5</formula>
      <formula>$C$4</formula>
    </cfRule>
  </conditionalFormatting>
  <conditionalFormatting sqref="Q6">
    <cfRule type="cellIs" dxfId="46" priority="10" operator="greaterThanOrEqual">
      <formula>$I$5</formula>
    </cfRule>
    <cfRule type="cellIs" dxfId="45" priority="11" operator="lessThanOrEqual">
      <formula>$I$4</formula>
    </cfRule>
    <cfRule type="cellIs" dxfId="44" priority="12" operator="between">
      <formula>$I$5</formula>
      <formula>$I$4</formula>
    </cfRule>
  </conditionalFormatting>
  <conditionalFormatting sqref="U27:U30 Y27:Y30 Q27:Q32 AC27:AC32 K28:N28 R28:T28 V28:X28 Z28:AB28 AD28:AF28 J36">
    <cfRule type="cellIs" dxfId="43" priority="17" operator="greaterThanOrEqual">
      <formula>$D$9</formula>
    </cfRule>
    <cfRule type="cellIs" dxfId="42" priority="18" operator="lessThanOrEqual">
      <formula>$C$6</formula>
    </cfRule>
    <cfRule type="cellIs" dxfId="41" priority="19" operator="between">
      <formula>$C$6</formula>
      <formula>$D$9</formula>
    </cfRule>
  </conditionalFormatting>
  <conditionalFormatting sqref="X6">
    <cfRule type="cellIs" dxfId="40" priority="7" operator="greaterThanOrEqual">
      <formula>$I$5</formula>
    </cfRule>
    <cfRule type="cellIs" dxfId="39" priority="8" operator="lessThanOrEqual">
      <formula>$I$4</formula>
    </cfRule>
    <cfRule type="cellIs" dxfId="38" priority="9" operator="between">
      <formula>$I$5</formula>
      <formula>$I$4</formula>
    </cfRule>
  </conditionalFormatting>
  <conditionalFormatting sqref="AF6">
    <cfRule type="cellIs" dxfId="37" priority="4" operator="greaterThanOrEqual">
      <formula>$I$5</formula>
    </cfRule>
    <cfRule type="cellIs" dxfId="36" priority="5" operator="lessThanOrEqual">
      <formula>$I$4</formula>
    </cfRule>
    <cfRule type="cellIs" dxfId="35" priority="6" operator="between">
      <formula>$I$5</formula>
      <formula>$I$4</formula>
    </cfRule>
  </conditionalFormatting>
  <conditionalFormatting sqref="AI6">
    <cfRule type="cellIs" dxfId="34" priority="1" operator="greaterThanOrEqual">
      <formula>$I$5</formula>
    </cfRule>
    <cfRule type="cellIs" dxfId="33" priority="2" operator="lessThanOrEqual">
      <formula>$I$4</formula>
    </cfRule>
    <cfRule type="cellIs" dxfId="32" priority="3" operator="between">
      <formula>$I$5</formula>
      <formula>$I$4</formula>
    </cfRule>
  </conditionalFormatting>
  <dataValidations count="4">
    <dataValidation type="decimal" allowBlank="1" showInputMessage="1" showErrorMessage="1" prompt="% de avance en la actividad - indique el % programado de avance durante esta semana_x000a_" sqref="T14:AF19 T21:V25 W20:AF25" xr:uid="{A9000514-AA45-47E5-82D7-863A9A552A32}">
      <formula1>0</formula1>
      <formula2>1</formula2>
    </dataValidation>
    <dataValidation type="decimal" allowBlank="1" showInputMessage="1" showErrorMessage="1" prompt="campo calculado  - indica el % de avance  que aporta la activadad a todo el proyecto" sqref="R19 R15 R21 R17 R23 R25" xr:uid="{10FD6C5A-A1E8-4311-AF08-4E084ED7A316}">
      <formula1>0</formula1>
      <formula2>1</formula2>
    </dataValidation>
    <dataValidation type="decimal" allowBlank="1" showInputMessage="1" showErrorMessage="1" prompt="valor porcentual de la activida - Indique el peso porcentual de la actividad dentro del proyecto" sqref="R14 R24 R18 R20 R16 R22" xr:uid="{AF9CAF99-75DC-4ADE-98EB-F477A4823311}">
      <formula1>0</formula1>
      <formula2>1</formula2>
    </dataValidation>
    <dataValidation allowBlank="1" showErrorMessage="1" sqref="S14:S25" xr:uid="{2A88D4F1-7D99-4CC6-8C5E-9BAA19C581FF}"/>
  </dataValidations>
  <pageMargins left="0.7" right="0.7" top="0.75" bottom="0.75" header="0.3" footer="0.3"/>
  <pageSetup scale="12" orientation="portrait" r:id="rId1"/>
  <headerFooter>
    <oddFooter>&amp;C_x000D_&amp;1#&amp;"Calibri"&amp;10&amp;K000000 DOCUMENTO DE USO INTERNO</oddFoot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76701-085D-444A-91F9-1254BD03F842}">
  <dimension ref="A1:AH102"/>
  <sheetViews>
    <sheetView showGridLines="0" zoomScale="80" zoomScaleNormal="80" zoomScaleSheetLayoutView="50" zoomScalePageLayoutView="48" workbookViewId="0">
      <selection sqref="A1:C3"/>
    </sheetView>
  </sheetViews>
  <sheetFormatPr baseColWidth="10" defaultColWidth="12.54296875" defaultRowHeight="15" customHeight="1" x14ac:dyDescent="0.35"/>
  <cols>
    <col min="1" max="1" width="7.36328125" style="1" customWidth="1"/>
    <col min="2" max="4" width="28.54296875" style="1" customWidth="1"/>
    <col min="5" max="5" width="36.453125" style="1" customWidth="1"/>
    <col min="6" max="6" width="28.54296875" style="1" hidden="1" customWidth="1"/>
    <col min="7" max="7" width="28.54296875" style="1" customWidth="1"/>
    <col min="8" max="8" width="54.90625" style="1" customWidth="1"/>
    <col min="9" max="10" width="28.54296875" style="1" customWidth="1"/>
    <col min="11" max="12" width="19.54296875" style="1" customWidth="1"/>
    <col min="13" max="13" width="28.54296875" style="1" customWidth="1"/>
    <col min="14" max="14" width="18.36328125" style="1" customWidth="1"/>
    <col min="15" max="17" width="13.6328125" style="1" hidden="1" customWidth="1"/>
    <col min="18" max="30" width="9.54296875" style="1" hidden="1" customWidth="1"/>
    <col min="31" max="31" width="35.6328125" style="1" hidden="1" customWidth="1"/>
    <col min="32" max="34" width="42.54296875" style="1" hidden="1" customWidth="1"/>
    <col min="35" max="16384" width="12.54296875" style="1"/>
  </cols>
  <sheetData>
    <row r="1" spans="1:34" s="55" customFormat="1" ht="15" customHeight="1" x14ac:dyDescent="0.35">
      <c r="A1" s="449"/>
      <c r="B1" s="450"/>
      <c r="C1" s="451"/>
      <c r="D1" s="505" t="s">
        <v>1609</v>
      </c>
      <c r="E1" s="505"/>
      <c r="F1" s="505"/>
      <c r="G1" s="505"/>
      <c r="H1" s="505"/>
      <c r="I1" s="505"/>
      <c r="J1" s="505"/>
      <c r="K1" s="505"/>
      <c r="L1" s="505"/>
      <c r="M1" s="505"/>
      <c r="N1" s="505"/>
      <c r="O1" s="505"/>
      <c r="P1" s="505"/>
      <c r="Q1" s="505"/>
      <c r="R1" s="505"/>
      <c r="S1" s="505"/>
      <c r="T1" s="505"/>
      <c r="U1" s="505"/>
      <c r="V1" s="505"/>
      <c r="W1" s="505"/>
      <c r="X1" s="505"/>
      <c r="Y1" s="505"/>
      <c r="Z1" s="505"/>
      <c r="AA1" s="505"/>
      <c r="AB1" s="505"/>
      <c r="AC1" s="505"/>
      <c r="AD1" s="505"/>
      <c r="AE1" s="505"/>
      <c r="AF1" s="505"/>
      <c r="AG1" s="505"/>
      <c r="AH1" s="505"/>
    </row>
    <row r="2" spans="1:34" s="55" customFormat="1" ht="20.149999999999999" customHeight="1" x14ac:dyDescent="0.35">
      <c r="A2" s="452"/>
      <c r="B2" s="453"/>
      <c r="C2" s="454"/>
      <c r="D2" s="505"/>
      <c r="E2" s="505"/>
      <c r="F2" s="505"/>
      <c r="G2" s="505"/>
      <c r="H2" s="505"/>
      <c r="I2" s="505"/>
      <c r="J2" s="505"/>
      <c r="K2" s="505"/>
      <c r="L2" s="505"/>
      <c r="M2" s="505"/>
      <c r="N2" s="505"/>
      <c r="O2" s="505"/>
      <c r="P2" s="505"/>
      <c r="Q2" s="505"/>
      <c r="R2" s="505"/>
      <c r="S2" s="505"/>
      <c r="T2" s="505"/>
      <c r="U2" s="505"/>
      <c r="V2" s="505"/>
      <c r="W2" s="505"/>
      <c r="X2" s="505"/>
      <c r="Y2" s="505"/>
      <c r="Z2" s="505"/>
      <c r="AA2" s="505"/>
      <c r="AB2" s="505"/>
      <c r="AC2" s="505"/>
      <c r="AD2" s="505"/>
      <c r="AE2" s="505"/>
      <c r="AF2" s="505"/>
      <c r="AG2" s="505"/>
      <c r="AH2" s="505"/>
    </row>
    <row r="3" spans="1:34" s="55" customFormat="1" ht="60" customHeight="1" thickBot="1" x14ac:dyDescent="0.4">
      <c r="A3" s="455"/>
      <c r="B3" s="456"/>
      <c r="C3" s="457"/>
      <c r="D3" s="505"/>
      <c r="E3" s="505"/>
      <c r="F3" s="505"/>
      <c r="G3" s="505"/>
      <c r="H3" s="505"/>
      <c r="I3" s="505"/>
      <c r="J3" s="505"/>
      <c r="K3" s="505"/>
      <c r="L3" s="505"/>
      <c r="M3" s="505"/>
      <c r="N3" s="505"/>
      <c r="O3" s="505"/>
      <c r="P3" s="505"/>
      <c r="Q3" s="505"/>
      <c r="R3" s="505"/>
      <c r="S3" s="505"/>
      <c r="T3" s="505"/>
      <c r="U3" s="505"/>
      <c r="V3" s="505"/>
      <c r="W3" s="505"/>
      <c r="X3" s="505"/>
      <c r="Y3" s="505"/>
      <c r="Z3" s="505"/>
      <c r="AA3" s="505"/>
      <c r="AB3" s="505"/>
      <c r="AC3" s="505"/>
      <c r="AD3" s="505"/>
      <c r="AE3" s="505"/>
      <c r="AF3" s="505"/>
      <c r="AG3" s="505"/>
      <c r="AH3" s="505"/>
    </row>
    <row r="4" spans="1:34" s="55" customFormat="1" ht="60" hidden="1" customHeight="1" thickBot="1" x14ac:dyDescent="0.4">
      <c r="A4" s="447" t="s">
        <v>34</v>
      </c>
      <c r="B4" s="8" t="s">
        <v>35</v>
      </c>
      <c r="C4" s="10">
        <v>0.7</v>
      </c>
      <c r="D4" s="10"/>
      <c r="E4" s="10"/>
      <c r="F4" s="9"/>
      <c r="G4" s="447" t="s">
        <v>36</v>
      </c>
      <c r="H4" s="8" t="s">
        <v>35</v>
      </c>
      <c r="I4" s="10">
        <v>0.7</v>
      </c>
      <c r="J4" s="56"/>
      <c r="K4" s="57"/>
      <c r="L4" s="57"/>
      <c r="M4" s="57"/>
      <c r="N4" s="57"/>
      <c r="O4" s="57"/>
      <c r="P4" s="57"/>
      <c r="Q4" s="57"/>
      <c r="R4" s="57"/>
      <c r="S4" s="57"/>
      <c r="T4" s="57"/>
      <c r="U4" s="57"/>
      <c r="V4" s="57"/>
      <c r="W4" s="57"/>
      <c r="X4" s="57"/>
      <c r="Y4" s="57"/>
      <c r="Z4" s="57"/>
      <c r="AA4" s="57"/>
      <c r="AB4" s="57"/>
      <c r="AC4" s="57"/>
      <c r="AD4" s="57"/>
      <c r="AE4" s="57"/>
      <c r="AF4" s="57"/>
    </row>
    <row r="5" spans="1:34" s="55" customFormat="1" ht="60" hidden="1" customHeight="1" x14ac:dyDescent="0.35">
      <c r="A5" s="447"/>
      <c r="B5" s="8" t="s">
        <v>37</v>
      </c>
      <c r="C5" s="11">
        <v>0.9</v>
      </c>
      <c r="D5" s="11"/>
      <c r="E5" s="11"/>
      <c r="F5" s="11">
        <v>1</v>
      </c>
      <c r="G5" s="447"/>
      <c r="H5" s="8" t="s">
        <v>37</v>
      </c>
      <c r="I5" s="11">
        <v>0.95</v>
      </c>
      <c r="J5" s="56"/>
      <c r="K5" s="57"/>
      <c r="L5" s="57"/>
      <c r="M5" s="57"/>
      <c r="N5" s="57"/>
      <c r="O5" s="57"/>
      <c r="P5" s="57"/>
      <c r="Q5" s="57"/>
      <c r="R5" s="57"/>
      <c r="S5" s="57"/>
      <c r="T5" s="57"/>
      <c r="U5" s="57"/>
      <c r="V5" s="57"/>
      <c r="W5" s="57"/>
      <c r="X5" s="57"/>
      <c r="Y5" s="57"/>
      <c r="Z5" s="57"/>
      <c r="AA5" s="57"/>
      <c r="AB5" s="57"/>
      <c r="AC5" s="57"/>
      <c r="AD5" s="57"/>
      <c r="AE5" s="57"/>
      <c r="AF5" s="57"/>
    </row>
    <row r="6" spans="1:34" ht="20.149999999999999" hidden="1" customHeight="1" x14ac:dyDescent="0.35">
      <c r="A6" s="597" t="s">
        <v>38</v>
      </c>
      <c r="B6" s="597"/>
      <c r="C6" s="534" t="s">
        <v>127</v>
      </c>
      <c r="D6" s="534"/>
      <c r="E6" s="598" t="s">
        <v>40</v>
      </c>
      <c r="F6" s="598"/>
      <c r="G6" s="536">
        <f>+P15+P17+P19</f>
        <v>1</v>
      </c>
      <c r="H6" s="598" t="s">
        <v>256</v>
      </c>
      <c r="I6" s="598"/>
      <c r="J6" s="650">
        <f>+P14+P16+P18</f>
        <v>1</v>
      </c>
      <c r="K6" s="603" t="s">
        <v>41</v>
      </c>
      <c r="L6" s="604"/>
      <c r="M6" s="485">
        <v>0.95</v>
      </c>
      <c r="N6" s="634" t="s">
        <v>1610</v>
      </c>
      <c r="O6" s="1028"/>
      <c r="P6" s="470">
        <f>(SUM(AD14,AD16,W18:AD19)/SUM(AD15,W16:AD17,AD19))/M6</f>
        <v>1.0526315789473684</v>
      </c>
      <c r="Q6" s="472"/>
      <c r="R6" s="658"/>
      <c r="S6" s="659"/>
      <c r="T6" s="659"/>
      <c r="U6" s="659"/>
      <c r="V6" s="659"/>
      <c r="W6" s="659"/>
      <c r="X6" s="659"/>
      <c r="Y6" s="659"/>
      <c r="Z6" s="659"/>
      <c r="AA6" s="659"/>
      <c r="AB6" s="659"/>
      <c r="AC6" s="659"/>
      <c r="AD6" s="659"/>
      <c r="AE6" s="659"/>
      <c r="AF6" s="659"/>
      <c r="AG6" s="659"/>
      <c r="AH6" s="659"/>
    </row>
    <row r="7" spans="1:34" ht="15" hidden="1" customHeight="1" x14ac:dyDescent="0.35">
      <c r="A7" s="597"/>
      <c r="B7" s="597"/>
      <c r="C7" s="534"/>
      <c r="D7" s="534"/>
      <c r="E7" s="598"/>
      <c r="F7" s="598"/>
      <c r="G7" s="537"/>
      <c r="H7" s="598"/>
      <c r="I7" s="598"/>
      <c r="J7" s="651"/>
      <c r="K7" s="605"/>
      <c r="L7" s="606"/>
      <c r="M7" s="486"/>
      <c r="N7" s="634"/>
      <c r="O7" s="1028"/>
      <c r="P7" s="473"/>
      <c r="Q7" s="475"/>
      <c r="R7" s="658"/>
      <c r="S7" s="659"/>
      <c r="T7" s="659"/>
      <c r="U7" s="659"/>
      <c r="V7" s="659"/>
      <c r="W7" s="659"/>
      <c r="X7" s="659"/>
      <c r="Y7" s="659"/>
      <c r="Z7" s="659"/>
      <c r="AA7" s="659"/>
      <c r="AB7" s="659"/>
      <c r="AC7" s="659"/>
      <c r="AD7" s="659"/>
      <c r="AE7" s="659"/>
      <c r="AF7" s="659"/>
      <c r="AG7" s="659"/>
      <c r="AH7" s="659"/>
    </row>
    <row r="8" spans="1:34" ht="25.4" hidden="1" customHeight="1" x14ac:dyDescent="0.35">
      <c r="A8" s="597"/>
      <c r="B8" s="597"/>
      <c r="C8" s="534"/>
      <c r="D8" s="534"/>
      <c r="E8" s="598"/>
      <c r="F8" s="598"/>
      <c r="G8" s="537"/>
      <c r="H8" s="598"/>
      <c r="I8" s="598"/>
      <c r="J8" s="651"/>
      <c r="K8" s="605"/>
      <c r="L8" s="606"/>
      <c r="M8" s="486"/>
      <c r="N8" s="634"/>
      <c r="O8" s="1028"/>
      <c r="P8" s="473"/>
      <c r="Q8" s="475"/>
      <c r="R8" s="658"/>
      <c r="S8" s="659"/>
      <c r="T8" s="659"/>
      <c r="U8" s="659"/>
      <c r="V8" s="659"/>
      <c r="W8" s="659"/>
      <c r="X8" s="659"/>
      <c r="Y8" s="659"/>
      <c r="Z8" s="659"/>
      <c r="AA8" s="659"/>
      <c r="AB8" s="659"/>
      <c r="AC8" s="659"/>
      <c r="AD8" s="659"/>
      <c r="AE8" s="659"/>
      <c r="AF8" s="659"/>
      <c r="AG8" s="659"/>
      <c r="AH8" s="659"/>
    </row>
    <row r="9" spans="1:34" ht="25.4" hidden="1" customHeight="1" thickBot="1" x14ac:dyDescent="0.4">
      <c r="A9" s="597"/>
      <c r="B9" s="597"/>
      <c r="C9" s="534"/>
      <c r="D9" s="534"/>
      <c r="E9" s="598"/>
      <c r="F9" s="598"/>
      <c r="G9" s="537"/>
      <c r="H9" s="598"/>
      <c r="I9" s="598"/>
      <c r="J9" s="651"/>
      <c r="K9" s="605"/>
      <c r="L9" s="606"/>
      <c r="M9" s="486"/>
      <c r="N9" s="634"/>
      <c r="O9" s="1028"/>
      <c r="P9" s="473"/>
      <c r="Q9" s="475"/>
      <c r="R9" s="658"/>
      <c r="S9" s="659"/>
      <c r="T9" s="659"/>
      <c r="U9" s="659"/>
      <c r="V9" s="659"/>
      <c r="W9" s="659"/>
      <c r="X9" s="659"/>
      <c r="Y9" s="659"/>
      <c r="Z9" s="659"/>
      <c r="AA9" s="659"/>
      <c r="AB9" s="659"/>
      <c r="AC9" s="659"/>
      <c r="AD9" s="659"/>
      <c r="AE9" s="659"/>
      <c r="AF9" s="659"/>
      <c r="AG9" s="659"/>
      <c r="AH9" s="659"/>
    </row>
    <row r="10" spans="1:34" ht="15" hidden="1" customHeight="1" thickBot="1" x14ac:dyDescent="0.4">
      <c r="A10" s="597"/>
      <c r="B10" s="597"/>
      <c r="C10" s="534"/>
      <c r="D10" s="534"/>
      <c r="E10" s="598"/>
      <c r="F10" s="598"/>
      <c r="G10" s="599"/>
      <c r="H10" s="598"/>
      <c r="I10" s="598"/>
      <c r="J10" s="652"/>
      <c r="K10" s="607"/>
      <c r="L10" s="608"/>
      <c r="M10" s="487"/>
      <c r="N10" s="634"/>
      <c r="O10" s="1028"/>
      <c r="P10" s="476"/>
      <c r="Q10" s="478"/>
      <c r="R10" s="658"/>
      <c r="S10" s="659"/>
      <c r="T10" s="659"/>
      <c r="U10" s="659"/>
      <c r="V10" s="659"/>
      <c r="W10" s="659"/>
      <c r="X10" s="659"/>
      <c r="Y10" s="659"/>
      <c r="Z10" s="659"/>
      <c r="AA10" s="659"/>
      <c r="AB10" s="659"/>
      <c r="AC10" s="659"/>
      <c r="AD10" s="659"/>
      <c r="AE10" s="659"/>
      <c r="AF10" s="659"/>
      <c r="AG10" s="659"/>
      <c r="AH10" s="659"/>
    </row>
    <row r="11" spans="1:34" s="12" customFormat="1" ht="40.4" customHeight="1" thickBot="1" x14ac:dyDescent="0.4">
      <c r="A11" s="432" t="s">
        <v>46</v>
      </c>
      <c r="B11" s="432"/>
      <c r="C11" s="432"/>
      <c r="D11" s="432"/>
      <c r="E11" s="432"/>
      <c r="F11" s="433"/>
      <c r="G11" s="434" t="s">
        <v>47</v>
      </c>
      <c r="H11" s="435"/>
      <c r="I11" s="435"/>
      <c r="J11" s="435"/>
      <c r="K11" s="435"/>
      <c r="L11" s="435"/>
      <c r="M11" s="435"/>
      <c r="N11" s="435"/>
      <c r="O11" s="653" t="s">
        <v>48</v>
      </c>
      <c r="P11" s="654"/>
      <c r="Q11" s="654"/>
      <c r="R11" s="654"/>
      <c r="S11" s="654"/>
      <c r="T11" s="654"/>
      <c r="U11" s="654"/>
      <c r="V11" s="654"/>
      <c r="W11" s="654"/>
      <c r="X11" s="654"/>
      <c r="Y11" s="654"/>
      <c r="Z11" s="654"/>
      <c r="AA11" s="654"/>
      <c r="AB11" s="654"/>
      <c r="AC11" s="654"/>
      <c r="AD11" s="655"/>
      <c r="AE11" s="653" t="s">
        <v>49</v>
      </c>
      <c r="AF11" s="654"/>
      <c r="AG11" s="654"/>
      <c r="AH11" s="654"/>
    </row>
    <row r="12" spans="1:34" ht="39" customHeight="1" x14ac:dyDescent="0.35">
      <c r="A12" s="437" t="s">
        <v>50</v>
      </c>
      <c r="B12" s="439" t="s">
        <v>51</v>
      </c>
      <c r="C12" s="439" t="s">
        <v>52</v>
      </c>
      <c r="D12" s="439" t="s">
        <v>53</v>
      </c>
      <c r="E12" s="439" t="s">
        <v>54</v>
      </c>
      <c r="F12" s="439" t="s">
        <v>29</v>
      </c>
      <c r="G12" s="439" t="s">
        <v>55</v>
      </c>
      <c r="H12" s="439" t="s">
        <v>306</v>
      </c>
      <c r="I12" s="439" t="s">
        <v>57</v>
      </c>
      <c r="J12" s="439" t="s">
        <v>58</v>
      </c>
      <c r="K12" s="439" t="s">
        <v>59</v>
      </c>
      <c r="L12" s="439" t="s">
        <v>60</v>
      </c>
      <c r="M12" s="439" t="s">
        <v>61</v>
      </c>
      <c r="N12" s="439" t="s">
        <v>62</v>
      </c>
      <c r="O12" s="681" t="s">
        <v>63</v>
      </c>
      <c r="P12" s="682" t="s">
        <v>64</v>
      </c>
      <c r="Q12" s="683" t="s">
        <v>65</v>
      </c>
      <c r="R12" s="669" t="s">
        <v>66</v>
      </c>
      <c r="S12" s="667" t="s">
        <v>67</v>
      </c>
      <c r="T12" s="665" t="s">
        <v>68</v>
      </c>
      <c r="U12" s="671" t="s">
        <v>69</v>
      </c>
      <c r="V12" s="673" t="s">
        <v>70</v>
      </c>
      <c r="W12" s="671" t="s">
        <v>71</v>
      </c>
      <c r="X12" s="665" t="s">
        <v>71</v>
      </c>
      <c r="Y12" s="667" t="s">
        <v>73</v>
      </c>
      <c r="Z12" s="669" t="s">
        <v>74</v>
      </c>
      <c r="AA12" s="667" t="s">
        <v>75</v>
      </c>
      <c r="AB12" s="665" t="s">
        <v>76</v>
      </c>
      <c r="AC12" s="671" t="s">
        <v>77</v>
      </c>
      <c r="AD12" s="662" t="s">
        <v>78</v>
      </c>
      <c r="AE12" s="664" t="s">
        <v>79</v>
      </c>
      <c r="AF12" s="664" t="s">
        <v>80</v>
      </c>
      <c r="AG12" s="664" t="s">
        <v>81</v>
      </c>
      <c r="AH12" s="664" t="s">
        <v>82</v>
      </c>
    </row>
    <row r="13" spans="1:34" ht="60" customHeight="1" thickBot="1" x14ac:dyDescent="0.4">
      <c r="A13" s="438"/>
      <c r="B13" s="438"/>
      <c r="C13" s="438"/>
      <c r="D13" s="438"/>
      <c r="E13" s="438"/>
      <c r="F13" s="438"/>
      <c r="G13" s="438"/>
      <c r="H13" s="438"/>
      <c r="I13" s="438"/>
      <c r="J13" s="438"/>
      <c r="K13" s="438"/>
      <c r="L13" s="438"/>
      <c r="M13" s="438"/>
      <c r="N13" s="438"/>
      <c r="O13" s="681"/>
      <c r="P13" s="682"/>
      <c r="Q13" s="683"/>
      <c r="R13" s="670"/>
      <c r="S13" s="668"/>
      <c r="T13" s="666"/>
      <c r="U13" s="672"/>
      <c r="V13" s="674"/>
      <c r="W13" s="672"/>
      <c r="X13" s="666"/>
      <c r="Y13" s="668"/>
      <c r="Z13" s="670"/>
      <c r="AA13" s="668"/>
      <c r="AB13" s="666"/>
      <c r="AC13" s="672"/>
      <c r="AD13" s="663"/>
      <c r="AE13" s="664"/>
      <c r="AF13" s="664"/>
      <c r="AG13" s="664"/>
      <c r="AH13" s="664"/>
    </row>
    <row r="14" spans="1:34" ht="57.65" customHeight="1" thickBot="1" x14ac:dyDescent="0.4">
      <c r="A14" s="442">
        <v>1</v>
      </c>
      <c r="B14" s="445" t="s">
        <v>116</v>
      </c>
      <c r="C14" s="721" t="s">
        <v>1212</v>
      </c>
      <c r="D14" s="426" t="s">
        <v>85</v>
      </c>
      <c r="E14" s="426" t="s">
        <v>126</v>
      </c>
      <c r="F14" s="424" t="s">
        <v>1118</v>
      </c>
      <c r="G14" s="426" t="s">
        <v>1611</v>
      </c>
      <c r="H14" s="426" t="s">
        <v>1612</v>
      </c>
      <c r="I14" s="426" t="s">
        <v>1613</v>
      </c>
      <c r="J14" s="416" t="s">
        <v>91</v>
      </c>
      <c r="K14" s="416" t="s">
        <v>91</v>
      </c>
      <c r="L14" s="416" t="s">
        <v>179</v>
      </c>
      <c r="M14" s="1029">
        <v>46054</v>
      </c>
      <c r="N14" s="1029">
        <v>46387</v>
      </c>
      <c r="O14" s="59" t="s">
        <v>93</v>
      </c>
      <c r="P14" s="53">
        <f>+(P15*Q14)</f>
        <v>0.33333333333333331</v>
      </c>
      <c r="Q14" s="65">
        <f>SUM(R14:AD14)</f>
        <v>1</v>
      </c>
      <c r="R14" s="43"/>
      <c r="S14" s="43"/>
      <c r="T14" s="43"/>
      <c r="U14" s="43"/>
      <c r="V14" s="43"/>
      <c r="W14" s="43"/>
      <c r="X14" s="43"/>
      <c r="Y14" s="43"/>
      <c r="Z14" s="44"/>
      <c r="AA14" s="44"/>
      <c r="AB14" s="44"/>
      <c r="AC14" s="44"/>
      <c r="AD14" s="43">
        <v>1</v>
      </c>
      <c r="AE14" s="573" t="s">
        <v>1614</v>
      </c>
      <c r="AF14" s="573" t="s">
        <v>1614</v>
      </c>
      <c r="AG14" s="677" t="s">
        <v>1615</v>
      </c>
      <c r="AH14" s="677" t="s">
        <v>1616</v>
      </c>
    </row>
    <row r="15" spans="1:34" ht="57.65" customHeight="1" thickBot="1" x14ac:dyDescent="0.4">
      <c r="A15" s="443"/>
      <c r="B15" s="445"/>
      <c r="C15" s="721"/>
      <c r="D15" s="427" t="s">
        <v>85</v>
      </c>
      <c r="E15" s="427"/>
      <c r="F15" s="441"/>
      <c r="G15" s="427"/>
      <c r="H15" s="427"/>
      <c r="I15" s="427"/>
      <c r="J15" s="417"/>
      <c r="K15" s="417"/>
      <c r="L15" s="417"/>
      <c r="M15" s="1030"/>
      <c r="N15" s="1030"/>
      <c r="O15" s="59" t="s">
        <v>98</v>
      </c>
      <c r="P15" s="52">
        <f>100%/3</f>
        <v>0.33333333333333331</v>
      </c>
      <c r="Q15" s="65">
        <f t="shared" ref="Q15:Q19" si="0">SUM(R15:AD15)</f>
        <v>1</v>
      </c>
      <c r="R15" s="42"/>
      <c r="S15" s="42"/>
      <c r="T15" s="42"/>
      <c r="U15" s="42"/>
      <c r="V15" s="42"/>
      <c r="W15" s="42"/>
      <c r="X15" s="42"/>
      <c r="Y15" s="42"/>
      <c r="Z15" s="42"/>
      <c r="AA15" s="42"/>
      <c r="AB15" s="42"/>
      <c r="AC15" s="42"/>
      <c r="AD15" s="42">
        <v>1</v>
      </c>
      <c r="AE15" s="574"/>
      <c r="AF15" s="574"/>
      <c r="AG15" s="678"/>
      <c r="AH15" s="678"/>
    </row>
    <row r="16" spans="1:34" ht="57.65" customHeight="1" thickBot="1" x14ac:dyDescent="0.4">
      <c r="A16" s="426">
        <v>2</v>
      </c>
      <c r="B16" s="445" t="s">
        <v>116</v>
      </c>
      <c r="C16" s="721" t="s">
        <v>1212</v>
      </c>
      <c r="D16" s="426" t="s">
        <v>85</v>
      </c>
      <c r="E16" s="426" t="s">
        <v>126</v>
      </c>
      <c r="F16" s="424" t="s">
        <v>1118</v>
      </c>
      <c r="G16" s="426" t="s">
        <v>1611</v>
      </c>
      <c r="H16" s="426" t="s">
        <v>1617</v>
      </c>
      <c r="I16" s="426" t="s">
        <v>1618</v>
      </c>
      <c r="J16" s="416" t="s">
        <v>91</v>
      </c>
      <c r="K16" s="416" t="s">
        <v>91</v>
      </c>
      <c r="L16" s="416" t="s">
        <v>179</v>
      </c>
      <c r="M16" s="1029">
        <v>46054</v>
      </c>
      <c r="N16" s="1029">
        <v>46387</v>
      </c>
      <c r="O16" s="59" t="s">
        <v>93</v>
      </c>
      <c r="P16" s="53">
        <f>+(P17*Q16)</f>
        <v>0.33333333333333331</v>
      </c>
      <c r="Q16" s="65">
        <f t="shared" si="0"/>
        <v>1</v>
      </c>
      <c r="R16" s="43"/>
      <c r="S16" s="43"/>
      <c r="T16" s="43"/>
      <c r="U16" s="43"/>
      <c r="V16" s="43"/>
      <c r="W16" s="43"/>
      <c r="X16" s="43"/>
      <c r="Y16" s="43"/>
      <c r="Z16" s="44"/>
      <c r="AA16" s="44"/>
      <c r="AB16" s="44"/>
      <c r="AC16" s="44"/>
      <c r="AD16" s="44">
        <v>1</v>
      </c>
      <c r="AE16" s="577"/>
      <c r="AF16" s="589" t="s">
        <v>1619</v>
      </c>
      <c r="AG16" s="677" t="s">
        <v>1620</v>
      </c>
      <c r="AH16" s="677" t="s">
        <v>1621</v>
      </c>
    </row>
    <row r="17" spans="1:34" ht="57.65" customHeight="1" thickBot="1" x14ac:dyDescent="0.4">
      <c r="A17" s="427"/>
      <c r="B17" s="445"/>
      <c r="C17" s="721"/>
      <c r="D17" s="427" t="s">
        <v>85</v>
      </c>
      <c r="E17" s="427"/>
      <c r="F17" s="425"/>
      <c r="G17" s="427"/>
      <c r="H17" s="427"/>
      <c r="I17" s="427"/>
      <c r="J17" s="417"/>
      <c r="K17" s="417"/>
      <c r="L17" s="417"/>
      <c r="M17" s="1030"/>
      <c r="N17" s="1030"/>
      <c r="O17" s="59" t="s">
        <v>98</v>
      </c>
      <c r="P17" s="52">
        <f>100%/3</f>
        <v>0.33333333333333331</v>
      </c>
      <c r="Q17" s="65">
        <f t="shared" si="0"/>
        <v>1</v>
      </c>
      <c r="R17" s="42"/>
      <c r="S17" s="42"/>
      <c r="T17" s="42"/>
      <c r="U17" s="42"/>
      <c r="V17" s="42"/>
      <c r="W17" s="42"/>
      <c r="X17" s="42"/>
      <c r="Y17" s="42"/>
      <c r="Z17" s="42"/>
      <c r="AA17" s="42"/>
      <c r="AB17" s="42"/>
      <c r="AC17" s="42"/>
      <c r="AD17" s="42">
        <v>1</v>
      </c>
      <c r="AE17" s="578"/>
      <c r="AF17" s="590"/>
      <c r="AG17" s="678"/>
      <c r="AH17" s="678"/>
    </row>
    <row r="18" spans="1:34" ht="57.65" customHeight="1" thickBot="1" x14ac:dyDescent="0.4">
      <c r="A18" s="426">
        <v>3</v>
      </c>
      <c r="B18" s="445" t="s">
        <v>116</v>
      </c>
      <c r="C18" s="721" t="s">
        <v>1212</v>
      </c>
      <c r="D18" s="426" t="s">
        <v>85</v>
      </c>
      <c r="E18" s="426" t="s">
        <v>126</v>
      </c>
      <c r="F18" s="424" t="s">
        <v>1118</v>
      </c>
      <c r="G18" s="426" t="s">
        <v>1622</v>
      </c>
      <c r="H18" s="426" t="s">
        <v>1623</v>
      </c>
      <c r="I18" s="426" t="s">
        <v>1618</v>
      </c>
      <c r="J18" s="416" t="s">
        <v>91</v>
      </c>
      <c r="K18" s="416" t="s">
        <v>91</v>
      </c>
      <c r="L18" s="416" t="s">
        <v>179</v>
      </c>
      <c r="M18" s="1029">
        <v>46054</v>
      </c>
      <c r="N18" s="1029">
        <v>46387</v>
      </c>
      <c r="O18" s="59" t="s">
        <v>93</v>
      </c>
      <c r="P18" s="53">
        <f>+(P19*Q18)</f>
        <v>0.33333333333333331</v>
      </c>
      <c r="Q18" s="65">
        <f t="shared" si="0"/>
        <v>1</v>
      </c>
      <c r="R18" s="43"/>
      <c r="S18" s="43"/>
      <c r="T18" s="43"/>
      <c r="U18" s="43"/>
      <c r="V18" s="43"/>
      <c r="W18" s="43"/>
      <c r="X18" s="43"/>
      <c r="Y18" s="43"/>
      <c r="Z18" s="44"/>
      <c r="AA18" s="44"/>
      <c r="AB18" s="44"/>
      <c r="AC18" s="44"/>
      <c r="AD18" s="44">
        <v>1</v>
      </c>
      <c r="AE18" s="577"/>
      <c r="AF18" s="589" t="s">
        <v>1619</v>
      </c>
      <c r="AG18" s="677" t="s">
        <v>1620</v>
      </c>
      <c r="AH18" s="677" t="s">
        <v>1621</v>
      </c>
    </row>
    <row r="19" spans="1:34" ht="57.65" customHeight="1" x14ac:dyDescent="0.35">
      <c r="A19" s="427"/>
      <c r="B19" s="445"/>
      <c r="C19" s="721"/>
      <c r="D19" s="427" t="s">
        <v>85</v>
      </c>
      <c r="E19" s="427"/>
      <c r="F19" s="425"/>
      <c r="G19" s="427"/>
      <c r="H19" s="427"/>
      <c r="I19" s="427"/>
      <c r="J19" s="417"/>
      <c r="K19" s="417"/>
      <c r="L19" s="417"/>
      <c r="M19" s="1030"/>
      <c r="N19" s="1030"/>
      <c r="O19" s="59" t="s">
        <v>98</v>
      </c>
      <c r="P19" s="52">
        <f>100%/3</f>
        <v>0.33333333333333331</v>
      </c>
      <c r="Q19" s="65">
        <f t="shared" si="0"/>
        <v>1</v>
      </c>
      <c r="R19" s="42"/>
      <c r="S19" s="42"/>
      <c r="T19" s="42"/>
      <c r="U19" s="42"/>
      <c r="V19" s="42"/>
      <c r="W19" s="42"/>
      <c r="X19" s="42"/>
      <c r="Y19" s="42"/>
      <c r="Z19" s="42"/>
      <c r="AA19" s="42"/>
      <c r="AB19" s="42"/>
      <c r="AC19" s="42"/>
      <c r="AD19" s="42">
        <v>1</v>
      </c>
      <c r="AE19" s="578"/>
      <c r="AF19" s="590"/>
      <c r="AG19" s="678"/>
      <c r="AH19" s="678"/>
    </row>
    <row r="20" spans="1:34" ht="15" hidden="1" customHeight="1" x14ac:dyDescent="0.35"/>
    <row r="21" spans="1:34" s="13" customFormat="1" ht="30" hidden="1" customHeight="1" x14ac:dyDescent="0.35">
      <c r="D21" s="421" t="s">
        <v>41</v>
      </c>
      <c r="E21" s="421"/>
      <c r="F21" s="21">
        <v>1</v>
      </c>
      <c r="H21" s="680" t="s">
        <v>1105</v>
      </c>
      <c r="I21" s="22" t="s">
        <v>153</v>
      </c>
      <c r="J21" s="54" t="e">
        <f>SUM(O21:AC21)</f>
        <v>#REF!</v>
      </c>
      <c r="K21" s="33"/>
      <c r="L21" s="33"/>
      <c r="M21" s="33"/>
      <c r="N21" s="33"/>
      <c r="O21" s="33" t="e">
        <f>+(AC14*$P$15)+(AC16*$P$17)+(AC18*$P$19)+(#REF!*#REF!)+(#REF!*#REF!)+(#REF!*#REF!)+(#REF!*#REF!)+(#REF!*#REF!)+(#REF!*#REF!)+(#REF!*#REF!)+(#REF!*#REF!)+(#REF!*#REF!)+(#REF!*#REF!)</f>
        <v>#REF!</v>
      </c>
      <c r="P21" s="36" t="e">
        <f>+(#REF!*$P$15)+(#REF!*$P$17)+(#REF!*$P$19)+(#REF!*#REF!)+(#REF!*#REF!)+(#REF!*#REF!)+(#REF!*#REF!)+(#REF!*#REF!)+(#REF!*#REF!)+(#REF!*#REF!)+(#REF!*#REF!)+(#REF!*#REF!)+(#REF!*#REF!)</f>
        <v>#REF!</v>
      </c>
      <c r="Q21" s="33" t="e">
        <f>+(#REF!*$P$15)+(#REF!*$P$17)+(#REF!*$P$19)+(#REF!*#REF!)+(#REF!*#REF!)+(#REF!*#REF!)+(#REF!*#REF!)+(#REF!*#REF!)+(#REF!*#REF!)+(#REF!*#REF!)+(#REF!*#REF!)+(#REF!*#REF!)+(#REF!*#REF!)</f>
        <v>#REF!</v>
      </c>
      <c r="R21" s="33" t="e">
        <f>+(#REF!*$P$15)+(#REF!*$P$17)+(#REF!*$P$19)+(#REF!*#REF!)+(#REF!*#REF!)+(#REF!*#REF!)+(#REF!*#REF!)+(#REF!*#REF!)+(#REF!*#REF!)+(#REF!*#REF!)+(#REF!*#REF!)+(#REF!*#REF!)+(#REF!*#REF!)</f>
        <v>#REF!</v>
      </c>
      <c r="S21" s="33" t="e">
        <f>+(#REF!*$P$15)+(#REF!*$P$17)+(#REF!*$P$19)+(#REF!*#REF!)+(#REF!*#REF!)+(#REF!*#REF!)+(#REF!*#REF!)+(#REF!*#REF!)+(#REF!*#REF!)+(#REF!*#REF!)+(#REF!*#REF!)+(#REF!*#REF!)+(#REF!*#REF!)</f>
        <v>#REF!</v>
      </c>
      <c r="T21" s="33" t="e">
        <f>+(#REF!*$P$15)+(#REF!*$P$17)+(#REF!*$P$19)+(#REF!*#REF!)+(#REF!*#REF!)+(#REF!*#REF!)+(#REF!*#REF!)+(#REF!*#REF!)+(#REF!*#REF!)+(#REF!*#REF!)+(#REF!*#REF!)+(#REF!*#REF!)+(#REF!*#REF!)</f>
        <v>#REF!</v>
      </c>
      <c r="U21" s="33" t="e">
        <f>+(#REF!*$P$15)+(#REF!*$P$17)+(#REF!*$P$19)+(#REF!*#REF!)+(#REF!*#REF!)+(#REF!*#REF!)+(#REF!*#REF!)+(#REF!*#REF!)+(#REF!*#REF!)+(#REF!*#REF!)+(#REF!*#REF!)+(#REF!*#REF!)+(#REF!*#REF!)</f>
        <v>#REF!</v>
      </c>
      <c r="V21" s="33" t="e">
        <f>+(#REF!*$P$15)+(#REF!*$P$17)+(#REF!*$P$19)+(#REF!*#REF!)+(#REF!*#REF!)+(#REF!*#REF!)+(#REF!*#REF!)+(#REF!*#REF!)+(#REF!*#REF!)+(#REF!*#REF!)+(#REF!*#REF!)+(#REF!*#REF!)+(#REF!*#REF!)</f>
        <v>#REF!</v>
      </c>
      <c r="W21" s="33" t="e">
        <f>+(#REF!*$P$15)+(#REF!*$P$17)+(#REF!*$P$19)+(#REF!*#REF!)+(#REF!*#REF!)+(#REF!*#REF!)+(#REF!*#REF!)+(#REF!*#REF!)+(#REF!*#REF!)+(#REF!*#REF!)+(#REF!*#REF!)+(#REF!*#REF!)+(#REF!*#REF!)</f>
        <v>#REF!</v>
      </c>
      <c r="X21" s="33" t="e">
        <f>+(#REF!*$P$15)+(#REF!*$P$17)+(#REF!*$P$19)+(#REF!*#REF!)+(#REF!*#REF!)+(#REF!*#REF!)+(#REF!*#REF!)+(#REF!*#REF!)+(#REF!*#REF!)+(#REF!*#REF!)+(#REF!*#REF!)+(#REF!*#REF!)+(#REF!*#REF!)</f>
        <v>#REF!</v>
      </c>
      <c r="Y21" s="33" t="e">
        <f>+(#REF!*$P$15)+(#REF!*$P$17)+(#REF!*$P$19)+(#REF!*#REF!)+(#REF!*#REF!)+(#REF!*#REF!)+(#REF!*#REF!)+(#REF!*#REF!)+(#REF!*#REF!)+(#REF!*#REF!)+(#REF!*#REF!)+(#REF!*#REF!)+(#REF!*#REF!)</f>
        <v>#REF!</v>
      </c>
      <c r="Z21" s="33" t="e">
        <f>+(#REF!*$P$15)+(#REF!*$P$17)+(#REF!*$P$19)+(#REF!*#REF!)+(#REF!*#REF!)+(#REF!*#REF!)+(#REF!*#REF!)+(#REF!*#REF!)+(#REF!*#REF!)+(#REF!*#REF!)+(#REF!*#REF!)+(#REF!*#REF!)+(#REF!*#REF!)</f>
        <v>#REF!</v>
      </c>
      <c r="AA21" s="33" t="e">
        <f>+(#REF!*$P$15)+(#REF!*$P$17)+(#REF!*$P$19)+(#REF!*#REF!)+(#REF!*#REF!)+(#REF!*#REF!)+(#REF!*#REF!)+(#REF!*#REF!)+(#REF!*#REF!)+(#REF!*#REF!)+(#REF!*#REF!)+(#REF!*#REF!)+(#REF!*#REF!)</f>
        <v>#REF!</v>
      </c>
      <c r="AB21" s="36" t="e">
        <f>+(#REF!*$P$15)+(#REF!*$P$17)+(#REF!*$P$19)+(#REF!*#REF!)+(#REF!*#REF!)+(#REF!*#REF!)+(#REF!*#REF!)+(#REF!*#REF!)+(#REF!*#REF!)+(#REF!*#REF!)+(#REF!*#REF!)+(#REF!*#REF!)+(#REF!*#REF!)</f>
        <v>#REF!</v>
      </c>
      <c r="AC21" s="33" t="e">
        <f>+(#REF!*$P$15)+(#REF!*$P$17)+(#REF!*$P$19)+(#REF!*#REF!)+(#REF!*#REF!)+(#REF!*#REF!)+(#REF!*#REF!)+(#REF!*#REF!)+(#REF!*#REF!)+(#REF!*#REF!)+(#REF!*#REF!)+(#REF!*#REF!)+(#REF!*#REF!)</f>
        <v>#REF!</v>
      </c>
      <c r="AD21" s="60"/>
    </row>
    <row r="22" spans="1:34" s="13" customFormat="1" ht="30" hidden="1" customHeight="1" x14ac:dyDescent="0.35">
      <c r="D22" s="421"/>
      <c r="E22" s="421"/>
      <c r="F22" s="21"/>
      <c r="H22" s="594"/>
      <c r="I22" s="15" t="s">
        <v>154</v>
      </c>
      <c r="J22" s="17"/>
      <c r="K22" s="34"/>
      <c r="L22" s="34"/>
      <c r="M22" s="34"/>
      <c r="N22" s="34"/>
      <c r="O22" s="34" t="e">
        <f>SUM(O21:O21)</f>
        <v>#REF!</v>
      </c>
      <c r="P22" s="37"/>
      <c r="Q22" s="34"/>
      <c r="R22" s="34"/>
      <c r="S22" s="27" t="e">
        <f>SUM(P21:S21)</f>
        <v>#REF!</v>
      </c>
      <c r="T22" s="27"/>
      <c r="U22" s="27"/>
      <c r="V22" s="27"/>
      <c r="W22" s="27" t="e">
        <f>SUM(T21:W21)</f>
        <v>#REF!</v>
      </c>
      <c r="X22" s="27"/>
      <c r="Y22" s="27"/>
      <c r="Z22" s="27"/>
      <c r="AA22" s="27" t="e">
        <f>SUM(X21:AA21)</f>
        <v>#REF!</v>
      </c>
      <c r="AB22" s="39"/>
      <c r="AC22" s="27"/>
      <c r="AD22" s="61"/>
    </row>
    <row r="23" spans="1:34" s="13" customFormat="1" ht="30" hidden="1" customHeight="1" x14ac:dyDescent="0.35">
      <c r="H23" s="594"/>
      <c r="I23" s="15" t="s">
        <v>155</v>
      </c>
      <c r="J23" s="14"/>
      <c r="K23" s="34"/>
      <c r="L23" s="34"/>
      <c r="M23" s="34"/>
      <c r="N23" s="34"/>
      <c r="O23" s="34" t="e">
        <f>+#REF!+O22</f>
        <v>#REF!</v>
      </c>
      <c r="P23" s="37"/>
      <c r="Q23" s="34"/>
      <c r="R23" s="34"/>
      <c r="S23" s="26"/>
      <c r="T23" s="27"/>
      <c r="U23" s="27"/>
      <c r="V23" s="27"/>
      <c r="W23" s="27"/>
      <c r="X23" s="27"/>
      <c r="Y23" s="27"/>
      <c r="Z23" s="27"/>
      <c r="AA23" s="27" t="e">
        <f>+S22+W22+AA22</f>
        <v>#REF!</v>
      </c>
      <c r="AB23" s="39"/>
      <c r="AC23" s="27"/>
      <c r="AD23" s="61"/>
    </row>
    <row r="24" spans="1:34" s="13" customFormat="1" ht="30" hidden="1" customHeight="1" thickBot="1" x14ac:dyDescent="0.4">
      <c r="H24" s="595"/>
      <c r="I24" s="18" t="s">
        <v>156</v>
      </c>
      <c r="J24" s="19"/>
      <c r="K24" s="35"/>
      <c r="L24" s="35"/>
      <c r="M24" s="35"/>
      <c r="N24" s="35"/>
      <c r="O24" s="35"/>
      <c r="P24" s="38"/>
      <c r="Q24" s="35"/>
      <c r="R24" s="35"/>
      <c r="S24" s="28"/>
      <c r="T24" s="29"/>
      <c r="U24" s="29"/>
      <c r="V24" s="29"/>
      <c r="W24" s="29"/>
      <c r="X24" s="29"/>
      <c r="Y24" s="29"/>
      <c r="Z24" s="29"/>
      <c r="AA24" s="29" t="e">
        <f>+O23+AA23</f>
        <v>#REF!</v>
      </c>
      <c r="AB24" s="40"/>
      <c r="AC24" s="29"/>
      <c r="AD24" s="61"/>
    </row>
    <row r="25" spans="1:34" s="13" customFormat="1" ht="30" hidden="1" customHeight="1" x14ac:dyDescent="0.35">
      <c r="H25" s="593" t="s">
        <v>330</v>
      </c>
      <c r="I25" s="15" t="s">
        <v>157</v>
      </c>
      <c r="J25" s="23" t="e">
        <f>SUM(O25:AC25)</f>
        <v>#REF!</v>
      </c>
      <c r="K25" s="34"/>
      <c r="L25" s="34"/>
      <c r="M25" s="34"/>
      <c r="N25" s="34"/>
      <c r="O25" s="34" t="e">
        <f>+(AC15*$P$15)+(AC17*$P$17)+(AC19*$P$19)+(#REF!*#REF!)+(#REF!*#REF!)+(#REF!*#REF!)+(#REF!*#REF!)+(#REF!*#REF!)+(#REF!*#REF!)+(#REF!*#REF!)+(#REF!*#REF!)+(#REF!*#REF!)+(#REF!*#REF!)</f>
        <v>#REF!</v>
      </c>
      <c r="P25" s="37" t="e">
        <f>+(#REF!*$P$15)+(#REF!*$P$17)+(#REF!*$P$19)+(#REF!*#REF!)+(#REF!*#REF!)+(#REF!*#REF!)+(#REF!*#REF!)+(#REF!*#REF!)+(#REF!*#REF!)+(#REF!*#REF!)+(#REF!*#REF!)+(#REF!*#REF!)+(#REF!*#REF!)</f>
        <v>#REF!</v>
      </c>
      <c r="Q25" s="34" t="e">
        <f>+(#REF!*$P$15)+(#REF!*$P$17)+(#REF!*$P$19)+(#REF!*#REF!)+(#REF!*#REF!)+(#REF!*#REF!)+(#REF!*#REF!)+(#REF!*#REF!)+(#REF!*#REF!)+(#REF!*#REF!)+(#REF!*#REF!)+(#REF!*#REF!)+(#REF!*#REF!)</f>
        <v>#REF!</v>
      </c>
      <c r="R25" s="34" t="e">
        <f>+(#REF!*$P$15)+(#REF!*$P$17)+(#REF!*$P$19)+(#REF!*#REF!)+(#REF!*#REF!)+(#REF!*#REF!)+(#REF!*#REF!)+(#REF!*#REF!)+(#REF!*#REF!)+(#REF!*#REF!)+(#REF!*#REF!)+(#REF!*#REF!)+(#REF!*#REF!)</f>
        <v>#REF!</v>
      </c>
      <c r="S25" s="34" t="e">
        <f>+(#REF!*$P$15)+(#REF!*$P$17)+(#REF!*$P$19)+(#REF!*#REF!)+(#REF!*#REF!)+(#REF!*#REF!)+(#REF!*#REF!)+(#REF!*#REF!)+(#REF!*#REF!)+(#REF!*#REF!)+(#REF!*#REF!)+(#REF!*#REF!)+(#REF!*#REF!)</f>
        <v>#REF!</v>
      </c>
      <c r="T25" s="34" t="e">
        <f>+(#REF!*$P$15)+(#REF!*$P$17)+(#REF!*$P$19)+(#REF!*#REF!)+(#REF!*#REF!)+(#REF!*#REF!)+(#REF!*#REF!)+(#REF!*#REF!)+(#REF!*#REF!)+(#REF!*#REF!)+(#REF!*#REF!)+(#REF!*#REF!)+(#REF!*#REF!)</f>
        <v>#REF!</v>
      </c>
      <c r="U25" s="34" t="e">
        <f>+(#REF!*$P$15)+(#REF!*$P$17)+(#REF!*$P$19)+(#REF!*#REF!)+(#REF!*#REF!)+(#REF!*#REF!)+(#REF!*#REF!)+(#REF!*#REF!)+(#REF!*#REF!)+(#REF!*#REF!)+(#REF!*#REF!)+(#REF!*#REF!)+(#REF!*#REF!)</f>
        <v>#REF!</v>
      </c>
      <c r="V25" s="34" t="e">
        <f>+(#REF!*$P$15)+(#REF!*$P$17)+(#REF!*$P$19)+(#REF!*#REF!)+(#REF!*#REF!)+(#REF!*#REF!)+(#REF!*#REF!)+(#REF!*#REF!)+(#REF!*#REF!)+(#REF!*#REF!)+(#REF!*#REF!)+(#REF!*#REF!)+(#REF!*#REF!)</f>
        <v>#REF!</v>
      </c>
      <c r="W25" s="34" t="e">
        <f>+(#REF!*$P$15)+(#REF!*$P$17)+(#REF!*$P$19)+(#REF!*#REF!)+(#REF!*#REF!)+(#REF!*#REF!)+(#REF!*#REF!)+(#REF!*#REF!)+(#REF!*#REF!)+(#REF!*#REF!)+(#REF!*#REF!)+(#REF!*#REF!)+(#REF!*#REF!)</f>
        <v>#REF!</v>
      </c>
      <c r="X25" s="34" t="e">
        <f>+(#REF!*$P$15)+(#REF!*$P$17)+(#REF!*$P$19)+(#REF!*#REF!)+(#REF!*#REF!)+(#REF!*#REF!)+(#REF!*#REF!)+(#REF!*#REF!)+(#REF!*#REF!)+(#REF!*#REF!)+(#REF!*#REF!)+(#REF!*#REF!)+(#REF!*#REF!)</f>
        <v>#REF!</v>
      </c>
      <c r="Y25" s="34" t="e">
        <f>+(#REF!*$P$15)+(#REF!*$P$17)+(#REF!*$P$19)+(#REF!*#REF!)+(#REF!*#REF!)+(#REF!*#REF!)+(#REF!*#REF!)+(#REF!*#REF!)+(#REF!*#REF!)+(#REF!*#REF!)+(#REF!*#REF!)+(#REF!*#REF!)+(#REF!*#REF!)</f>
        <v>#REF!</v>
      </c>
      <c r="Z25" s="34" t="e">
        <f>+(#REF!*$P$15)+(#REF!*$P$17)+(#REF!*$P$19)+(#REF!*#REF!)+(#REF!*#REF!)+(#REF!*#REF!)+(#REF!*#REF!)+(#REF!*#REF!)+(#REF!*#REF!)+(#REF!*#REF!)+(#REF!*#REF!)+(#REF!*#REF!)+(#REF!*#REF!)</f>
        <v>#REF!</v>
      </c>
      <c r="AA25" s="34" t="e">
        <f>+(#REF!*$P$15)+(#REF!*$P$17)+(#REF!*$P$19)+(#REF!*#REF!)+(#REF!*#REF!)+(#REF!*#REF!)+(#REF!*#REF!)+(#REF!*#REF!)+(#REF!*#REF!)+(#REF!*#REF!)+(#REF!*#REF!)+(#REF!*#REF!)+(#REF!*#REF!)</f>
        <v>#REF!</v>
      </c>
      <c r="AB25" s="37" t="e">
        <f>+(#REF!*$P$15)+(#REF!*$P$17)+(#REF!*$P$19)+(#REF!*#REF!)+(#REF!*#REF!)+(#REF!*#REF!)+(#REF!*#REF!)+(#REF!*#REF!)+(#REF!*#REF!)+(#REF!*#REF!)+(#REF!*#REF!)+(#REF!*#REF!)+(#REF!*#REF!)</f>
        <v>#REF!</v>
      </c>
      <c r="AC25" s="34" t="e">
        <f>+(#REF!*$P$15)+(#REF!*$P$17)+(#REF!*$P$19)+(#REF!*#REF!)+(#REF!*#REF!)+(#REF!*#REF!)+(#REF!*#REF!)+(#REF!*#REF!)+(#REF!*#REF!)+(#REF!*#REF!)+(#REF!*#REF!)+(#REF!*#REF!)+(#REF!*#REF!)</f>
        <v>#REF!</v>
      </c>
      <c r="AD25" s="60"/>
    </row>
    <row r="26" spans="1:34" s="13" customFormat="1" ht="30" hidden="1" customHeight="1" x14ac:dyDescent="0.35">
      <c r="H26" s="594"/>
      <c r="I26" s="15" t="s">
        <v>158</v>
      </c>
      <c r="J26" s="16"/>
      <c r="K26" s="34"/>
      <c r="L26" s="34"/>
      <c r="M26" s="34"/>
      <c r="N26" s="34"/>
      <c r="O26" s="34" t="e">
        <f>SUM(O25:O25)</f>
        <v>#REF!</v>
      </c>
      <c r="P26" s="37"/>
      <c r="Q26" s="34"/>
      <c r="R26" s="34"/>
      <c r="S26" s="34" t="e">
        <f>SUM(P25:S25)</f>
        <v>#REF!</v>
      </c>
      <c r="T26" s="34"/>
      <c r="U26" s="34"/>
      <c r="V26" s="34"/>
      <c r="W26" s="34" t="e">
        <f>SUM(T25:W25)</f>
        <v>#REF!</v>
      </c>
      <c r="X26" s="34"/>
      <c r="Y26" s="34"/>
      <c r="Z26" s="34"/>
      <c r="AA26" s="34" t="e">
        <f>SUM(X25:AA25)</f>
        <v>#REF!</v>
      </c>
      <c r="AB26" s="37"/>
      <c r="AC26" s="34"/>
      <c r="AD26" s="60"/>
    </row>
    <row r="27" spans="1:34" s="13" customFormat="1" ht="30" hidden="1" customHeight="1" x14ac:dyDescent="0.35">
      <c r="H27" s="594"/>
      <c r="I27" s="15" t="s">
        <v>159</v>
      </c>
      <c r="J27" s="14"/>
      <c r="K27" s="34"/>
      <c r="L27" s="34"/>
      <c r="M27" s="34"/>
      <c r="N27" s="34"/>
      <c r="O27" s="34" t="e">
        <f>+#REF!+O26</f>
        <v>#REF!</v>
      </c>
      <c r="P27" s="37"/>
      <c r="Q27" s="34"/>
      <c r="R27" s="34"/>
      <c r="S27" s="26"/>
      <c r="T27" s="27"/>
      <c r="U27" s="27"/>
      <c r="V27" s="27"/>
      <c r="W27" s="27"/>
      <c r="X27" s="27"/>
      <c r="Y27" s="27"/>
      <c r="Z27" s="27"/>
      <c r="AA27" s="27" t="e">
        <f>+S26+W26+AA26</f>
        <v>#REF!</v>
      </c>
      <c r="AB27" s="39"/>
      <c r="AC27" s="27"/>
      <c r="AD27" s="61"/>
    </row>
    <row r="28" spans="1:34" s="13" customFormat="1" ht="30" hidden="1" customHeight="1" thickBot="1" x14ac:dyDescent="0.4">
      <c r="H28" s="595"/>
      <c r="I28" s="20" t="s">
        <v>160</v>
      </c>
      <c r="J28" s="19"/>
      <c r="K28" s="35"/>
      <c r="L28" s="35"/>
      <c r="M28" s="35"/>
      <c r="N28" s="35"/>
      <c r="O28" s="35"/>
      <c r="P28" s="38"/>
      <c r="Q28" s="35"/>
      <c r="R28" s="35"/>
      <c r="S28" s="28"/>
      <c r="T28" s="29"/>
      <c r="U28" s="29"/>
      <c r="V28" s="29"/>
      <c r="W28" s="29"/>
      <c r="X28" s="29"/>
      <c r="Y28" s="29"/>
      <c r="Z28" s="29"/>
      <c r="AA28" s="29" t="e">
        <f>+O27+AA27</f>
        <v>#REF!</v>
      </c>
      <c r="AB28" s="40"/>
      <c r="AC28" s="41"/>
      <c r="AD28" s="61"/>
    </row>
    <row r="29" spans="1:34" ht="30" hidden="1" customHeight="1" x14ac:dyDescent="0.35">
      <c r="H29" s="24"/>
      <c r="I29" s="422" t="s">
        <v>161</v>
      </c>
      <c r="J29" s="422"/>
      <c r="K29" s="46"/>
      <c r="L29" s="46"/>
      <c r="M29" s="46"/>
      <c r="N29" s="46"/>
      <c r="O29" s="47" t="e">
        <f>+(#REF!+#REF!+#REF!+#REF!+#REF!+#REF!+#REF!+O21)/(#REF!+#REF!+#REF!+#REF!+#REF!+#REF!+#REF!+O25)</f>
        <v>#REF!</v>
      </c>
      <c r="P29" s="48" t="e">
        <f>+(#REF!+#REF!+#REF!+#REF!+#REF!+#REF!+#REF!+O21+P21)/(#REF!+#REF!+#REF!+#REF!+#REF!+#REF!+#REF!+O25+P25)</f>
        <v>#REF!</v>
      </c>
      <c r="Q29" s="46" t="e">
        <f>+(#REF!+#REF!+#REF!+#REF!+#REF!+#REF!+#REF!+O21+P21+Q21)/(#REF!+#REF!+#REF!+#REF!+#REF!+#REF!+#REF!+O25+P25+Q25)</f>
        <v>#REF!</v>
      </c>
      <c r="R29" s="46" t="e">
        <f>+(#REF!+#REF!+#REF!+#REF!+#REF!+#REF!+#REF!+O21+P21+Q21+R21)/(#REF!+#REF!+#REF!+#REF!+#REF!+#REF!+#REF!+O25+P25+Q25+R25)</f>
        <v>#REF!</v>
      </c>
      <c r="S29" s="47" t="e">
        <f>+(#REF!+#REF!+#REF!+#REF!+#REF!+#REF!+#REF!+O21+P21+Q21+R21+S21)/(#REF!+#REF!+#REF!+#REF!+#REF!+#REF!+#REF!+O25+P25+Q25+R25+S25)</f>
        <v>#REF!</v>
      </c>
      <c r="T29" s="46" t="e">
        <f>+(#REF!+#REF!+#REF!+#REF!+#REF!+#REF!+#REF!+O21+P21+Q21+R21+S21+T21)/(#REF!+#REF!+#REF!+#REF!+#REF!+#REF!+#REF!+O25+P25+Q25+R25+S25+T25)</f>
        <v>#REF!</v>
      </c>
      <c r="U29" s="46" t="e">
        <f>+(#REF!+#REF!+#REF!+#REF!+#REF!+#REF!+#REF!+O21+P21+Q21+R21+S21+T21+U21)/(#REF!+#REF!+#REF!+#REF!+#REF!+#REF!+#REF!+O25+P25+Q25+R25+S25+T25+U25)</f>
        <v>#REF!</v>
      </c>
      <c r="V29" s="46" t="e">
        <f>+(#REF!+#REF!+#REF!+#REF!+#REF!+#REF!+#REF!+O21+P21+Q21+R21+S21+T21+U21+V21)/(#REF!+#REF!+#REF!+#REF!+#REF!+#REF!+#REF!+O25+P25+Q25+R25+S25+T25+U25+V25)</f>
        <v>#REF!</v>
      </c>
      <c r="W29" s="47" t="e">
        <f>+(#REF!+#REF!+#REF!+#REF!+#REF!+#REF!+#REF!+O21+P21+Q21+R21+S21+T21+U21+V21+W21)/(#REF!+#REF!+#REF!+#REF!+#REF!+#REF!+#REF!+O25+P25+Q25+R25+S25+T25+U25+V25+W25)</f>
        <v>#REF!</v>
      </c>
      <c r="X29" s="46" t="e">
        <f>+(#REF!+#REF!+#REF!+#REF!+#REF!+#REF!+#REF!+O21+P21+Q21+R21+S21+T21+U21+V21+W21+X21)/(#REF!+#REF!+#REF!+#REF!+#REF!+#REF!+#REF!+O25+P25+Q25+R25+S25+T25+U25+V25+W25+X25)</f>
        <v>#REF!</v>
      </c>
      <c r="Y29" s="46" t="e">
        <f>+(#REF!+#REF!+#REF!+#REF!+#REF!+#REF!+#REF!+O21+P21+Q21+R21+S21+T21+U21+V21+W21+X21+Y21)/(#REF!+#REF!+#REF!+#REF!+#REF!+#REF!+#REF!+O25+P25+Q25+R25+S25+T25+U25+V25+W25+X25+Y25)</f>
        <v>#REF!</v>
      </c>
      <c r="Z29" s="46" t="e">
        <f>+(#REF!+#REF!+#REF!+#REF!+#REF!+#REF!+#REF!+O21+P21+Q21+R21+S21+T21+U21+V21+W21+X21+Y21+Z21)/(#REF!+#REF!+#REF!+#REF!+#REF!+#REF!+#REF!+O25+P25+Q25+R25+S25+T25+U25+V25+W25+X25+Y25+Z25)</f>
        <v>#REF!</v>
      </c>
      <c r="AA29" s="47" t="e">
        <f>+(#REF!+#REF!+#REF!+#REF!+#REF!+#REF!+#REF!+O21+P21+Q21+R21+S21+T21+U21+V21+W21+X21+Y21+Z21+AA21)/(#REF!+#REF!+#REF!+#REF!+#REF!+#REF!+#REF!+O25+P25+Q25+R25+S25+T25+U25+V25+W25+X25+Y25+Z25+AA25)</f>
        <v>#REF!</v>
      </c>
      <c r="AB29" s="48" t="e">
        <f>+(#REF!+#REF!+#REF!+#REF!+#REF!+#REF!+#REF!+O21+P21+Q21+R21+S21+T21+U21+V21+W21+X21+Y21+Z21+AA21+AB21)/(#REF!+#REF!+#REF!+#REF!+#REF!+#REF!+#REF!+O25+P25+Q25+R25+S25+T25+U25+V25+W25+X25+Y25+Z25+AA25+AB25)</f>
        <v>#REF!</v>
      </c>
      <c r="AC29" s="46" t="e">
        <f>+(#REF!+#REF!+#REF!+#REF!+#REF!+#REF!+#REF!+O21+P21+Q21+R21+S21+T21+U21+V21+W21+X21+Y21+Z21+AA21+AB21+AC21)/(#REF!+#REF!+#REF!+#REF!+#REF!+#REF!+#REF!+O25+P25+Q25+R25+S25+T25+U25+V25+W25+X25+Y25+Z25+AA25+AB25+AC25)</f>
        <v>#REF!</v>
      </c>
      <c r="AD29" s="62"/>
    </row>
    <row r="30" spans="1:34" ht="30" hidden="1" customHeight="1" x14ac:dyDescent="0.35">
      <c r="H30" s="24"/>
      <c r="I30" s="423" t="s">
        <v>162</v>
      </c>
      <c r="J30" s="423"/>
      <c r="K30" s="47"/>
      <c r="L30" s="47"/>
      <c r="M30" s="47"/>
      <c r="N30" s="47"/>
      <c r="O30" s="47" t="e">
        <f>+(#REF!+#REF!+#REF!+#REF!+#REF!+#REF!+#REF!+O21)/$F$21</f>
        <v>#REF!</v>
      </c>
      <c r="P30" s="49" t="e">
        <f>+(#REF!+#REF!+#REF!+#REF!+#REF!+#REF!+#REF!+O21+P21)/$F$21</f>
        <v>#REF!</v>
      </c>
      <c r="Q30" s="47" t="e">
        <f>+(#REF!+#REF!+#REF!+#REF!+#REF!+#REF!+#REF!+O21+P21+Q21)/$F$21</f>
        <v>#REF!</v>
      </c>
      <c r="R30" s="47" t="e">
        <f>+(#REF!+#REF!+#REF!+#REF!+#REF!+#REF!+#REF!+O21+P21+Q21+R21)/$F$21</f>
        <v>#REF!</v>
      </c>
      <c r="S30" s="47" t="e">
        <f>+(#REF!+#REF!+#REF!+#REF!+#REF!+#REF!+#REF!+O21+P21+Q21+R21+S21)/$F$21</f>
        <v>#REF!</v>
      </c>
      <c r="T30" s="47" t="e">
        <f>+(#REF!+#REF!+#REF!+#REF!+#REF!+#REF!+#REF!+O21+P21+Q21+R21+S21+T21)/$F$21</f>
        <v>#REF!</v>
      </c>
      <c r="U30" s="47" t="e">
        <f>+(#REF!+#REF!+#REF!+#REF!+#REF!+#REF!+#REF!+O21+P21+Q21+R21+S21+T21+U21)/$F$21</f>
        <v>#REF!</v>
      </c>
      <c r="V30" s="47" t="e">
        <f>+(#REF!+#REF!+#REF!+#REF!+#REF!+#REF!+#REF!+O21+P21+Q21+R21+S21+T21+U21+V21)/$F$21</f>
        <v>#REF!</v>
      </c>
      <c r="W30" s="47" t="e">
        <f>+(#REF!+#REF!+#REF!+#REF!+#REF!+#REF!+#REF!+O21+P21+Q21+R21+S21+T21+U21+V21+W21)/$F$21</f>
        <v>#REF!</v>
      </c>
      <c r="X30" s="47" t="e">
        <f>+(#REF!+#REF!+#REF!+#REF!+#REF!+#REF!+#REF!+O21+P21+Q21+R21+S21+T21+U21+V21+W21+X21)/$F$21</f>
        <v>#REF!</v>
      </c>
      <c r="Y30" s="47" t="e">
        <f>+(#REF!+#REF!+#REF!+#REF!+#REF!+#REF!+#REF!+O21+P21+Q21+R21+S21+T21+U21+V21+W21+X21+Y21)/$F$21</f>
        <v>#REF!</v>
      </c>
      <c r="Z30" s="47" t="e">
        <f>+(#REF!+#REF!+#REF!+#REF!+#REF!+#REF!+#REF!+O21+P21+Q21+R21+S21+T21+U21+V21+W21+X21+Y21+Z21)/$F$21</f>
        <v>#REF!</v>
      </c>
      <c r="AA30" s="47" t="e">
        <f>+(#REF!+#REF!+#REF!+#REF!+#REF!+#REF!+#REF!+O21+P21+Q21+R21+S21+T21+U21+V21+W21+X21+Y21+Z21+AA21)/$F$21</f>
        <v>#REF!</v>
      </c>
      <c r="AB30" s="49" t="e">
        <f>+(#REF!+#REF!+#REF!+#REF!+#REF!+#REF!+#REF!+O21+P21+Q21+R21+S21+T21+U21+V21+W21+X21+Y21+Z21+AA21+AB21)/$F$21</f>
        <v>#REF!</v>
      </c>
      <c r="AC30" s="47" t="e">
        <f>+(#REF!+#REF!+#REF!+#REF!+#REF!+#REF!+#REF!+O21+P21+Q21+R21+S21+T21+U21+V21+W21+X21+Y21+Z21+AA21+AB21+AC21)/$F$21</f>
        <v>#REF!</v>
      </c>
      <c r="AD30" s="63"/>
    </row>
    <row r="31" spans="1:34" ht="30" hidden="1" customHeight="1" x14ac:dyDescent="0.35">
      <c r="I31" s="422" t="s">
        <v>163</v>
      </c>
      <c r="J31" s="422"/>
      <c r="K31" s="50"/>
      <c r="L31" s="50"/>
      <c r="M31" s="50"/>
      <c r="N31" s="50"/>
      <c r="O31" s="47" t="e">
        <f>+O22/O26</f>
        <v>#REF!</v>
      </c>
      <c r="P31" s="51"/>
      <c r="Q31" s="50"/>
      <c r="R31" s="50"/>
      <c r="S31" s="47" t="e">
        <f>+S22/S26</f>
        <v>#REF!</v>
      </c>
      <c r="T31" s="50"/>
      <c r="U31" s="50"/>
      <c r="V31" s="50"/>
      <c r="W31" s="47" t="e">
        <f>+W22/W26</f>
        <v>#REF!</v>
      </c>
      <c r="X31" s="50"/>
      <c r="Y31" s="50"/>
      <c r="Z31" s="50"/>
      <c r="AA31" s="47" t="e">
        <f>+AA22/AA26</f>
        <v>#REF!</v>
      </c>
      <c r="AB31" s="51"/>
      <c r="AC31" s="50"/>
      <c r="AD31" s="64"/>
    </row>
    <row r="32" spans="1:34" ht="30" hidden="1" customHeight="1" x14ac:dyDescent="0.35">
      <c r="I32" s="423" t="s">
        <v>164</v>
      </c>
      <c r="J32" s="423"/>
      <c r="K32" s="50"/>
      <c r="L32" s="50"/>
      <c r="M32" s="50"/>
      <c r="N32" s="50"/>
      <c r="O32" s="47" t="e">
        <f>+(#REF!+O22)/$F$21</f>
        <v>#REF!</v>
      </c>
      <c r="P32" s="51"/>
      <c r="Q32" s="50"/>
      <c r="R32" s="50"/>
      <c r="S32" s="47" t="e">
        <f>+(#REF!+O22+S22)/$F$21</f>
        <v>#REF!</v>
      </c>
      <c r="T32" s="50"/>
      <c r="U32" s="50"/>
      <c r="V32" s="50"/>
      <c r="W32" s="47" t="e">
        <f>+(#REF!+O22+S22+W22)/$F$21</f>
        <v>#REF!</v>
      </c>
      <c r="X32" s="50"/>
      <c r="Y32" s="50"/>
      <c r="Z32" s="50"/>
      <c r="AA32" s="47" t="e">
        <f>+(#REF!+O22+S22+W22+AA22)/$F$21</f>
        <v>#REF!</v>
      </c>
      <c r="AB32" s="51"/>
      <c r="AC32" s="50"/>
      <c r="AD32" s="64"/>
    </row>
    <row r="33" spans="2:30" ht="30" hidden="1" customHeight="1" x14ac:dyDescent="0.35">
      <c r="I33" s="422" t="s">
        <v>165</v>
      </c>
      <c r="J33" s="422"/>
      <c r="K33" s="50"/>
      <c r="L33" s="50"/>
      <c r="M33" s="50"/>
      <c r="N33" s="50"/>
      <c r="O33" s="47" t="e">
        <f>+(#REF!+O22)/(#REF!+O26)</f>
        <v>#REF!</v>
      </c>
      <c r="P33" s="51"/>
      <c r="Q33" s="50"/>
      <c r="R33" s="50"/>
      <c r="S33" s="50"/>
      <c r="T33" s="50"/>
      <c r="U33" s="50"/>
      <c r="V33" s="50"/>
      <c r="W33" s="50"/>
      <c r="X33" s="50"/>
      <c r="Y33" s="50"/>
      <c r="Z33" s="50"/>
      <c r="AA33" s="47" t="e">
        <f>+(#REF!+O22+S22+W22+AA22)/(#REF!+O26+S26+W26+AA26)</f>
        <v>#REF!</v>
      </c>
      <c r="AB33" s="51"/>
      <c r="AC33" s="50"/>
      <c r="AD33" s="64"/>
    </row>
    <row r="34" spans="2:30" ht="30" hidden="1" customHeight="1" x14ac:dyDescent="0.35">
      <c r="I34" s="422" t="s">
        <v>166</v>
      </c>
      <c r="J34" s="422"/>
      <c r="K34" s="50"/>
      <c r="L34" s="50"/>
      <c r="M34" s="50"/>
      <c r="N34" s="50"/>
      <c r="O34" s="47" t="e">
        <f>+(#REF!+O22)/$F$21</f>
        <v>#REF!</v>
      </c>
      <c r="P34" s="51"/>
      <c r="Q34" s="50"/>
      <c r="R34" s="50"/>
      <c r="S34" s="50"/>
      <c r="T34" s="50"/>
      <c r="U34" s="50"/>
      <c r="V34" s="50"/>
      <c r="W34" s="50"/>
      <c r="X34" s="50"/>
      <c r="Y34" s="50"/>
      <c r="Z34" s="50"/>
      <c r="AA34" s="47" t="e">
        <f>+(+#REF!+O22+S22+W22+AA22)/$F$21</f>
        <v>#REF!</v>
      </c>
      <c r="AB34" s="51"/>
      <c r="AC34" s="50"/>
      <c r="AD34" s="64"/>
    </row>
    <row r="35" spans="2:30" ht="15" hidden="1" customHeight="1" x14ac:dyDescent="0.35"/>
    <row r="36" spans="2:30" ht="35.15" hidden="1" customHeight="1" x14ac:dyDescent="0.35">
      <c r="H36" s="625" t="s">
        <v>331</v>
      </c>
      <c r="I36" s="625"/>
      <c r="J36" s="30" t="e">
        <f>+#REF!</f>
        <v>#REF!</v>
      </c>
      <c r="K36" s="32"/>
      <c r="L36" s="32"/>
      <c r="M36" s="32"/>
      <c r="N36" s="32"/>
    </row>
    <row r="37" spans="2:30" ht="35.15" hidden="1" customHeight="1" thickBot="1" x14ac:dyDescent="0.4">
      <c r="H37" s="625" t="s">
        <v>332</v>
      </c>
      <c r="I37" s="625"/>
      <c r="J37" s="25">
        <f>+F21</f>
        <v>1</v>
      </c>
      <c r="K37" s="32"/>
      <c r="L37" s="32"/>
      <c r="M37" s="32"/>
      <c r="N37" s="32"/>
    </row>
    <row r="38" spans="2:30" ht="35.15" hidden="1" customHeight="1" thickBot="1" x14ac:dyDescent="0.4">
      <c r="H38" s="625" t="s">
        <v>333</v>
      </c>
      <c r="I38" s="625"/>
      <c r="J38" s="31" t="e">
        <f>+J36/J37</f>
        <v>#REF!</v>
      </c>
      <c r="K38" s="32"/>
      <c r="L38" s="32"/>
      <c r="M38" s="32"/>
      <c r="N38" s="32"/>
    </row>
    <row r="39" spans="2:30" ht="15" hidden="1" customHeight="1" x14ac:dyDescent="0.35">
      <c r="K39" s="32"/>
      <c r="L39" s="32"/>
      <c r="M39" s="32"/>
      <c r="N39" s="32"/>
    </row>
    <row r="40" spans="2:30" ht="15" hidden="1" customHeight="1" x14ac:dyDescent="0.35">
      <c r="K40" s="32"/>
      <c r="L40" s="32"/>
      <c r="M40" s="32"/>
      <c r="N40" s="32"/>
    </row>
    <row r="41" spans="2:30" ht="15" hidden="1" customHeight="1" x14ac:dyDescent="0.35">
      <c r="B41" s="413" t="s">
        <v>51</v>
      </c>
      <c r="C41" s="413" t="s">
        <v>52</v>
      </c>
      <c r="D41" s="413" t="s">
        <v>53</v>
      </c>
      <c r="E41" s="413" t="s">
        <v>54</v>
      </c>
      <c r="F41" s="413" t="s">
        <v>29</v>
      </c>
      <c r="G41" s="415" t="s">
        <v>55</v>
      </c>
      <c r="K41" s="32"/>
      <c r="L41" s="32"/>
      <c r="M41" s="32"/>
      <c r="N41" s="32"/>
    </row>
    <row r="42" spans="2:30" ht="15" hidden="1" customHeight="1" x14ac:dyDescent="0.35">
      <c r="B42" s="414"/>
      <c r="C42" s="414"/>
      <c r="D42" s="414"/>
      <c r="E42" s="414"/>
      <c r="F42" s="414"/>
      <c r="G42" s="414"/>
    </row>
    <row r="43" spans="2:30" ht="15" hidden="1" customHeight="1" x14ac:dyDescent="0.35">
      <c r="B43" s="1" t="s">
        <v>99</v>
      </c>
      <c r="C43" s="13" t="s">
        <v>168</v>
      </c>
      <c r="D43" s="1" t="s">
        <v>130</v>
      </c>
      <c r="E43" s="1" t="s">
        <v>131</v>
      </c>
      <c r="F43" s="1" t="s">
        <v>169</v>
      </c>
      <c r="G43" s="1" t="s">
        <v>170</v>
      </c>
    </row>
    <row r="44" spans="2:30" ht="15" hidden="1" customHeight="1" x14ac:dyDescent="0.35">
      <c r="B44" s="1" t="s">
        <v>116</v>
      </c>
      <c r="C44" s="13" t="s">
        <v>129</v>
      </c>
      <c r="D44" s="1" t="s">
        <v>172</v>
      </c>
      <c r="E44" s="1" t="s">
        <v>173</v>
      </c>
      <c r="F44" s="1" t="s">
        <v>174</v>
      </c>
      <c r="G44" s="1" t="s">
        <v>175</v>
      </c>
    </row>
    <row r="45" spans="2:30" ht="15" hidden="1" customHeight="1" x14ac:dyDescent="0.35">
      <c r="B45" s="1" t="s">
        <v>83</v>
      </c>
      <c r="C45" s="13" t="s">
        <v>110</v>
      </c>
      <c r="D45" s="1" t="s">
        <v>85</v>
      </c>
      <c r="E45" s="1" t="s">
        <v>176</v>
      </c>
      <c r="F45" s="1" t="s">
        <v>177</v>
      </c>
      <c r="G45" s="1" t="s">
        <v>178</v>
      </c>
    </row>
    <row r="46" spans="2:30" ht="15" hidden="1" customHeight="1" x14ac:dyDescent="0.35">
      <c r="B46" s="1" t="s">
        <v>109</v>
      </c>
      <c r="C46" s="13" t="s">
        <v>125</v>
      </c>
      <c r="D46" s="1" t="s">
        <v>180</v>
      </c>
      <c r="E46" s="1" t="s">
        <v>181</v>
      </c>
      <c r="F46" s="1" t="s">
        <v>182</v>
      </c>
      <c r="G46" s="1" t="s">
        <v>183</v>
      </c>
    </row>
    <row r="47" spans="2:30" ht="15" hidden="1" customHeight="1" x14ac:dyDescent="0.35">
      <c r="B47" s="1" t="s">
        <v>124</v>
      </c>
      <c r="C47" s="13" t="s">
        <v>142</v>
      </c>
      <c r="D47" s="1" t="s">
        <v>100</v>
      </c>
      <c r="E47" s="1" t="s">
        <v>184</v>
      </c>
      <c r="F47" s="1" t="s">
        <v>185</v>
      </c>
      <c r="G47" s="1" t="s">
        <v>186</v>
      </c>
    </row>
    <row r="48" spans="2:30" ht="15" hidden="1" customHeight="1" x14ac:dyDescent="0.35">
      <c r="B48" s="1" t="s">
        <v>187</v>
      </c>
      <c r="C48" s="13" t="s">
        <v>188</v>
      </c>
      <c r="D48" s="1" t="s">
        <v>111</v>
      </c>
      <c r="E48" s="1" t="s">
        <v>149</v>
      </c>
      <c r="F48" s="1" t="s">
        <v>189</v>
      </c>
      <c r="G48" s="1" t="s">
        <v>127</v>
      </c>
    </row>
    <row r="49" spans="2:7" ht="15" hidden="1" customHeight="1" x14ac:dyDescent="0.35">
      <c r="B49" s="1" t="s">
        <v>190</v>
      </c>
      <c r="C49" s="13" t="s">
        <v>191</v>
      </c>
      <c r="D49" s="1" t="s">
        <v>192</v>
      </c>
      <c r="E49" s="1" t="s">
        <v>193</v>
      </c>
      <c r="F49" s="1" t="s">
        <v>194</v>
      </c>
      <c r="G49" s="1" t="s">
        <v>195</v>
      </c>
    </row>
    <row r="50" spans="2:7" ht="15" hidden="1" customHeight="1" x14ac:dyDescent="0.35">
      <c r="B50" s="1" t="s">
        <v>196</v>
      </c>
      <c r="C50" s="13" t="s">
        <v>197</v>
      </c>
      <c r="E50" s="1" t="s">
        <v>126</v>
      </c>
      <c r="F50" s="1" t="s">
        <v>198</v>
      </c>
      <c r="G50" s="1" t="s">
        <v>150</v>
      </c>
    </row>
    <row r="51" spans="2:7" ht="15" hidden="1" customHeight="1" x14ac:dyDescent="0.35">
      <c r="C51" s="13" t="s">
        <v>117</v>
      </c>
      <c r="E51" s="1" t="s">
        <v>118</v>
      </c>
      <c r="F51" s="1" t="s">
        <v>199</v>
      </c>
      <c r="G51" s="1" t="s">
        <v>102</v>
      </c>
    </row>
    <row r="52" spans="2:7" ht="15" hidden="1" customHeight="1" x14ac:dyDescent="0.35">
      <c r="C52" s="13" t="s">
        <v>84</v>
      </c>
      <c r="E52" s="1" t="s">
        <v>200</v>
      </c>
      <c r="F52" s="1" t="s">
        <v>201</v>
      </c>
      <c r="G52" s="1" t="s">
        <v>132</v>
      </c>
    </row>
    <row r="53" spans="2:7" ht="15" hidden="1" customHeight="1" x14ac:dyDescent="0.35">
      <c r="E53" s="1" t="s">
        <v>202</v>
      </c>
      <c r="F53" s="1" t="s">
        <v>203</v>
      </c>
      <c r="G53" s="1" t="s">
        <v>144</v>
      </c>
    </row>
    <row r="54" spans="2:7" ht="15" hidden="1" customHeight="1" x14ac:dyDescent="0.35">
      <c r="E54" s="1" t="s">
        <v>204</v>
      </c>
      <c r="F54" s="1" t="s">
        <v>205</v>
      </c>
      <c r="G54" s="1" t="s">
        <v>206</v>
      </c>
    </row>
    <row r="55" spans="2:7" ht="15" hidden="1" customHeight="1" x14ac:dyDescent="0.35">
      <c r="E55" s="1" t="s">
        <v>86</v>
      </c>
      <c r="G55" s="1" t="s">
        <v>207</v>
      </c>
    </row>
    <row r="56" spans="2:7" ht="15" hidden="1" customHeight="1" x14ac:dyDescent="0.35">
      <c r="E56" s="1" t="s">
        <v>208</v>
      </c>
      <c r="G56" s="1" t="s">
        <v>209</v>
      </c>
    </row>
    <row r="57" spans="2:7" ht="15" hidden="1" customHeight="1" x14ac:dyDescent="0.35">
      <c r="E57" s="1" t="s">
        <v>101</v>
      </c>
      <c r="G57" s="1" t="s">
        <v>210</v>
      </c>
    </row>
    <row r="58" spans="2:7" ht="15" hidden="1" customHeight="1" x14ac:dyDescent="0.35">
      <c r="E58" s="1" t="s">
        <v>143</v>
      </c>
      <c r="G58" s="1" t="s">
        <v>211</v>
      </c>
    </row>
    <row r="59" spans="2:7" ht="15" hidden="1" customHeight="1" x14ac:dyDescent="0.35">
      <c r="E59" s="1" t="s">
        <v>212</v>
      </c>
      <c r="G59" s="1" t="s">
        <v>213</v>
      </c>
    </row>
    <row r="60" spans="2:7" ht="15" hidden="1" customHeight="1" x14ac:dyDescent="0.35">
      <c r="E60" s="1" t="s">
        <v>112</v>
      </c>
      <c r="G60" s="1" t="s">
        <v>214</v>
      </c>
    </row>
    <row r="61" spans="2:7" ht="15" hidden="1" customHeight="1" x14ac:dyDescent="0.35">
      <c r="E61" s="1" t="s">
        <v>215</v>
      </c>
      <c r="G61" s="1" t="s">
        <v>216</v>
      </c>
    </row>
    <row r="62" spans="2:7" ht="15" hidden="1" customHeight="1" x14ac:dyDescent="0.35">
      <c r="G62" s="1" t="s">
        <v>217</v>
      </c>
    </row>
    <row r="63" spans="2:7" ht="15" hidden="1" customHeight="1" x14ac:dyDescent="0.35">
      <c r="G63" s="1" t="s">
        <v>218</v>
      </c>
    </row>
    <row r="64" spans="2:7" ht="15" hidden="1" customHeight="1" x14ac:dyDescent="0.35">
      <c r="G64" s="1" t="s">
        <v>219</v>
      </c>
    </row>
    <row r="65" spans="7:7" ht="15" hidden="1" customHeight="1" x14ac:dyDescent="0.35">
      <c r="G65" s="1" t="s">
        <v>220</v>
      </c>
    </row>
    <row r="66" spans="7:7" ht="15" hidden="1" customHeight="1" x14ac:dyDescent="0.35">
      <c r="G66" s="1" t="s">
        <v>221</v>
      </c>
    </row>
    <row r="67" spans="7:7" ht="15" hidden="1" customHeight="1" x14ac:dyDescent="0.35">
      <c r="G67" s="1" t="s">
        <v>222</v>
      </c>
    </row>
    <row r="68" spans="7:7" ht="15" hidden="1" customHeight="1" x14ac:dyDescent="0.35">
      <c r="G68" s="1" t="s">
        <v>223</v>
      </c>
    </row>
    <row r="69" spans="7:7" ht="15" hidden="1" customHeight="1" x14ac:dyDescent="0.35">
      <c r="G69" s="1" t="s">
        <v>224</v>
      </c>
    </row>
    <row r="70" spans="7:7" ht="15" hidden="1" customHeight="1" x14ac:dyDescent="0.35">
      <c r="G70" s="1" t="s">
        <v>225</v>
      </c>
    </row>
    <row r="71" spans="7:7" ht="15" hidden="1" customHeight="1" x14ac:dyDescent="0.35">
      <c r="G71" s="1" t="s">
        <v>226</v>
      </c>
    </row>
    <row r="72" spans="7:7" ht="15" hidden="1" customHeight="1" x14ac:dyDescent="0.35">
      <c r="G72" s="1" t="s">
        <v>227</v>
      </c>
    </row>
    <row r="73" spans="7:7" ht="15" hidden="1" customHeight="1" x14ac:dyDescent="0.35">
      <c r="G73" s="1" t="s">
        <v>228</v>
      </c>
    </row>
    <row r="74" spans="7:7" ht="15" hidden="1" customHeight="1" x14ac:dyDescent="0.35">
      <c r="G74" s="1" t="s">
        <v>229</v>
      </c>
    </row>
    <row r="75" spans="7:7" ht="15" hidden="1" customHeight="1" x14ac:dyDescent="0.35">
      <c r="G75" s="1" t="s">
        <v>230</v>
      </c>
    </row>
    <row r="76" spans="7:7" ht="15" hidden="1" customHeight="1" x14ac:dyDescent="0.35">
      <c r="G76" s="1" t="s">
        <v>119</v>
      </c>
    </row>
    <row r="77" spans="7:7" ht="15" hidden="1" customHeight="1" x14ac:dyDescent="0.35">
      <c r="G77" s="1" t="s">
        <v>138</v>
      </c>
    </row>
    <row r="78" spans="7:7" ht="15" hidden="1" customHeight="1" x14ac:dyDescent="0.35">
      <c r="G78" s="1" t="s">
        <v>231</v>
      </c>
    </row>
    <row r="79" spans="7:7" ht="15" hidden="1" customHeight="1" x14ac:dyDescent="0.35">
      <c r="G79" s="1" t="s">
        <v>232</v>
      </c>
    </row>
    <row r="80" spans="7:7" ht="15" hidden="1" customHeight="1" x14ac:dyDescent="0.35">
      <c r="G80" s="1" t="s">
        <v>233</v>
      </c>
    </row>
    <row r="81" spans="7:7" ht="15" hidden="1" customHeight="1" x14ac:dyDescent="0.35">
      <c r="G81" s="1" t="s">
        <v>87</v>
      </c>
    </row>
    <row r="82" spans="7:7" ht="15" hidden="1" customHeight="1" x14ac:dyDescent="0.35">
      <c r="G82" s="1" t="s">
        <v>234</v>
      </c>
    </row>
    <row r="83" spans="7:7" ht="15" hidden="1" customHeight="1" x14ac:dyDescent="0.35">
      <c r="G83" s="1" t="s">
        <v>235</v>
      </c>
    </row>
    <row r="84" spans="7:7" ht="15" hidden="1" customHeight="1" x14ac:dyDescent="0.35">
      <c r="G84" s="1" t="s">
        <v>236</v>
      </c>
    </row>
    <row r="85" spans="7:7" ht="15" hidden="1" customHeight="1" x14ac:dyDescent="0.35">
      <c r="G85" s="1" t="s">
        <v>237</v>
      </c>
    </row>
    <row r="86" spans="7:7" ht="15" hidden="1" customHeight="1" x14ac:dyDescent="0.35">
      <c r="G86" s="1" t="s">
        <v>238</v>
      </c>
    </row>
    <row r="87" spans="7:7" ht="15" hidden="1" customHeight="1" x14ac:dyDescent="0.35">
      <c r="G87" s="1" t="s">
        <v>239</v>
      </c>
    </row>
    <row r="88" spans="7:7" ht="15" hidden="1" customHeight="1" x14ac:dyDescent="0.35">
      <c r="G88" s="1" t="s">
        <v>240</v>
      </c>
    </row>
    <row r="89" spans="7:7" ht="15" hidden="1" customHeight="1" x14ac:dyDescent="0.35">
      <c r="G89" s="1" t="s">
        <v>241</v>
      </c>
    </row>
    <row r="90" spans="7:7" ht="15" hidden="1" customHeight="1" x14ac:dyDescent="0.35">
      <c r="G90" s="1" t="s">
        <v>242</v>
      </c>
    </row>
    <row r="91" spans="7:7" ht="15" hidden="1" customHeight="1" x14ac:dyDescent="0.35">
      <c r="G91" s="1" t="s">
        <v>243</v>
      </c>
    </row>
    <row r="92" spans="7:7" ht="15" hidden="1" customHeight="1" x14ac:dyDescent="0.35">
      <c r="G92" s="1" t="s">
        <v>244</v>
      </c>
    </row>
    <row r="93" spans="7:7" ht="15" hidden="1" customHeight="1" x14ac:dyDescent="0.35">
      <c r="G93" s="1" t="s">
        <v>245</v>
      </c>
    </row>
    <row r="94" spans="7:7" ht="15" hidden="1" customHeight="1" x14ac:dyDescent="0.35">
      <c r="G94" s="1" t="s">
        <v>246</v>
      </c>
    </row>
    <row r="95" spans="7:7" ht="15" hidden="1" customHeight="1" x14ac:dyDescent="0.35">
      <c r="G95" s="1" t="s">
        <v>39</v>
      </c>
    </row>
    <row r="96" spans="7:7" ht="15" hidden="1" customHeight="1" x14ac:dyDescent="0.35">
      <c r="G96" s="1" t="s">
        <v>247</v>
      </c>
    </row>
    <row r="97" spans="7:7" ht="15" hidden="1" customHeight="1" x14ac:dyDescent="0.35">
      <c r="G97" s="1" t="s">
        <v>248</v>
      </c>
    </row>
    <row r="98" spans="7:7" ht="15" hidden="1" customHeight="1" x14ac:dyDescent="0.35">
      <c r="G98" s="1" t="s">
        <v>249</v>
      </c>
    </row>
    <row r="99" spans="7:7" ht="15" hidden="1" customHeight="1" x14ac:dyDescent="0.35">
      <c r="G99" s="1" t="s">
        <v>250</v>
      </c>
    </row>
    <row r="100" spans="7:7" ht="15" hidden="1" customHeight="1" x14ac:dyDescent="0.35">
      <c r="G100" s="1" t="s">
        <v>251</v>
      </c>
    </row>
    <row r="101" spans="7:7" ht="15" hidden="1" customHeight="1" x14ac:dyDescent="0.35">
      <c r="G101" s="1" t="s">
        <v>252</v>
      </c>
    </row>
    <row r="102" spans="7:7" ht="15" hidden="1" customHeight="1" x14ac:dyDescent="0.35">
      <c r="G102" s="1" t="s">
        <v>253</v>
      </c>
    </row>
  </sheetData>
  <sheetProtection formatCells="0" formatColumns="0" formatRows="0" insertColumns="0" insertRows="0" insertHyperlinks="0" deleteColumns="0" deleteRows="0" sort="0" autoFilter="0" pivotTables="0"/>
  <mergeCells count="126">
    <mergeCell ref="B41:B42"/>
    <mergeCell ref="C41:C42"/>
    <mergeCell ref="D41:D42"/>
    <mergeCell ref="E41:E42"/>
    <mergeCell ref="F41:F42"/>
    <mergeCell ref="G41:G42"/>
    <mergeCell ref="H36:I36"/>
    <mergeCell ref="H37:I37"/>
    <mergeCell ref="H38:I38"/>
    <mergeCell ref="AH16:AH17"/>
    <mergeCell ref="M16:M17"/>
    <mergeCell ref="N16:N17"/>
    <mergeCell ref="AG14:AG15"/>
    <mergeCell ref="AH14:AH15"/>
    <mergeCell ref="L14:L15"/>
    <mergeCell ref="M14:M15"/>
    <mergeCell ref="N14:N15"/>
    <mergeCell ref="AE14:AE15"/>
    <mergeCell ref="AF14:AF15"/>
    <mergeCell ref="I29:J29"/>
    <mergeCell ref="I30:J30"/>
    <mergeCell ref="I31:J31"/>
    <mergeCell ref="I32:J32"/>
    <mergeCell ref="I33:J33"/>
    <mergeCell ref="I34:J34"/>
    <mergeCell ref="AE16:AE17"/>
    <mergeCell ref="AF16:AF17"/>
    <mergeCell ref="AG16:AG17"/>
    <mergeCell ref="D21:E21"/>
    <mergeCell ref="H21:H24"/>
    <mergeCell ref="D22:E22"/>
    <mergeCell ref="H25:H28"/>
    <mergeCell ref="AG18:AG19"/>
    <mergeCell ref="AH18:AH19"/>
    <mergeCell ref="L18:L19"/>
    <mergeCell ref="M18:M19"/>
    <mergeCell ref="N18:N19"/>
    <mergeCell ref="AE18:AE19"/>
    <mergeCell ref="AF18:AF19"/>
    <mergeCell ref="F18:F19"/>
    <mergeCell ref="G18:G19"/>
    <mergeCell ref="H18:H19"/>
    <mergeCell ref="I18:I19"/>
    <mergeCell ref="J18:J19"/>
    <mergeCell ref="K18:K19"/>
    <mergeCell ref="A18:A19"/>
    <mergeCell ref="B18:B19"/>
    <mergeCell ref="C18:C19"/>
    <mergeCell ref="D18:D19"/>
    <mergeCell ref="E18:E19"/>
    <mergeCell ref="I16:I17"/>
    <mergeCell ref="J16:J17"/>
    <mergeCell ref="K16:K17"/>
    <mergeCell ref="L16:L17"/>
    <mergeCell ref="A16:A17"/>
    <mergeCell ref="B16:B17"/>
    <mergeCell ref="C16:C17"/>
    <mergeCell ref="D16:D17"/>
    <mergeCell ref="E16:E17"/>
    <mergeCell ref="F16:F17"/>
    <mergeCell ref="G16:G17"/>
    <mergeCell ref="H16:H17"/>
    <mergeCell ref="F14:F15"/>
    <mergeCell ref="G14:G15"/>
    <mergeCell ref="H14:H15"/>
    <mergeCell ref="I14:I15"/>
    <mergeCell ref="J14:J15"/>
    <mergeCell ref="K14:K15"/>
    <mergeCell ref="AD12:AD13"/>
    <mergeCell ref="AE12:AE13"/>
    <mergeCell ref="AF12:AF13"/>
    <mergeCell ref="G12:G13"/>
    <mergeCell ref="H12:H13"/>
    <mergeCell ref="I12:I13"/>
    <mergeCell ref="J12:J13"/>
    <mergeCell ref="K12:K13"/>
    <mergeCell ref="L12:L13"/>
    <mergeCell ref="AB12:AB13"/>
    <mergeCell ref="AC12:AC13"/>
    <mergeCell ref="A14:A15"/>
    <mergeCell ref="B14:B15"/>
    <mergeCell ref="C14:C15"/>
    <mergeCell ref="D14:D15"/>
    <mergeCell ref="E14:E15"/>
    <mergeCell ref="X12:X13"/>
    <mergeCell ref="Y12:Y13"/>
    <mergeCell ref="Z12:Z13"/>
    <mergeCell ref="AA12:AA13"/>
    <mergeCell ref="R12:R13"/>
    <mergeCell ref="S12:S13"/>
    <mergeCell ref="T12:T13"/>
    <mergeCell ref="U12:U13"/>
    <mergeCell ref="V12:V13"/>
    <mergeCell ref="W12:W13"/>
    <mergeCell ref="M12:M13"/>
    <mergeCell ref="N12:N13"/>
    <mergeCell ref="O12:O13"/>
    <mergeCell ref="P12:P13"/>
    <mergeCell ref="Q12:Q13"/>
    <mergeCell ref="A12:A13"/>
    <mergeCell ref="B12:B13"/>
    <mergeCell ref="C12:C13"/>
    <mergeCell ref="D12:D13"/>
    <mergeCell ref="E12:E13"/>
    <mergeCell ref="F12:F13"/>
    <mergeCell ref="A11:F11"/>
    <mergeCell ref="G11:N11"/>
    <mergeCell ref="O11:AD11"/>
    <mergeCell ref="AE11:AH11"/>
    <mergeCell ref="K6:L10"/>
    <mergeCell ref="M6:M10"/>
    <mergeCell ref="A1:C3"/>
    <mergeCell ref="D1:AH3"/>
    <mergeCell ref="A4:A5"/>
    <mergeCell ref="G4:G5"/>
    <mergeCell ref="A6:B10"/>
    <mergeCell ref="C6:D10"/>
    <mergeCell ref="E6:F10"/>
    <mergeCell ref="G6:G10"/>
    <mergeCell ref="H6:I10"/>
    <mergeCell ref="J6:J10"/>
    <mergeCell ref="N6:O10"/>
    <mergeCell ref="P6:Q10"/>
    <mergeCell ref="R6:AH10"/>
    <mergeCell ref="AG12:AG13"/>
    <mergeCell ref="AH12:AH13"/>
  </mergeCells>
  <conditionalFormatting sqref="I4">
    <cfRule type="cellIs" dxfId="31" priority="16" operator="lessThanOrEqual">
      <formula>$C$4</formula>
    </cfRule>
  </conditionalFormatting>
  <conditionalFormatting sqref="J6">
    <cfRule type="cellIs" dxfId="30" priority="17" operator="greaterThanOrEqual">
      <formula>$C$5</formula>
    </cfRule>
    <cfRule type="cellIs" dxfId="29" priority="18" operator="lessThanOrEqual">
      <formula>$C$4</formula>
    </cfRule>
    <cfRule type="cellIs" dxfId="28" priority="19" operator="between">
      <formula>$C$5</formula>
      <formula>$C$4</formula>
    </cfRule>
  </conditionalFormatting>
  <conditionalFormatting sqref="P6">
    <cfRule type="cellIs" dxfId="27" priority="13" operator="greaterThanOrEqual">
      <formula>$I$5</formula>
    </cfRule>
    <cfRule type="cellIs" dxfId="26" priority="14" operator="lessThanOrEqual">
      <formula>$I$4</formula>
    </cfRule>
    <cfRule type="cellIs" dxfId="25" priority="15" operator="between">
      <formula>$I$5</formula>
      <formula>$I$4</formula>
    </cfRule>
  </conditionalFormatting>
  <conditionalFormatting sqref="Q14:Q19">
    <cfRule type="cellIs" dxfId="24" priority="10" operator="greaterThanOrEqual">
      <formula>$C$5</formula>
    </cfRule>
    <cfRule type="cellIs" dxfId="23" priority="11" operator="lessThanOrEqual">
      <formula>$C$4</formula>
    </cfRule>
    <cfRule type="cellIs" dxfId="22" priority="12" operator="between">
      <formula>$C$5</formula>
      <formula>$C$4</formula>
    </cfRule>
  </conditionalFormatting>
  <conditionalFormatting sqref="S29:S32 W29:W32 O29:O34 AA29:AA34 K30:N30 P30:R30 T30:V30 X30:Z30 AB30:AD30 J38">
    <cfRule type="cellIs" dxfId="21" priority="20" operator="greaterThanOrEqual">
      <formula>$D$9</formula>
    </cfRule>
    <cfRule type="cellIs" dxfId="20" priority="21" operator="lessThanOrEqual">
      <formula>$C$6</formula>
    </cfRule>
    <cfRule type="cellIs" dxfId="19" priority="22" operator="between">
      <formula>$C$6</formula>
      <formula>$D$9</formula>
    </cfRule>
  </conditionalFormatting>
  <dataValidations count="5">
    <dataValidation allowBlank="1" showErrorMessage="1" sqref="Q14:Q19" xr:uid="{7DBB4879-4A50-4400-ACD4-E8C31B46AD77}"/>
    <dataValidation type="decimal" allowBlank="1" showInputMessage="1" showErrorMessage="1" prompt="campo calculado  - indica el % de avance  que aporta la activadad a todo el proyecto" sqref="P15 P17 P19" xr:uid="{0E37F844-6869-4CB4-A633-BBAA56289DCA}">
      <formula1>0</formula1>
      <formula2>1</formula2>
    </dataValidation>
    <dataValidation type="decimal" allowBlank="1" showInputMessage="1" showErrorMessage="1" prompt="valor porcentual de la activida - Indique el peso porcentual de la actividad dentro del proyecto" sqref="P14 P16 P18" xr:uid="{DF278D53-5715-47CE-86C8-7D225D755835}">
      <formula1>0</formula1>
      <formula2>1</formula2>
    </dataValidation>
    <dataValidation type="decimal" allowBlank="1" showInputMessage="1" showErrorMessage="1" prompt="% de avance en la actividad - indique el % programado de avance durante esta semana_x000a_" sqref="R14:AD19" xr:uid="{E4C01763-5DAD-4C29-8998-DAF85B933DC9}">
      <formula1>0</formula1>
      <formula2>1</formula2>
    </dataValidation>
    <dataValidation type="list" allowBlank="1" showInputMessage="1" showErrorMessage="1" sqref="D14:D19" xr:uid="{E2FAE76B-1774-476F-A95F-0E044D86F82A}">
      <formula1>$D$40:$D$46</formula1>
    </dataValidation>
  </dataValidations>
  <pageMargins left="0.7" right="0.7" top="0.75" bottom="0.75" header="0.3" footer="0.3"/>
  <pageSetup scale="13" orientation="portrait" r:id="rId1"/>
  <headerFooter>
    <oddFooter>&amp;C_x000D_&amp;1#&amp;"Calibri"&amp;10&amp;K008000 DOCUMENTO PÚBLICO</oddFooter>
  </headerFooter>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1:I500"/>
  <sheetViews>
    <sheetView workbookViewId="0"/>
  </sheetViews>
  <sheetFormatPr baseColWidth="10" defaultColWidth="12.54296875" defaultRowHeight="15" customHeight="1" x14ac:dyDescent="0.35"/>
  <cols>
    <col min="1" max="5" width="9.453125" customWidth="1"/>
    <col min="6" max="6" width="58.36328125" customWidth="1"/>
    <col min="7" max="13" width="9.453125" customWidth="1"/>
  </cols>
  <sheetData>
    <row r="1" spans="3:9" ht="45" customHeight="1" x14ac:dyDescent="0.35"/>
    <row r="2" spans="3:9" ht="45" customHeight="1" x14ac:dyDescent="0.35"/>
    <row r="3" spans="3:9" ht="45" customHeight="1" x14ac:dyDescent="0.35">
      <c r="C3" t="s">
        <v>1624</v>
      </c>
    </row>
    <row r="4" spans="3:9" ht="45" customHeight="1" x14ac:dyDescent="0.35">
      <c r="C4" t="s">
        <v>1625</v>
      </c>
      <c r="D4" t="s">
        <v>1625</v>
      </c>
      <c r="F4" s="2" t="s">
        <v>1626</v>
      </c>
      <c r="I4" s="3" t="s">
        <v>1627</v>
      </c>
    </row>
    <row r="5" spans="3:9" ht="45" customHeight="1" x14ac:dyDescent="0.35">
      <c r="C5" t="s">
        <v>1628</v>
      </c>
      <c r="D5" t="s">
        <v>1628</v>
      </c>
      <c r="F5" s="2" t="s">
        <v>1629</v>
      </c>
      <c r="I5" s="4" t="s">
        <v>1630</v>
      </c>
    </row>
    <row r="6" spans="3:9" ht="45" customHeight="1" x14ac:dyDescent="0.35">
      <c r="C6" t="s">
        <v>1631</v>
      </c>
      <c r="D6" t="s">
        <v>1625</v>
      </c>
      <c r="F6" s="2" t="s">
        <v>1632</v>
      </c>
      <c r="I6" s="5" t="s">
        <v>1633</v>
      </c>
    </row>
    <row r="7" spans="3:9" ht="45" customHeight="1" x14ac:dyDescent="0.35">
      <c r="F7" s="2" t="s">
        <v>1634</v>
      </c>
      <c r="I7" s="5" t="s">
        <v>1635</v>
      </c>
    </row>
    <row r="8" spans="3:9" ht="45" customHeight="1" x14ac:dyDescent="0.35">
      <c r="F8" s="2" t="s">
        <v>1636</v>
      </c>
      <c r="I8" s="4" t="s">
        <v>1637</v>
      </c>
    </row>
    <row r="9" spans="3:9" ht="45" customHeight="1" x14ac:dyDescent="0.35">
      <c r="F9" s="2" t="s">
        <v>1638</v>
      </c>
      <c r="I9" s="6" t="s">
        <v>1639</v>
      </c>
    </row>
    <row r="10" spans="3:9" ht="45" customHeight="1" x14ac:dyDescent="0.35">
      <c r="F10" s="2" t="s">
        <v>1640</v>
      </c>
      <c r="I10" s="7" t="s">
        <v>1641</v>
      </c>
    </row>
    <row r="11" spans="3:9" ht="45" customHeight="1" x14ac:dyDescent="0.35">
      <c r="F11" s="2" t="s">
        <v>1642</v>
      </c>
      <c r="I11" s="5" t="s">
        <v>1643</v>
      </c>
    </row>
    <row r="12" spans="3:9" ht="45" customHeight="1" x14ac:dyDescent="0.35">
      <c r="I12" s="4" t="s">
        <v>1644</v>
      </c>
    </row>
    <row r="13" spans="3:9" ht="45" customHeight="1" x14ac:dyDescent="0.35">
      <c r="I13" s="5" t="s">
        <v>1645</v>
      </c>
    </row>
    <row r="14" spans="3:9" ht="45" customHeight="1" x14ac:dyDescent="0.35"/>
    <row r="15" spans="3:9" ht="45" customHeight="1" x14ac:dyDescent="0.35"/>
    <row r="16" spans="3:9" ht="45" customHeight="1" x14ac:dyDescent="0.35"/>
    <row r="17" ht="45" customHeight="1" x14ac:dyDescent="0.35"/>
    <row r="18" ht="45" customHeight="1" x14ac:dyDescent="0.35"/>
    <row r="19" ht="45" customHeight="1" x14ac:dyDescent="0.35"/>
    <row r="20" ht="45" customHeight="1" x14ac:dyDescent="0.35"/>
    <row r="21" ht="45" customHeight="1" x14ac:dyDescent="0.35"/>
    <row r="22" ht="45" customHeight="1" x14ac:dyDescent="0.35"/>
    <row r="23" ht="45" customHeight="1" x14ac:dyDescent="0.35"/>
    <row r="24" ht="45" customHeight="1" x14ac:dyDescent="0.35"/>
    <row r="25" ht="45" customHeight="1" x14ac:dyDescent="0.35"/>
    <row r="26" ht="45" customHeight="1" x14ac:dyDescent="0.35"/>
    <row r="27" ht="45" customHeight="1" x14ac:dyDescent="0.35"/>
    <row r="28" ht="45" customHeight="1" x14ac:dyDescent="0.35"/>
    <row r="29" ht="45" customHeight="1" x14ac:dyDescent="0.35"/>
    <row r="30" ht="45" customHeight="1" x14ac:dyDescent="0.35"/>
    <row r="31" ht="45" customHeight="1" x14ac:dyDescent="0.35"/>
    <row r="32" ht="45" customHeight="1" x14ac:dyDescent="0.35"/>
    <row r="33" ht="45" customHeight="1" x14ac:dyDescent="0.35"/>
    <row r="34" ht="45" customHeight="1" x14ac:dyDescent="0.35"/>
    <row r="35" ht="45" customHeight="1" x14ac:dyDescent="0.35"/>
    <row r="36" ht="45" customHeight="1" x14ac:dyDescent="0.35"/>
    <row r="37" ht="45" customHeight="1" x14ac:dyDescent="0.35"/>
    <row r="38" ht="45" customHeight="1" x14ac:dyDescent="0.35"/>
    <row r="39" ht="45" customHeight="1" x14ac:dyDescent="0.35"/>
    <row r="40" ht="45" customHeight="1" x14ac:dyDescent="0.35"/>
    <row r="41" ht="45" customHeight="1" x14ac:dyDescent="0.35"/>
    <row r="42" ht="45" customHeight="1" x14ac:dyDescent="0.35"/>
    <row r="43" ht="45" customHeight="1" x14ac:dyDescent="0.35"/>
    <row r="44" ht="45" customHeight="1" x14ac:dyDescent="0.35"/>
    <row r="45" ht="45" customHeight="1" x14ac:dyDescent="0.35"/>
    <row r="46" ht="45" customHeight="1" x14ac:dyDescent="0.35"/>
    <row r="47" ht="45" customHeight="1" x14ac:dyDescent="0.35"/>
    <row r="48" ht="45" customHeight="1" x14ac:dyDescent="0.35"/>
    <row r="49" ht="45" customHeight="1" x14ac:dyDescent="0.35"/>
    <row r="50" ht="45" customHeight="1" x14ac:dyDescent="0.35"/>
    <row r="51" ht="45" customHeight="1" x14ac:dyDescent="0.35"/>
    <row r="52" ht="45" customHeight="1" x14ac:dyDescent="0.35"/>
    <row r="53" ht="45" customHeight="1" x14ac:dyDescent="0.35"/>
    <row r="54" ht="45" customHeight="1" x14ac:dyDescent="0.35"/>
    <row r="55" ht="45" customHeight="1" x14ac:dyDescent="0.35"/>
    <row r="56" ht="45" customHeight="1" x14ac:dyDescent="0.35"/>
    <row r="57" ht="45" customHeight="1" x14ac:dyDescent="0.35"/>
    <row r="58" ht="45" customHeight="1" x14ac:dyDescent="0.35"/>
    <row r="59" ht="45" customHeight="1" x14ac:dyDescent="0.35"/>
    <row r="60" ht="45" customHeight="1" x14ac:dyDescent="0.35"/>
    <row r="61" ht="45" customHeight="1" x14ac:dyDescent="0.35"/>
    <row r="62" ht="45" customHeight="1" x14ac:dyDescent="0.35"/>
    <row r="63" ht="45" customHeight="1" x14ac:dyDescent="0.35"/>
    <row r="64" ht="45" customHeight="1" x14ac:dyDescent="0.35"/>
    <row r="65" ht="45" customHeight="1" x14ac:dyDescent="0.35"/>
    <row r="66" ht="45" customHeight="1" x14ac:dyDescent="0.35"/>
    <row r="67" ht="45" customHeight="1" x14ac:dyDescent="0.35"/>
    <row r="68" ht="45" customHeight="1" x14ac:dyDescent="0.35"/>
    <row r="69" ht="45" customHeight="1" x14ac:dyDescent="0.35"/>
    <row r="70" ht="45" customHeight="1" x14ac:dyDescent="0.35"/>
    <row r="71" ht="45" customHeight="1" x14ac:dyDescent="0.35"/>
    <row r="72" ht="45" customHeight="1" x14ac:dyDescent="0.35"/>
    <row r="73" ht="45" customHeight="1" x14ac:dyDescent="0.35"/>
    <row r="74" ht="45" customHeight="1" x14ac:dyDescent="0.35"/>
    <row r="75" ht="45" customHeight="1" x14ac:dyDescent="0.35"/>
    <row r="76" ht="45" customHeight="1" x14ac:dyDescent="0.35"/>
    <row r="77" ht="45" customHeight="1" x14ac:dyDescent="0.35"/>
    <row r="78" ht="45" customHeight="1" x14ac:dyDescent="0.35"/>
    <row r="79" ht="45" customHeight="1" x14ac:dyDescent="0.35"/>
    <row r="80" ht="45" customHeight="1" x14ac:dyDescent="0.35"/>
    <row r="81" ht="45" customHeight="1" x14ac:dyDescent="0.35"/>
    <row r="82" ht="45" customHeight="1" x14ac:dyDescent="0.35"/>
    <row r="83" ht="45" customHeight="1" x14ac:dyDescent="0.35"/>
    <row r="84" ht="45" customHeight="1" x14ac:dyDescent="0.35"/>
    <row r="85" ht="45" customHeight="1" x14ac:dyDescent="0.35"/>
    <row r="86" ht="45" customHeight="1" x14ac:dyDescent="0.35"/>
    <row r="87" ht="45" customHeight="1" x14ac:dyDescent="0.35"/>
    <row r="88" ht="45" customHeight="1" x14ac:dyDescent="0.35"/>
    <row r="89" ht="45" customHeight="1" x14ac:dyDescent="0.35"/>
    <row r="90" ht="45" customHeight="1" x14ac:dyDescent="0.35"/>
    <row r="91" ht="45" customHeight="1" x14ac:dyDescent="0.35"/>
    <row r="92" ht="45" customHeight="1" x14ac:dyDescent="0.35"/>
    <row r="93" ht="45" customHeight="1" x14ac:dyDescent="0.35"/>
    <row r="94" ht="45" customHeight="1" x14ac:dyDescent="0.35"/>
    <row r="95" ht="45" customHeight="1" x14ac:dyDescent="0.35"/>
    <row r="96" ht="45" customHeight="1" x14ac:dyDescent="0.35"/>
    <row r="97" ht="45" customHeight="1" x14ac:dyDescent="0.35"/>
    <row r="98" ht="45" customHeight="1" x14ac:dyDescent="0.35"/>
    <row r="99" ht="45" customHeight="1" x14ac:dyDescent="0.35"/>
    <row r="100" ht="45" customHeight="1" x14ac:dyDescent="0.35"/>
    <row r="101" ht="45" customHeight="1" x14ac:dyDescent="0.35"/>
    <row r="102" ht="45" customHeight="1" x14ac:dyDescent="0.35"/>
    <row r="103" ht="45" customHeight="1" x14ac:dyDescent="0.35"/>
    <row r="104" ht="45" customHeight="1" x14ac:dyDescent="0.35"/>
    <row r="105" ht="45" customHeight="1" x14ac:dyDescent="0.35"/>
    <row r="106" ht="45" customHeight="1" x14ac:dyDescent="0.35"/>
    <row r="107" ht="45" customHeight="1" x14ac:dyDescent="0.35"/>
    <row r="108" ht="45" customHeight="1" x14ac:dyDescent="0.35"/>
    <row r="109" ht="45" customHeight="1" x14ac:dyDescent="0.35"/>
    <row r="110" ht="45" customHeight="1" x14ac:dyDescent="0.35"/>
    <row r="111" ht="45" customHeight="1" x14ac:dyDescent="0.35"/>
    <row r="112" ht="45" customHeight="1" x14ac:dyDescent="0.35"/>
    <row r="113" ht="45" customHeight="1" x14ac:dyDescent="0.35"/>
    <row r="114" ht="45" customHeight="1" x14ac:dyDescent="0.35"/>
    <row r="115" ht="45" customHeight="1" x14ac:dyDescent="0.35"/>
    <row r="116" ht="45" customHeight="1" x14ac:dyDescent="0.35"/>
    <row r="117" ht="45" customHeight="1" x14ac:dyDescent="0.35"/>
    <row r="118" ht="45" customHeight="1" x14ac:dyDescent="0.35"/>
    <row r="119" ht="45" customHeight="1" x14ac:dyDescent="0.35"/>
    <row r="120" ht="45" customHeight="1" x14ac:dyDescent="0.35"/>
    <row r="121" ht="45" customHeight="1" x14ac:dyDescent="0.35"/>
    <row r="122" ht="45" customHeight="1" x14ac:dyDescent="0.35"/>
    <row r="123" ht="45" customHeight="1" x14ac:dyDescent="0.35"/>
    <row r="124" ht="45" customHeight="1" x14ac:dyDescent="0.35"/>
    <row r="125" ht="45" customHeight="1" x14ac:dyDescent="0.35"/>
    <row r="126" ht="45" customHeight="1" x14ac:dyDescent="0.35"/>
    <row r="127" ht="45" customHeight="1" x14ac:dyDescent="0.35"/>
    <row r="128" ht="45" customHeight="1" x14ac:dyDescent="0.35"/>
    <row r="129" ht="45" customHeight="1" x14ac:dyDescent="0.35"/>
    <row r="130" ht="45" customHeight="1" x14ac:dyDescent="0.35"/>
    <row r="131" ht="45" customHeight="1" x14ac:dyDescent="0.35"/>
    <row r="132" ht="45" customHeight="1" x14ac:dyDescent="0.35"/>
    <row r="133" ht="45" customHeight="1" x14ac:dyDescent="0.35"/>
    <row r="134" ht="45" customHeight="1" x14ac:dyDescent="0.35"/>
    <row r="135" ht="45" customHeight="1" x14ac:dyDescent="0.35"/>
    <row r="136" ht="45" customHeight="1" x14ac:dyDescent="0.35"/>
    <row r="137" ht="45" customHeight="1" x14ac:dyDescent="0.35"/>
    <row r="138" ht="45" customHeight="1" x14ac:dyDescent="0.35"/>
    <row r="139" ht="45" customHeight="1" x14ac:dyDescent="0.35"/>
    <row r="140" ht="45" customHeight="1" x14ac:dyDescent="0.35"/>
    <row r="141" ht="45" customHeight="1" x14ac:dyDescent="0.35"/>
    <row r="142" ht="45" customHeight="1" x14ac:dyDescent="0.35"/>
    <row r="143" ht="45" customHeight="1" x14ac:dyDescent="0.35"/>
    <row r="144" ht="45" customHeight="1" x14ac:dyDescent="0.35"/>
    <row r="145" ht="45" customHeight="1" x14ac:dyDescent="0.35"/>
    <row r="146" ht="45" customHeight="1" x14ac:dyDescent="0.35"/>
    <row r="147" ht="45" customHeight="1" x14ac:dyDescent="0.35"/>
    <row r="148" ht="45" customHeight="1" x14ac:dyDescent="0.35"/>
    <row r="149" ht="45" customHeight="1" x14ac:dyDescent="0.35"/>
    <row r="150" ht="45" customHeight="1" x14ac:dyDescent="0.35"/>
    <row r="151" ht="45" customHeight="1" x14ac:dyDescent="0.35"/>
    <row r="152" ht="45" customHeight="1" x14ac:dyDescent="0.35"/>
    <row r="153" ht="45" customHeight="1" x14ac:dyDescent="0.35"/>
    <row r="154" ht="45" customHeight="1" x14ac:dyDescent="0.35"/>
    <row r="155" ht="45" customHeight="1" x14ac:dyDescent="0.35"/>
    <row r="156" ht="45" customHeight="1" x14ac:dyDescent="0.35"/>
    <row r="157" ht="45" customHeight="1" x14ac:dyDescent="0.35"/>
    <row r="158" ht="45" customHeight="1" x14ac:dyDescent="0.35"/>
    <row r="159" ht="45" customHeight="1" x14ac:dyDescent="0.35"/>
    <row r="160" ht="45" customHeight="1" x14ac:dyDescent="0.35"/>
    <row r="161" ht="45" customHeight="1" x14ac:dyDescent="0.35"/>
    <row r="162" ht="45" customHeight="1" x14ac:dyDescent="0.35"/>
    <row r="163" ht="45" customHeight="1" x14ac:dyDescent="0.35"/>
    <row r="164" ht="45" customHeight="1" x14ac:dyDescent="0.35"/>
    <row r="165" ht="45" customHeight="1" x14ac:dyDescent="0.35"/>
    <row r="166" ht="45" customHeight="1" x14ac:dyDescent="0.35"/>
    <row r="167" ht="45" customHeight="1" x14ac:dyDescent="0.35"/>
    <row r="168" ht="45" customHeight="1" x14ac:dyDescent="0.35"/>
    <row r="169" ht="45" customHeight="1" x14ac:dyDescent="0.35"/>
    <row r="170" ht="45" customHeight="1" x14ac:dyDescent="0.35"/>
    <row r="171" ht="45" customHeight="1" x14ac:dyDescent="0.35"/>
    <row r="172" ht="45" customHeight="1" x14ac:dyDescent="0.35"/>
    <row r="173" ht="45" customHeight="1" x14ac:dyDescent="0.35"/>
    <row r="174" ht="45" customHeight="1" x14ac:dyDescent="0.35"/>
    <row r="175" ht="45" customHeight="1" x14ac:dyDescent="0.35"/>
    <row r="176" ht="45" customHeight="1" x14ac:dyDescent="0.35"/>
    <row r="177" ht="45" customHeight="1" x14ac:dyDescent="0.35"/>
    <row r="178" ht="45" customHeight="1" x14ac:dyDescent="0.35"/>
    <row r="179" ht="45" customHeight="1" x14ac:dyDescent="0.35"/>
    <row r="180" ht="45" customHeight="1" x14ac:dyDescent="0.35"/>
    <row r="181" ht="45" customHeight="1" x14ac:dyDescent="0.35"/>
    <row r="182" ht="45" customHeight="1" x14ac:dyDescent="0.35"/>
    <row r="183" ht="45" customHeight="1" x14ac:dyDescent="0.35"/>
    <row r="184" ht="45" customHeight="1" x14ac:dyDescent="0.35"/>
    <row r="185" ht="45" customHeight="1" x14ac:dyDescent="0.35"/>
    <row r="186" ht="45" customHeight="1" x14ac:dyDescent="0.35"/>
    <row r="187" ht="45" customHeight="1" x14ac:dyDescent="0.35"/>
    <row r="188" ht="45" customHeight="1" x14ac:dyDescent="0.35"/>
    <row r="189" ht="45" customHeight="1" x14ac:dyDescent="0.35"/>
    <row r="190" ht="45" customHeight="1" x14ac:dyDescent="0.35"/>
    <row r="191" ht="45" customHeight="1" x14ac:dyDescent="0.35"/>
    <row r="192" ht="45" customHeight="1" x14ac:dyDescent="0.35"/>
    <row r="193" ht="45" customHeight="1" x14ac:dyDescent="0.35"/>
    <row r="194" ht="45" customHeight="1" x14ac:dyDescent="0.35"/>
    <row r="195" ht="45" customHeight="1" x14ac:dyDescent="0.35"/>
    <row r="196" ht="45" customHeight="1" x14ac:dyDescent="0.35"/>
    <row r="197" ht="45" customHeight="1" x14ac:dyDescent="0.35"/>
    <row r="198" ht="45" customHeight="1" x14ac:dyDescent="0.35"/>
    <row r="199" ht="45" customHeight="1" x14ac:dyDescent="0.35"/>
    <row r="200" ht="45" customHeight="1" x14ac:dyDescent="0.35"/>
    <row r="201" ht="45" customHeight="1" x14ac:dyDescent="0.35"/>
    <row r="202" ht="45" customHeight="1" x14ac:dyDescent="0.35"/>
    <row r="203" ht="45" customHeight="1" x14ac:dyDescent="0.35"/>
    <row r="204" ht="45" customHeight="1" x14ac:dyDescent="0.35"/>
    <row r="205" ht="45" customHeight="1" x14ac:dyDescent="0.35"/>
    <row r="206" ht="45" customHeight="1" x14ac:dyDescent="0.35"/>
    <row r="207" ht="45" customHeight="1" x14ac:dyDescent="0.35"/>
    <row r="208" ht="45" customHeight="1" x14ac:dyDescent="0.35"/>
    <row r="209" ht="45" customHeight="1" x14ac:dyDescent="0.35"/>
    <row r="210" ht="45" customHeight="1" x14ac:dyDescent="0.35"/>
    <row r="211" ht="45" customHeight="1" x14ac:dyDescent="0.35"/>
    <row r="212" ht="45" customHeight="1" x14ac:dyDescent="0.35"/>
    <row r="213" ht="45" customHeight="1" x14ac:dyDescent="0.35"/>
    <row r="214" ht="45" customHeight="1" x14ac:dyDescent="0.35"/>
    <row r="215" ht="45" customHeight="1" x14ac:dyDescent="0.35"/>
    <row r="216" ht="45" customHeight="1" x14ac:dyDescent="0.35"/>
    <row r="217" ht="45" customHeight="1" x14ac:dyDescent="0.35"/>
    <row r="218" ht="45" customHeight="1" x14ac:dyDescent="0.35"/>
    <row r="219" ht="45" customHeight="1" x14ac:dyDescent="0.35"/>
    <row r="220" ht="45" customHeight="1" x14ac:dyDescent="0.35"/>
    <row r="221" ht="45" customHeight="1" x14ac:dyDescent="0.35"/>
    <row r="222" ht="45" customHeight="1" x14ac:dyDescent="0.35"/>
    <row r="223" ht="45" customHeight="1" x14ac:dyDescent="0.35"/>
    <row r="224" ht="45" customHeight="1" x14ac:dyDescent="0.35"/>
    <row r="225" ht="45" customHeight="1" x14ac:dyDescent="0.35"/>
    <row r="226" ht="45" customHeight="1" x14ac:dyDescent="0.35"/>
    <row r="227" ht="45" customHeight="1" x14ac:dyDescent="0.35"/>
    <row r="228" ht="45" customHeight="1" x14ac:dyDescent="0.35"/>
    <row r="229" ht="45" customHeight="1" x14ac:dyDescent="0.35"/>
    <row r="230" ht="45" customHeight="1" x14ac:dyDescent="0.35"/>
    <row r="231" ht="45" customHeight="1" x14ac:dyDescent="0.35"/>
    <row r="232" ht="45" customHeight="1" x14ac:dyDescent="0.35"/>
    <row r="233" ht="45" customHeight="1" x14ac:dyDescent="0.35"/>
    <row r="234" ht="45" customHeight="1" x14ac:dyDescent="0.35"/>
    <row r="235" ht="45" customHeight="1" x14ac:dyDescent="0.35"/>
    <row r="236" ht="45" customHeight="1" x14ac:dyDescent="0.35"/>
    <row r="237" ht="45" customHeight="1" x14ac:dyDescent="0.35"/>
    <row r="238" ht="45" customHeight="1" x14ac:dyDescent="0.35"/>
    <row r="239" ht="45" customHeight="1" x14ac:dyDescent="0.35"/>
    <row r="240" ht="45" customHeight="1" x14ac:dyDescent="0.35"/>
    <row r="241" ht="45" customHeight="1" x14ac:dyDescent="0.35"/>
    <row r="242" ht="45" customHeight="1" x14ac:dyDescent="0.35"/>
    <row r="243" ht="45" customHeight="1" x14ac:dyDescent="0.35"/>
    <row r="244" ht="45" customHeight="1" x14ac:dyDescent="0.35"/>
    <row r="245" ht="45" customHeight="1" x14ac:dyDescent="0.35"/>
    <row r="246" ht="45" customHeight="1" x14ac:dyDescent="0.35"/>
    <row r="247" ht="45" customHeight="1" x14ac:dyDescent="0.35"/>
    <row r="248" ht="45" customHeight="1" x14ac:dyDescent="0.35"/>
    <row r="249" ht="45" customHeight="1" x14ac:dyDescent="0.35"/>
    <row r="250" ht="45" customHeight="1" x14ac:dyDescent="0.35"/>
    <row r="251" ht="45" customHeight="1" x14ac:dyDescent="0.35"/>
    <row r="252" ht="45" customHeight="1" x14ac:dyDescent="0.35"/>
    <row r="253" ht="45" customHeight="1" x14ac:dyDescent="0.35"/>
    <row r="254" ht="45" customHeight="1" x14ac:dyDescent="0.35"/>
    <row r="255" ht="45" customHeight="1" x14ac:dyDescent="0.35"/>
    <row r="256" ht="45" customHeight="1" x14ac:dyDescent="0.35"/>
    <row r="257" ht="45" customHeight="1" x14ac:dyDescent="0.35"/>
    <row r="258" ht="45" customHeight="1" x14ac:dyDescent="0.35"/>
    <row r="259" ht="45" customHeight="1" x14ac:dyDescent="0.35"/>
    <row r="260" ht="45" customHeight="1" x14ac:dyDescent="0.35"/>
    <row r="261" ht="45" customHeight="1" x14ac:dyDescent="0.35"/>
    <row r="262" ht="45" customHeight="1" x14ac:dyDescent="0.35"/>
    <row r="263" ht="45" customHeight="1" x14ac:dyDescent="0.35"/>
    <row r="264" ht="45" customHeight="1" x14ac:dyDescent="0.35"/>
    <row r="265" ht="45" customHeight="1" x14ac:dyDescent="0.35"/>
    <row r="266" ht="45" customHeight="1" x14ac:dyDescent="0.35"/>
    <row r="267" ht="45" customHeight="1" x14ac:dyDescent="0.35"/>
    <row r="268" ht="45" customHeight="1" x14ac:dyDescent="0.35"/>
    <row r="269" ht="45" customHeight="1" x14ac:dyDescent="0.35"/>
    <row r="270" ht="45" customHeight="1" x14ac:dyDescent="0.35"/>
    <row r="271" ht="45" customHeight="1" x14ac:dyDescent="0.35"/>
    <row r="272" ht="45" customHeight="1" x14ac:dyDescent="0.35"/>
    <row r="273" ht="45" customHeight="1" x14ac:dyDescent="0.35"/>
    <row r="274" ht="45" customHeight="1" x14ac:dyDescent="0.35"/>
    <row r="275" ht="45" customHeight="1" x14ac:dyDescent="0.35"/>
    <row r="276" ht="45" customHeight="1" x14ac:dyDescent="0.35"/>
    <row r="277" ht="45" customHeight="1" x14ac:dyDescent="0.35"/>
    <row r="278" ht="45" customHeight="1" x14ac:dyDescent="0.35"/>
    <row r="279" ht="45" customHeight="1" x14ac:dyDescent="0.35"/>
    <row r="280" ht="45" customHeight="1" x14ac:dyDescent="0.35"/>
    <row r="281" ht="45" customHeight="1" x14ac:dyDescent="0.35"/>
    <row r="282" ht="45" customHeight="1" x14ac:dyDescent="0.35"/>
    <row r="283" ht="45" customHeight="1" x14ac:dyDescent="0.35"/>
    <row r="284" ht="45" customHeight="1" x14ac:dyDescent="0.35"/>
    <row r="285" ht="45" customHeight="1" x14ac:dyDescent="0.35"/>
    <row r="286" ht="45" customHeight="1" x14ac:dyDescent="0.35"/>
    <row r="287" ht="45" customHeight="1" x14ac:dyDescent="0.35"/>
    <row r="288" ht="45" customHeight="1" x14ac:dyDescent="0.35"/>
    <row r="289" ht="45" customHeight="1" x14ac:dyDescent="0.35"/>
    <row r="290" ht="45" customHeight="1" x14ac:dyDescent="0.35"/>
    <row r="291" ht="45" customHeight="1" x14ac:dyDescent="0.35"/>
    <row r="292" ht="45" customHeight="1" x14ac:dyDescent="0.35"/>
    <row r="293" ht="45" customHeight="1" x14ac:dyDescent="0.35"/>
    <row r="294" ht="45" customHeight="1" x14ac:dyDescent="0.35"/>
    <row r="295" ht="45" customHeight="1" x14ac:dyDescent="0.35"/>
    <row r="296" ht="45" customHeight="1" x14ac:dyDescent="0.35"/>
    <row r="297" ht="45" customHeight="1" x14ac:dyDescent="0.35"/>
    <row r="298" ht="45" customHeight="1" x14ac:dyDescent="0.35"/>
    <row r="299" ht="45" customHeight="1" x14ac:dyDescent="0.35"/>
    <row r="300" ht="45" customHeight="1" x14ac:dyDescent="0.35"/>
    <row r="301" ht="45" customHeight="1" x14ac:dyDescent="0.35"/>
    <row r="302" ht="45" customHeight="1" x14ac:dyDescent="0.35"/>
    <row r="303" ht="45" customHeight="1" x14ac:dyDescent="0.35"/>
    <row r="304" ht="45" customHeight="1" x14ac:dyDescent="0.35"/>
    <row r="305" ht="45" customHeight="1" x14ac:dyDescent="0.35"/>
    <row r="306" ht="45" customHeight="1" x14ac:dyDescent="0.35"/>
    <row r="307" ht="45" customHeight="1" x14ac:dyDescent="0.35"/>
    <row r="308" ht="45" customHeight="1" x14ac:dyDescent="0.35"/>
    <row r="309" ht="45" customHeight="1" x14ac:dyDescent="0.35"/>
    <row r="310" ht="45" customHeight="1" x14ac:dyDescent="0.35"/>
    <row r="311" ht="45" customHeight="1" x14ac:dyDescent="0.35"/>
    <row r="312" ht="45" customHeight="1" x14ac:dyDescent="0.35"/>
    <row r="313" ht="45" customHeight="1" x14ac:dyDescent="0.35"/>
    <row r="314" ht="45" customHeight="1" x14ac:dyDescent="0.35"/>
    <row r="315" ht="45" customHeight="1" x14ac:dyDescent="0.35"/>
    <row r="316" ht="45" customHeight="1" x14ac:dyDescent="0.35"/>
    <row r="317" ht="45" customHeight="1" x14ac:dyDescent="0.35"/>
    <row r="318" ht="45" customHeight="1" x14ac:dyDescent="0.35"/>
    <row r="319" ht="45" customHeight="1" x14ac:dyDescent="0.35"/>
    <row r="320" ht="45" customHeight="1" x14ac:dyDescent="0.35"/>
    <row r="321" ht="45" customHeight="1" x14ac:dyDescent="0.35"/>
    <row r="322" ht="45" customHeight="1" x14ac:dyDescent="0.35"/>
    <row r="323" ht="45" customHeight="1" x14ac:dyDescent="0.35"/>
    <row r="324" ht="45" customHeight="1" x14ac:dyDescent="0.35"/>
    <row r="325" ht="45" customHeight="1" x14ac:dyDescent="0.35"/>
    <row r="326" ht="45" customHeight="1" x14ac:dyDescent="0.35"/>
    <row r="327" ht="45" customHeight="1" x14ac:dyDescent="0.35"/>
    <row r="328" ht="45" customHeight="1" x14ac:dyDescent="0.35"/>
    <row r="329" ht="45" customHeight="1" x14ac:dyDescent="0.35"/>
    <row r="330" ht="45" customHeight="1" x14ac:dyDescent="0.35"/>
    <row r="331" ht="45" customHeight="1" x14ac:dyDescent="0.35"/>
    <row r="332" ht="45" customHeight="1" x14ac:dyDescent="0.35"/>
    <row r="333" ht="45" customHeight="1" x14ac:dyDescent="0.35"/>
    <row r="334" ht="45" customHeight="1" x14ac:dyDescent="0.35"/>
    <row r="335" ht="45" customHeight="1" x14ac:dyDescent="0.35"/>
    <row r="336" ht="45" customHeight="1" x14ac:dyDescent="0.35"/>
    <row r="337" ht="45" customHeight="1" x14ac:dyDescent="0.35"/>
    <row r="338" ht="45" customHeight="1" x14ac:dyDescent="0.35"/>
    <row r="339" ht="45" customHeight="1" x14ac:dyDescent="0.35"/>
    <row r="340" ht="45" customHeight="1" x14ac:dyDescent="0.35"/>
    <row r="341" ht="45" customHeight="1" x14ac:dyDescent="0.35"/>
    <row r="342" ht="45" customHeight="1" x14ac:dyDescent="0.35"/>
    <row r="343" ht="45" customHeight="1" x14ac:dyDescent="0.35"/>
    <row r="344" ht="45" customHeight="1" x14ac:dyDescent="0.35"/>
    <row r="345" ht="45" customHeight="1" x14ac:dyDescent="0.35"/>
    <row r="346" ht="45" customHeight="1" x14ac:dyDescent="0.35"/>
    <row r="347" ht="45" customHeight="1" x14ac:dyDescent="0.35"/>
    <row r="348" ht="45" customHeight="1" x14ac:dyDescent="0.35"/>
    <row r="349" ht="45" customHeight="1" x14ac:dyDescent="0.35"/>
    <row r="350" ht="45" customHeight="1" x14ac:dyDescent="0.35"/>
    <row r="351" ht="45" customHeight="1" x14ac:dyDescent="0.35"/>
    <row r="352" ht="45" customHeight="1" x14ac:dyDescent="0.35"/>
    <row r="353" ht="45" customHeight="1" x14ac:dyDescent="0.35"/>
    <row r="354" ht="45" customHeight="1" x14ac:dyDescent="0.35"/>
    <row r="355" ht="45" customHeight="1" x14ac:dyDescent="0.35"/>
    <row r="356" ht="45" customHeight="1" x14ac:dyDescent="0.35"/>
    <row r="357" ht="45" customHeight="1" x14ac:dyDescent="0.35"/>
    <row r="358" ht="45" customHeight="1" x14ac:dyDescent="0.35"/>
    <row r="359" ht="45" customHeight="1" x14ac:dyDescent="0.35"/>
    <row r="360" ht="45" customHeight="1" x14ac:dyDescent="0.35"/>
    <row r="361" ht="45" customHeight="1" x14ac:dyDescent="0.35"/>
    <row r="362" ht="45" customHeight="1" x14ac:dyDescent="0.35"/>
    <row r="363" ht="45" customHeight="1" x14ac:dyDescent="0.35"/>
    <row r="364" ht="45" customHeight="1" x14ac:dyDescent="0.35"/>
    <row r="365" ht="45" customHeight="1" x14ac:dyDescent="0.35"/>
    <row r="366" ht="45" customHeight="1" x14ac:dyDescent="0.35"/>
    <row r="367" ht="45" customHeight="1" x14ac:dyDescent="0.35"/>
    <row r="368" ht="45" customHeight="1" x14ac:dyDescent="0.35"/>
    <row r="369" ht="45" customHeight="1" x14ac:dyDescent="0.35"/>
    <row r="370" ht="45" customHeight="1" x14ac:dyDescent="0.35"/>
    <row r="371" ht="45" customHeight="1" x14ac:dyDescent="0.35"/>
    <row r="372" ht="45" customHeight="1" x14ac:dyDescent="0.35"/>
    <row r="373" ht="45" customHeight="1" x14ac:dyDescent="0.35"/>
    <row r="374" ht="45" customHeight="1" x14ac:dyDescent="0.35"/>
    <row r="375" ht="45" customHeight="1" x14ac:dyDescent="0.35"/>
    <row r="376" ht="45" customHeight="1" x14ac:dyDescent="0.35"/>
    <row r="377" ht="45" customHeight="1" x14ac:dyDescent="0.35"/>
    <row r="378" ht="45" customHeight="1" x14ac:dyDescent="0.35"/>
    <row r="379" ht="45" customHeight="1" x14ac:dyDescent="0.35"/>
    <row r="380" ht="45" customHeight="1" x14ac:dyDescent="0.35"/>
    <row r="381" ht="45" customHeight="1" x14ac:dyDescent="0.35"/>
    <row r="382" ht="45" customHeight="1" x14ac:dyDescent="0.35"/>
    <row r="383" ht="45" customHeight="1" x14ac:dyDescent="0.35"/>
    <row r="384" ht="45" customHeight="1" x14ac:dyDescent="0.35"/>
    <row r="385" ht="45" customHeight="1" x14ac:dyDescent="0.35"/>
    <row r="386" ht="45" customHeight="1" x14ac:dyDescent="0.35"/>
    <row r="387" ht="45" customHeight="1" x14ac:dyDescent="0.35"/>
    <row r="388" ht="45" customHeight="1" x14ac:dyDescent="0.35"/>
    <row r="389" ht="45" customHeight="1" x14ac:dyDescent="0.35"/>
    <row r="390" ht="45" customHeight="1" x14ac:dyDescent="0.35"/>
    <row r="391" ht="45" customHeight="1" x14ac:dyDescent="0.35"/>
    <row r="392" ht="45" customHeight="1" x14ac:dyDescent="0.35"/>
    <row r="393" ht="45" customHeight="1" x14ac:dyDescent="0.35"/>
    <row r="394" ht="45" customHeight="1" x14ac:dyDescent="0.35"/>
    <row r="395" ht="45" customHeight="1" x14ac:dyDescent="0.35"/>
    <row r="396" ht="45" customHeight="1" x14ac:dyDescent="0.35"/>
    <row r="397" ht="45" customHeight="1" x14ac:dyDescent="0.35"/>
    <row r="398" ht="45" customHeight="1" x14ac:dyDescent="0.35"/>
    <row r="399" ht="45" customHeight="1" x14ac:dyDescent="0.35"/>
    <row r="400" ht="45" customHeight="1" x14ac:dyDescent="0.35"/>
    <row r="401" ht="45" customHeight="1" x14ac:dyDescent="0.35"/>
    <row r="402" ht="45" customHeight="1" x14ac:dyDescent="0.35"/>
    <row r="403" ht="45" customHeight="1" x14ac:dyDescent="0.35"/>
    <row r="404" ht="45" customHeight="1" x14ac:dyDescent="0.35"/>
    <row r="405" ht="45" customHeight="1" x14ac:dyDescent="0.35"/>
    <row r="406" ht="45" customHeight="1" x14ac:dyDescent="0.35"/>
    <row r="407" ht="45" customHeight="1" x14ac:dyDescent="0.35"/>
    <row r="408" ht="45" customHeight="1" x14ac:dyDescent="0.35"/>
    <row r="409" ht="45" customHeight="1" x14ac:dyDescent="0.35"/>
    <row r="410" ht="45" customHeight="1" x14ac:dyDescent="0.35"/>
    <row r="411" ht="45" customHeight="1" x14ac:dyDescent="0.35"/>
    <row r="412" ht="45" customHeight="1" x14ac:dyDescent="0.35"/>
    <row r="413" ht="45" customHeight="1" x14ac:dyDescent="0.35"/>
    <row r="414" ht="45" customHeight="1" x14ac:dyDescent="0.35"/>
    <row r="415" ht="45" customHeight="1" x14ac:dyDescent="0.35"/>
    <row r="416" ht="45" customHeight="1" x14ac:dyDescent="0.35"/>
    <row r="417" ht="45" customHeight="1" x14ac:dyDescent="0.35"/>
    <row r="418" ht="45" customHeight="1" x14ac:dyDescent="0.35"/>
    <row r="419" ht="45" customHeight="1" x14ac:dyDescent="0.35"/>
    <row r="420" ht="45" customHeight="1" x14ac:dyDescent="0.35"/>
    <row r="421" ht="45" customHeight="1" x14ac:dyDescent="0.35"/>
    <row r="422" ht="45" customHeight="1" x14ac:dyDescent="0.35"/>
    <row r="423" ht="45" customHeight="1" x14ac:dyDescent="0.35"/>
    <row r="424" ht="45" customHeight="1" x14ac:dyDescent="0.35"/>
    <row r="425" ht="45" customHeight="1" x14ac:dyDescent="0.35"/>
    <row r="426" ht="45" customHeight="1" x14ac:dyDescent="0.35"/>
    <row r="427" ht="45" customHeight="1" x14ac:dyDescent="0.35"/>
    <row r="428" ht="45" customHeight="1" x14ac:dyDescent="0.35"/>
    <row r="429" ht="45" customHeight="1" x14ac:dyDescent="0.35"/>
    <row r="430" ht="45" customHeight="1" x14ac:dyDescent="0.35"/>
    <row r="431" ht="45" customHeight="1" x14ac:dyDescent="0.35"/>
    <row r="432" ht="45" customHeight="1" x14ac:dyDescent="0.35"/>
    <row r="433" ht="45" customHeight="1" x14ac:dyDescent="0.35"/>
    <row r="434" ht="45" customHeight="1" x14ac:dyDescent="0.35"/>
    <row r="435" ht="45" customHeight="1" x14ac:dyDescent="0.35"/>
    <row r="436" ht="45" customHeight="1" x14ac:dyDescent="0.35"/>
    <row r="437" ht="45" customHeight="1" x14ac:dyDescent="0.35"/>
    <row r="438" ht="45" customHeight="1" x14ac:dyDescent="0.35"/>
    <row r="439" ht="45" customHeight="1" x14ac:dyDescent="0.35"/>
    <row r="440" ht="45" customHeight="1" x14ac:dyDescent="0.35"/>
    <row r="441" ht="45" customHeight="1" x14ac:dyDescent="0.35"/>
    <row r="442" ht="45" customHeight="1" x14ac:dyDescent="0.35"/>
    <row r="443" ht="45" customHeight="1" x14ac:dyDescent="0.35"/>
    <row r="444" ht="45" customHeight="1" x14ac:dyDescent="0.35"/>
    <row r="445" ht="45" customHeight="1" x14ac:dyDescent="0.35"/>
    <row r="446" ht="45" customHeight="1" x14ac:dyDescent="0.35"/>
    <row r="447" ht="45" customHeight="1" x14ac:dyDescent="0.35"/>
    <row r="448" ht="45" customHeight="1" x14ac:dyDescent="0.35"/>
    <row r="449" ht="45" customHeight="1" x14ac:dyDescent="0.35"/>
    <row r="450" ht="45" customHeight="1" x14ac:dyDescent="0.35"/>
    <row r="451" ht="45" customHeight="1" x14ac:dyDescent="0.35"/>
    <row r="452" ht="45" customHeight="1" x14ac:dyDescent="0.35"/>
    <row r="453" ht="45" customHeight="1" x14ac:dyDescent="0.35"/>
    <row r="454" ht="45" customHeight="1" x14ac:dyDescent="0.35"/>
    <row r="455" ht="45" customHeight="1" x14ac:dyDescent="0.35"/>
    <row r="456" ht="45" customHeight="1" x14ac:dyDescent="0.35"/>
    <row r="457" ht="45" customHeight="1" x14ac:dyDescent="0.35"/>
    <row r="458" ht="45" customHeight="1" x14ac:dyDescent="0.35"/>
    <row r="459" ht="45" customHeight="1" x14ac:dyDescent="0.35"/>
    <row r="460" ht="45" customHeight="1" x14ac:dyDescent="0.35"/>
    <row r="461" ht="45" customHeight="1" x14ac:dyDescent="0.35"/>
    <row r="462" ht="45" customHeight="1" x14ac:dyDescent="0.35"/>
    <row r="463" ht="45" customHeight="1" x14ac:dyDescent="0.35"/>
    <row r="464" ht="45" customHeight="1" x14ac:dyDescent="0.35"/>
    <row r="465" ht="45" customHeight="1" x14ac:dyDescent="0.35"/>
    <row r="466" ht="45" customHeight="1" x14ac:dyDescent="0.35"/>
    <row r="467" ht="45" customHeight="1" x14ac:dyDescent="0.35"/>
    <row r="468" ht="45" customHeight="1" x14ac:dyDescent="0.35"/>
    <row r="469" ht="45" customHeight="1" x14ac:dyDescent="0.35"/>
    <row r="470" ht="45" customHeight="1" x14ac:dyDescent="0.35"/>
    <row r="471" ht="45" customHeight="1" x14ac:dyDescent="0.35"/>
    <row r="472" ht="45" customHeight="1" x14ac:dyDescent="0.35"/>
    <row r="473" ht="45" customHeight="1" x14ac:dyDescent="0.35"/>
    <row r="474" ht="45" customHeight="1" x14ac:dyDescent="0.35"/>
    <row r="475" ht="45" customHeight="1" x14ac:dyDescent="0.35"/>
    <row r="476" ht="45" customHeight="1" x14ac:dyDescent="0.35"/>
    <row r="477" ht="45" customHeight="1" x14ac:dyDescent="0.35"/>
    <row r="478" ht="45" customHeight="1" x14ac:dyDescent="0.35"/>
    <row r="479" ht="45" customHeight="1" x14ac:dyDescent="0.35"/>
    <row r="480" ht="45" customHeight="1" x14ac:dyDescent="0.35"/>
    <row r="481" ht="45" customHeight="1" x14ac:dyDescent="0.35"/>
    <row r="482" ht="45" customHeight="1" x14ac:dyDescent="0.35"/>
    <row r="483" ht="45" customHeight="1" x14ac:dyDescent="0.35"/>
    <row r="484" ht="45" customHeight="1" x14ac:dyDescent="0.35"/>
    <row r="485" ht="45" customHeight="1" x14ac:dyDescent="0.35"/>
    <row r="486" ht="45" customHeight="1" x14ac:dyDescent="0.35"/>
    <row r="487" ht="45" customHeight="1" x14ac:dyDescent="0.35"/>
    <row r="488" ht="45" customHeight="1" x14ac:dyDescent="0.35"/>
    <row r="489" ht="45" customHeight="1" x14ac:dyDescent="0.35"/>
    <row r="490" ht="45" customHeight="1" x14ac:dyDescent="0.35"/>
    <row r="491" ht="45" customHeight="1" x14ac:dyDescent="0.35"/>
    <row r="492" ht="45" customHeight="1" x14ac:dyDescent="0.35"/>
    <row r="493" ht="45" customHeight="1" x14ac:dyDescent="0.35"/>
    <row r="494" ht="45" customHeight="1" x14ac:dyDescent="0.35"/>
    <row r="495" ht="45" customHeight="1" x14ac:dyDescent="0.35"/>
    <row r="496" ht="45" customHeight="1" x14ac:dyDescent="0.35"/>
    <row r="497" ht="45" customHeight="1" x14ac:dyDescent="0.35"/>
    <row r="498" ht="45" customHeight="1" x14ac:dyDescent="0.35"/>
    <row r="499" ht="45" customHeight="1" x14ac:dyDescent="0.35"/>
    <row r="500" ht="45" customHeight="1" x14ac:dyDescent="0.35"/>
  </sheetData>
  <pageMargins left="0.7" right="0.7" top="0.75" bottom="0.75" header="0.3" footer="0.3"/>
  <headerFooter>
    <oddFooter>&amp;C_x000D_&amp;1#&amp;"Calibri"&amp;10&amp;K008000 DOCUMENTO PÚBLICO</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3D7EE-A84F-4CE4-9847-98943A10A2B4}">
  <dimension ref="A1:AI103"/>
  <sheetViews>
    <sheetView showGridLines="0" view="pageBreakPreview" zoomScale="80" zoomScaleNormal="10" zoomScaleSheetLayoutView="80" zoomScalePageLayoutView="48" workbookViewId="0">
      <selection sqref="A1:C3"/>
    </sheetView>
  </sheetViews>
  <sheetFormatPr baseColWidth="10" defaultColWidth="12.54296875" defaultRowHeight="15" customHeight="1" x14ac:dyDescent="0.35"/>
  <cols>
    <col min="1" max="1" width="7.36328125" style="1" customWidth="1"/>
    <col min="2" max="4" width="28.54296875" style="1" customWidth="1"/>
    <col min="5" max="5" width="36.453125" style="1" customWidth="1"/>
    <col min="6" max="11" width="28.54296875" style="1" customWidth="1"/>
    <col min="12" max="13" width="19.54296875" style="1" customWidth="1"/>
    <col min="14" max="15" width="18.36328125" style="1" customWidth="1"/>
    <col min="16" max="18" width="13.6328125" style="1" hidden="1" customWidth="1"/>
    <col min="19" max="31" width="9.54296875" style="1" hidden="1" customWidth="1"/>
    <col min="32" max="32" width="35.6328125" style="1" hidden="1" customWidth="1"/>
    <col min="33" max="35" width="42.54296875" style="1" hidden="1" customWidth="1"/>
    <col min="36" max="16384" width="12.54296875" style="1"/>
  </cols>
  <sheetData>
    <row r="1" spans="1:35" s="55" customFormat="1" ht="15" customHeight="1" x14ac:dyDescent="0.35">
      <c r="A1" s="449"/>
      <c r="B1" s="450"/>
      <c r="C1" s="451"/>
      <c r="D1" s="505" t="s">
        <v>1646</v>
      </c>
      <c r="E1" s="505"/>
      <c r="F1" s="505"/>
      <c r="G1" s="505"/>
      <c r="H1" s="505"/>
      <c r="I1" s="505"/>
      <c r="J1" s="505"/>
      <c r="K1" s="505"/>
      <c r="L1" s="505"/>
      <c r="M1" s="505"/>
      <c r="N1" s="505"/>
      <c r="O1" s="505"/>
      <c r="P1" s="505"/>
      <c r="Q1" s="505"/>
      <c r="R1" s="505"/>
      <c r="S1" s="505"/>
      <c r="T1" s="505"/>
      <c r="U1" s="505"/>
      <c r="V1" s="505"/>
      <c r="W1" s="505"/>
      <c r="X1" s="505"/>
      <c r="Y1" s="505"/>
      <c r="Z1" s="505"/>
      <c r="AA1" s="505"/>
      <c r="AB1" s="505"/>
      <c r="AC1" s="505"/>
      <c r="AD1" s="505"/>
      <c r="AE1" s="505"/>
      <c r="AF1" s="505"/>
      <c r="AG1" s="505"/>
      <c r="AH1" s="505"/>
      <c r="AI1" s="505"/>
    </row>
    <row r="2" spans="1:35" s="55" customFormat="1" ht="20.149999999999999" customHeight="1" x14ac:dyDescent="0.35">
      <c r="A2" s="452"/>
      <c r="B2" s="453"/>
      <c r="C2" s="454"/>
      <c r="D2" s="505"/>
      <c r="E2" s="505"/>
      <c r="F2" s="505"/>
      <c r="G2" s="505"/>
      <c r="H2" s="505"/>
      <c r="I2" s="505"/>
      <c r="J2" s="505"/>
      <c r="K2" s="505"/>
      <c r="L2" s="505"/>
      <c r="M2" s="505"/>
      <c r="N2" s="505"/>
      <c r="O2" s="505"/>
      <c r="P2" s="505"/>
      <c r="Q2" s="505"/>
      <c r="R2" s="505"/>
      <c r="S2" s="505"/>
      <c r="T2" s="505"/>
      <c r="U2" s="505"/>
      <c r="V2" s="505"/>
      <c r="W2" s="505"/>
      <c r="X2" s="505"/>
      <c r="Y2" s="505"/>
      <c r="Z2" s="505"/>
      <c r="AA2" s="505"/>
      <c r="AB2" s="505"/>
      <c r="AC2" s="505"/>
      <c r="AD2" s="505"/>
      <c r="AE2" s="505"/>
      <c r="AF2" s="505"/>
      <c r="AG2" s="505"/>
      <c r="AH2" s="505"/>
      <c r="AI2" s="505"/>
    </row>
    <row r="3" spans="1:35" s="55" customFormat="1" ht="60" customHeight="1" thickBot="1" x14ac:dyDescent="0.4">
      <c r="A3" s="455"/>
      <c r="B3" s="456"/>
      <c r="C3" s="457"/>
      <c r="D3" s="505"/>
      <c r="E3" s="505"/>
      <c r="F3" s="505"/>
      <c r="G3" s="505"/>
      <c r="H3" s="505"/>
      <c r="I3" s="505"/>
      <c r="J3" s="505"/>
      <c r="K3" s="505"/>
      <c r="L3" s="505"/>
      <c r="M3" s="505"/>
      <c r="N3" s="505"/>
      <c r="O3" s="505"/>
      <c r="P3" s="505"/>
      <c r="Q3" s="505"/>
      <c r="R3" s="505"/>
      <c r="S3" s="505"/>
      <c r="T3" s="505"/>
      <c r="U3" s="505"/>
      <c r="V3" s="505"/>
      <c r="W3" s="505"/>
      <c r="X3" s="505"/>
      <c r="Y3" s="505"/>
      <c r="Z3" s="505"/>
      <c r="AA3" s="505"/>
      <c r="AB3" s="505"/>
      <c r="AC3" s="505"/>
      <c r="AD3" s="505"/>
      <c r="AE3" s="505"/>
      <c r="AF3" s="505"/>
      <c r="AG3" s="505"/>
      <c r="AH3" s="505"/>
      <c r="AI3" s="505"/>
    </row>
    <row r="4" spans="1:35" s="55" customFormat="1" ht="60" hidden="1" customHeight="1" thickBot="1" x14ac:dyDescent="0.4">
      <c r="A4" s="447" t="s">
        <v>34</v>
      </c>
      <c r="B4" s="8" t="s">
        <v>35</v>
      </c>
      <c r="C4" s="10">
        <v>0.7</v>
      </c>
      <c r="D4" s="10"/>
      <c r="E4" s="10"/>
      <c r="F4" s="9"/>
      <c r="G4" s="447" t="s">
        <v>36</v>
      </c>
      <c r="H4" s="153"/>
      <c r="I4" s="8" t="s">
        <v>35</v>
      </c>
      <c r="J4" s="10">
        <v>0.7</v>
      </c>
      <c r="K4" s="56"/>
      <c r="L4" s="57"/>
      <c r="M4" s="57"/>
      <c r="N4" s="57"/>
      <c r="O4" s="57"/>
      <c r="P4" s="57"/>
      <c r="Q4" s="57"/>
      <c r="R4" s="57"/>
      <c r="S4" s="57"/>
      <c r="T4" s="57"/>
      <c r="U4" s="57"/>
      <c r="V4" s="57"/>
      <c r="W4" s="57"/>
      <c r="X4" s="57"/>
      <c r="Y4" s="57"/>
      <c r="Z4" s="57"/>
      <c r="AA4" s="57"/>
      <c r="AB4" s="57"/>
      <c r="AC4" s="57"/>
      <c r="AD4" s="57"/>
      <c r="AE4" s="57"/>
      <c r="AF4" s="57"/>
      <c r="AG4" s="57"/>
    </row>
    <row r="5" spans="1:35" s="55" customFormat="1" ht="60" hidden="1" customHeight="1" x14ac:dyDescent="0.35">
      <c r="A5" s="447"/>
      <c r="B5" s="8" t="s">
        <v>37</v>
      </c>
      <c r="C5" s="11">
        <v>0.9</v>
      </c>
      <c r="D5" s="11"/>
      <c r="E5" s="11"/>
      <c r="F5" s="11">
        <v>1</v>
      </c>
      <c r="G5" s="447"/>
      <c r="H5" s="153"/>
      <c r="I5" s="8" t="s">
        <v>37</v>
      </c>
      <c r="J5" s="11">
        <v>0.95</v>
      </c>
      <c r="K5" s="56"/>
      <c r="L5" s="57"/>
      <c r="M5" s="57"/>
      <c r="N5" s="57"/>
      <c r="O5" s="57"/>
      <c r="P5" s="57"/>
      <c r="Q5" s="57"/>
      <c r="R5" s="57"/>
      <c r="S5" s="57"/>
      <c r="T5" s="57"/>
      <c r="U5" s="57"/>
      <c r="V5" s="57"/>
      <c r="W5" s="57"/>
      <c r="X5" s="57"/>
      <c r="Y5" s="57"/>
      <c r="Z5" s="57"/>
      <c r="AA5" s="57"/>
      <c r="AB5" s="57"/>
      <c r="AC5" s="57"/>
      <c r="AD5" s="57"/>
      <c r="AE5" s="57"/>
      <c r="AF5" s="57"/>
      <c r="AG5" s="57"/>
    </row>
    <row r="6" spans="1:35" ht="20.149999999999999" hidden="1" customHeight="1" x14ac:dyDescent="0.35">
      <c r="A6" s="597" t="s">
        <v>38</v>
      </c>
      <c r="B6" s="597"/>
      <c r="C6" s="1031" t="s">
        <v>1647</v>
      </c>
      <c r="D6" s="1032"/>
      <c r="E6" s="598" t="s">
        <v>40</v>
      </c>
      <c r="F6" s="598"/>
      <c r="G6" s="536" t="e">
        <f>+Q15+Q17+Q19+Q21+#REF!</f>
        <v>#REF!</v>
      </c>
      <c r="H6" s="154"/>
      <c r="I6" s="598" t="s">
        <v>256</v>
      </c>
      <c r="J6" s="598"/>
      <c r="K6" s="650" t="e">
        <f>+Q14+Q16+Q18+Q20+#REF!</f>
        <v>#REF!</v>
      </c>
      <c r="L6" s="1033" t="s">
        <v>41</v>
      </c>
      <c r="M6" s="485">
        <v>0.95</v>
      </c>
      <c r="N6" s="597" t="s">
        <v>42</v>
      </c>
      <c r="O6" s="597"/>
      <c r="P6" s="470" t="e">
        <f>(SUM(V14,V16,V18,V20,#REF!)/SUM(V15,V17,V19,V21,#REF!))/M6</f>
        <v>#REF!</v>
      </c>
      <c r="Q6" s="471"/>
      <c r="R6" s="472"/>
      <c r="S6" s="609" t="s">
        <v>43</v>
      </c>
      <c r="T6" s="610"/>
      <c r="U6" s="610"/>
      <c r="V6" s="611"/>
      <c r="W6" s="470" t="e">
        <f>SUM(Y14,Y16,Y18,Y20,#REF!)/SUM(Y15,Y17,Y19,Y21,#REF!)/M6</f>
        <v>#REF!</v>
      </c>
      <c r="X6" s="471"/>
      <c r="Y6" s="471"/>
      <c r="Z6" s="472"/>
      <c r="AA6" s="609" t="s">
        <v>44</v>
      </c>
      <c r="AB6" s="610"/>
      <c r="AC6" s="610"/>
      <c r="AD6" s="611"/>
      <c r="AE6" s="470" t="e">
        <f>SUM(AA14:AB14,AB16,AB18,AA20:AB20,#REF!)/SUM(AB15,AB17,AB19,AB21,#REF!)/M6</f>
        <v>#REF!</v>
      </c>
      <c r="AF6" s="472"/>
      <c r="AG6" s="609" t="s">
        <v>45</v>
      </c>
      <c r="AH6" s="470" t="e">
        <f>SUM(AE14,AE16,AE18,AE20,#REF!)/SUM(AE15,AE17,AE19,AE21,#REF!)/M6</f>
        <v>#REF!</v>
      </c>
    </row>
    <row r="7" spans="1:35" ht="15" hidden="1" customHeight="1" x14ac:dyDescent="0.35">
      <c r="A7" s="597"/>
      <c r="B7" s="597"/>
      <c r="C7" s="1032"/>
      <c r="D7" s="1032"/>
      <c r="E7" s="598"/>
      <c r="F7" s="598"/>
      <c r="G7" s="537"/>
      <c r="H7" s="155"/>
      <c r="I7" s="598"/>
      <c r="J7" s="598"/>
      <c r="K7" s="651"/>
      <c r="L7" s="1034"/>
      <c r="M7" s="486"/>
      <c r="N7" s="597"/>
      <c r="O7" s="597"/>
      <c r="P7" s="473"/>
      <c r="Q7" s="474"/>
      <c r="R7" s="475"/>
      <c r="S7" s="612"/>
      <c r="T7" s="613"/>
      <c r="U7" s="613"/>
      <c r="V7" s="614"/>
      <c r="W7" s="473"/>
      <c r="X7" s="474"/>
      <c r="Y7" s="474"/>
      <c r="Z7" s="475"/>
      <c r="AA7" s="612"/>
      <c r="AB7" s="613"/>
      <c r="AC7" s="613"/>
      <c r="AD7" s="614"/>
      <c r="AE7" s="473"/>
      <c r="AF7" s="475"/>
      <c r="AG7" s="612"/>
      <c r="AH7" s="473"/>
    </row>
    <row r="8" spans="1:35" ht="25.4" hidden="1" customHeight="1" x14ac:dyDescent="0.35">
      <c r="A8" s="597"/>
      <c r="B8" s="597"/>
      <c r="C8" s="1032"/>
      <c r="D8" s="1032"/>
      <c r="E8" s="598"/>
      <c r="F8" s="598"/>
      <c r="G8" s="537"/>
      <c r="H8" s="155"/>
      <c r="I8" s="598"/>
      <c r="J8" s="598"/>
      <c r="K8" s="651"/>
      <c r="L8" s="1034"/>
      <c r="M8" s="486"/>
      <c r="N8" s="597"/>
      <c r="O8" s="597"/>
      <c r="P8" s="473"/>
      <c r="Q8" s="474"/>
      <c r="R8" s="475"/>
      <c r="S8" s="612"/>
      <c r="T8" s="613"/>
      <c r="U8" s="613"/>
      <c r="V8" s="614"/>
      <c r="W8" s="473"/>
      <c r="X8" s="474"/>
      <c r="Y8" s="474"/>
      <c r="Z8" s="475"/>
      <c r="AA8" s="612"/>
      <c r="AB8" s="613"/>
      <c r="AC8" s="613"/>
      <c r="AD8" s="614"/>
      <c r="AE8" s="473"/>
      <c r="AF8" s="475"/>
      <c r="AG8" s="612"/>
      <c r="AH8" s="473"/>
    </row>
    <row r="9" spans="1:35" ht="25.4" hidden="1" customHeight="1" thickBot="1" x14ac:dyDescent="0.4">
      <c r="A9" s="597"/>
      <c r="B9" s="597"/>
      <c r="C9" s="1032"/>
      <c r="D9" s="1032"/>
      <c r="E9" s="598"/>
      <c r="F9" s="598"/>
      <c r="G9" s="537"/>
      <c r="H9" s="155"/>
      <c r="I9" s="598"/>
      <c r="J9" s="598"/>
      <c r="K9" s="651"/>
      <c r="L9" s="1034"/>
      <c r="M9" s="486"/>
      <c r="N9" s="597"/>
      <c r="O9" s="597"/>
      <c r="P9" s="473"/>
      <c r="Q9" s="474"/>
      <c r="R9" s="475"/>
      <c r="S9" s="612"/>
      <c r="T9" s="613"/>
      <c r="U9" s="613"/>
      <c r="V9" s="614"/>
      <c r="W9" s="473"/>
      <c r="X9" s="474"/>
      <c r="Y9" s="474"/>
      <c r="Z9" s="475"/>
      <c r="AA9" s="612"/>
      <c r="AB9" s="613"/>
      <c r="AC9" s="613"/>
      <c r="AD9" s="614"/>
      <c r="AE9" s="473"/>
      <c r="AF9" s="475"/>
      <c r="AG9" s="612"/>
      <c r="AH9" s="473"/>
    </row>
    <row r="10" spans="1:35" ht="15" hidden="1" customHeight="1" thickBot="1" x14ac:dyDescent="0.4">
      <c r="A10" s="597"/>
      <c r="B10" s="597"/>
      <c r="C10" s="1032"/>
      <c r="D10" s="1032"/>
      <c r="E10" s="598"/>
      <c r="F10" s="598"/>
      <c r="G10" s="599"/>
      <c r="H10" s="155"/>
      <c r="I10" s="598"/>
      <c r="J10" s="598"/>
      <c r="K10" s="652"/>
      <c r="L10" s="1035"/>
      <c r="M10" s="487"/>
      <c r="N10" s="597"/>
      <c r="O10" s="597"/>
      <c r="P10" s="476"/>
      <c r="Q10" s="477"/>
      <c r="R10" s="478"/>
      <c r="S10" s="615"/>
      <c r="T10" s="616"/>
      <c r="U10" s="616"/>
      <c r="V10" s="617"/>
      <c r="W10" s="476"/>
      <c r="X10" s="477"/>
      <c r="Y10" s="477"/>
      <c r="Z10" s="478"/>
      <c r="AA10" s="615"/>
      <c r="AB10" s="616"/>
      <c r="AC10" s="616"/>
      <c r="AD10" s="617"/>
      <c r="AE10" s="476"/>
      <c r="AF10" s="478"/>
      <c r="AG10" s="615"/>
      <c r="AH10" s="476"/>
    </row>
    <row r="11" spans="1:35" s="12" customFormat="1" ht="40.4" customHeight="1" thickBot="1" x14ac:dyDescent="0.4">
      <c r="A11" s="432" t="s">
        <v>46</v>
      </c>
      <c r="B11" s="432"/>
      <c r="C11" s="432"/>
      <c r="D11" s="432"/>
      <c r="E11" s="432"/>
      <c r="F11" s="433"/>
      <c r="G11" s="434" t="s">
        <v>47</v>
      </c>
      <c r="H11" s="435"/>
      <c r="I11" s="435"/>
      <c r="J11" s="435"/>
      <c r="K11" s="435"/>
      <c r="L11" s="435"/>
      <c r="M11" s="435"/>
      <c r="N11" s="435"/>
      <c r="O11" s="436"/>
      <c r="P11" s="653" t="s">
        <v>48</v>
      </c>
      <c r="Q11" s="654"/>
      <c r="R11" s="654"/>
      <c r="S11" s="654"/>
      <c r="T11" s="654"/>
      <c r="U11" s="654"/>
      <c r="V11" s="654"/>
      <c r="W11" s="654"/>
      <c r="X11" s="654"/>
      <c r="Y11" s="654"/>
      <c r="Z11" s="654"/>
      <c r="AA11" s="654"/>
      <c r="AB11" s="654"/>
      <c r="AC11" s="654"/>
      <c r="AD11" s="654"/>
      <c r="AE11" s="655"/>
      <c r="AF11" s="653" t="s">
        <v>49</v>
      </c>
      <c r="AG11" s="654"/>
      <c r="AH11" s="654"/>
      <c r="AI11" s="654"/>
    </row>
    <row r="12" spans="1:35" ht="39" customHeight="1" x14ac:dyDescent="0.35">
      <c r="A12" s="437" t="s">
        <v>50</v>
      </c>
      <c r="B12" s="439" t="s">
        <v>51</v>
      </c>
      <c r="C12" s="439" t="s">
        <v>52</v>
      </c>
      <c r="D12" s="439" t="s">
        <v>53</v>
      </c>
      <c r="E12" s="439" t="s">
        <v>54</v>
      </c>
      <c r="F12" s="439" t="s">
        <v>1648</v>
      </c>
      <c r="G12" s="439" t="s">
        <v>1563</v>
      </c>
      <c r="H12" s="439" t="s">
        <v>1564</v>
      </c>
      <c r="I12" s="439" t="s">
        <v>1565</v>
      </c>
      <c r="J12" s="439" t="s">
        <v>57</v>
      </c>
      <c r="K12" s="439" t="s">
        <v>58</v>
      </c>
      <c r="L12" s="439" t="s">
        <v>59</v>
      </c>
      <c r="M12" s="439" t="s">
        <v>60</v>
      </c>
      <c r="N12" s="439" t="s">
        <v>61</v>
      </c>
      <c r="O12" s="439" t="s">
        <v>62</v>
      </c>
      <c r="P12" s="681" t="s">
        <v>63</v>
      </c>
      <c r="Q12" s="682" t="s">
        <v>64</v>
      </c>
      <c r="R12" s="683" t="s">
        <v>65</v>
      </c>
      <c r="S12" s="669" t="s">
        <v>66</v>
      </c>
      <c r="T12" s="667" t="s">
        <v>67</v>
      </c>
      <c r="U12" s="665" t="s">
        <v>68</v>
      </c>
      <c r="V12" s="671" t="s">
        <v>69</v>
      </c>
      <c r="W12" s="673" t="s">
        <v>70</v>
      </c>
      <c r="X12" s="671" t="s">
        <v>71</v>
      </c>
      <c r="Y12" s="665" t="s">
        <v>71</v>
      </c>
      <c r="Z12" s="667" t="s">
        <v>73</v>
      </c>
      <c r="AA12" s="669" t="s">
        <v>74</v>
      </c>
      <c r="AB12" s="667" t="s">
        <v>75</v>
      </c>
      <c r="AC12" s="665" t="s">
        <v>76</v>
      </c>
      <c r="AD12" s="671" t="s">
        <v>77</v>
      </c>
      <c r="AE12" s="662" t="s">
        <v>78</v>
      </c>
      <c r="AF12" s="664" t="s">
        <v>79</v>
      </c>
      <c r="AG12" s="664" t="s">
        <v>80</v>
      </c>
      <c r="AH12" s="664" t="s">
        <v>81</v>
      </c>
      <c r="AI12" s="664" t="s">
        <v>82</v>
      </c>
    </row>
    <row r="13" spans="1:35" ht="60" customHeight="1" thickBot="1" x14ac:dyDescent="0.4">
      <c r="A13" s="438"/>
      <c r="B13" s="438"/>
      <c r="C13" s="438"/>
      <c r="D13" s="438"/>
      <c r="E13" s="438"/>
      <c r="F13" s="438"/>
      <c r="G13" s="438"/>
      <c r="H13" s="438"/>
      <c r="I13" s="438"/>
      <c r="J13" s="438"/>
      <c r="K13" s="438"/>
      <c r="L13" s="438"/>
      <c r="M13" s="438"/>
      <c r="N13" s="438"/>
      <c r="O13" s="438"/>
      <c r="P13" s="681"/>
      <c r="Q13" s="682"/>
      <c r="R13" s="683"/>
      <c r="S13" s="670"/>
      <c r="T13" s="668"/>
      <c r="U13" s="666"/>
      <c r="V13" s="672"/>
      <c r="W13" s="674"/>
      <c r="X13" s="672"/>
      <c r="Y13" s="666"/>
      <c r="Z13" s="668"/>
      <c r="AA13" s="670"/>
      <c r="AB13" s="668"/>
      <c r="AC13" s="666"/>
      <c r="AD13" s="672"/>
      <c r="AE13" s="663"/>
      <c r="AF13" s="664"/>
      <c r="AG13" s="664"/>
      <c r="AH13" s="664"/>
      <c r="AI13" s="664"/>
    </row>
    <row r="14" spans="1:35" ht="78" customHeight="1" thickBot="1" x14ac:dyDescent="0.4">
      <c r="A14" s="426">
        <v>1</v>
      </c>
      <c r="B14" s="989" t="s">
        <v>124</v>
      </c>
      <c r="C14" s="989" t="s">
        <v>1606</v>
      </c>
      <c r="D14" s="989" t="s">
        <v>85</v>
      </c>
      <c r="E14" s="989" t="s">
        <v>126</v>
      </c>
      <c r="F14" s="989" t="s">
        <v>250</v>
      </c>
      <c r="G14" s="989" t="s">
        <v>258</v>
      </c>
      <c r="H14" s="989" t="s">
        <v>1649</v>
      </c>
      <c r="I14" s="989" t="s">
        <v>1650</v>
      </c>
      <c r="J14" s="989" t="s">
        <v>1650</v>
      </c>
      <c r="K14" s="1036" t="s">
        <v>1535</v>
      </c>
      <c r="L14" s="1036" t="s">
        <v>1571</v>
      </c>
      <c r="M14" s="1036" t="s">
        <v>92</v>
      </c>
      <c r="N14" s="1029">
        <v>46054</v>
      </c>
      <c r="O14" s="1029">
        <v>46387</v>
      </c>
      <c r="P14" s="1029">
        <v>46387</v>
      </c>
      <c r="Q14" s="53">
        <f>+(Q15*R14)</f>
        <v>0.2</v>
      </c>
      <c r="R14" s="65">
        <f t="shared" ref="R14:R15" si="0">SUM(S14:AE14)</f>
        <v>1</v>
      </c>
      <c r="S14" s="43"/>
      <c r="T14" s="43"/>
      <c r="U14" s="43"/>
      <c r="V14" s="43">
        <v>0.25</v>
      </c>
      <c r="W14" s="43"/>
      <c r="X14" s="43"/>
      <c r="Y14" s="43">
        <v>0.25</v>
      </c>
      <c r="Z14" s="43"/>
      <c r="AA14" s="44">
        <v>0.25</v>
      </c>
      <c r="AB14" s="44"/>
      <c r="AC14" s="44"/>
      <c r="AD14" s="44"/>
      <c r="AE14" s="44">
        <v>0.25</v>
      </c>
      <c r="AF14" s="1040" t="s">
        <v>1651</v>
      </c>
      <c r="AG14" s="1040" t="s">
        <v>1652</v>
      </c>
      <c r="AH14" s="590" t="s">
        <v>1653</v>
      </c>
      <c r="AI14" s="590" t="s">
        <v>1654</v>
      </c>
    </row>
    <row r="15" spans="1:35" ht="127.5" customHeight="1" thickBot="1" x14ac:dyDescent="0.4">
      <c r="A15" s="427"/>
      <c r="B15" s="990"/>
      <c r="C15" s="990"/>
      <c r="D15" s="990"/>
      <c r="E15" s="990"/>
      <c r="F15" s="990"/>
      <c r="G15" s="990"/>
      <c r="H15" s="990"/>
      <c r="I15" s="990"/>
      <c r="J15" s="990"/>
      <c r="K15" s="1037"/>
      <c r="L15" s="1037"/>
      <c r="M15" s="1037"/>
      <c r="N15" s="1030"/>
      <c r="O15" s="1030"/>
      <c r="P15" s="1030"/>
      <c r="Q15" s="52">
        <f>100%/5</f>
        <v>0.2</v>
      </c>
      <c r="R15" s="65">
        <f t="shared" si="0"/>
        <v>1</v>
      </c>
      <c r="S15" s="42"/>
      <c r="T15" s="42"/>
      <c r="U15" s="42"/>
      <c r="V15" s="42">
        <v>0.25</v>
      </c>
      <c r="W15" s="42"/>
      <c r="X15" s="42"/>
      <c r="Y15" s="42">
        <v>0.25</v>
      </c>
      <c r="Z15" s="42"/>
      <c r="AA15" s="42"/>
      <c r="AB15" s="42">
        <v>0.25</v>
      </c>
      <c r="AC15" s="42"/>
      <c r="AD15" s="42"/>
      <c r="AE15" s="42">
        <v>0.25</v>
      </c>
      <c r="AF15" s="578"/>
      <c r="AG15" s="578"/>
      <c r="AH15" s="677"/>
      <c r="AI15" s="678"/>
    </row>
    <row r="16" spans="1:35" ht="122.15" customHeight="1" thickBot="1" x14ac:dyDescent="0.4">
      <c r="A16" s="426">
        <v>2</v>
      </c>
      <c r="B16" s="1038" t="s">
        <v>116</v>
      </c>
      <c r="C16" s="1046" t="s">
        <v>1212</v>
      </c>
      <c r="D16" s="426" t="s">
        <v>85</v>
      </c>
      <c r="E16" s="1038" t="s">
        <v>126</v>
      </c>
      <c r="F16" s="1038" t="s">
        <v>127</v>
      </c>
      <c r="G16" s="989" t="s">
        <v>258</v>
      </c>
      <c r="H16" s="1038" t="s">
        <v>1655</v>
      </c>
      <c r="I16" s="1038" t="s">
        <v>1656</v>
      </c>
      <c r="J16" s="1038" t="s">
        <v>1657</v>
      </c>
      <c r="K16" s="1036" t="s">
        <v>268</v>
      </c>
      <c r="L16" s="1036" t="s">
        <v>1658</v>
      </c>
      <c r="M16" s="1036" t="s">
        <v>92</v>
      </c>
      <c r="N16" s="1029">
        <v>46054</v>
      </c>
      <c r="O16" s="1029">
        <v>46387</v>
      </c>
      <c r="P16" s="59" t="s">
        <v>93</v>
      </c>
      <c r="Q16" s="53">
        <f>+(Q17*R16)</f>
        <v>0.2</v>
      </c>
      <c r="R16" s="65">
        <f t="shared" ref="R16:R21" si="1">SUM(S16:AE16)</f>
        <v>1</v>
      </c>
      <c r="S16" s="43"/>
      <c r="T16" s="43"/>
      <c r="U16" s="43"/>
      <c r="V16" s="43"/>
      <c r="W16" s="43"/>
      <c r="X16" s="43"/>
      <c r="Y16" s="43"/>
      <c r="Z16" s="43"/>
      <c r="AA16" s="44"/>
      <c r="AB16" s="44"/>
      <c r="AC16" s="44"/>
      <c r="AD16" s="44"/>
      <c r="AE16" s="44">
        <v>1</v>
      </c>
      <c r="AF16" s="577"/>
      <c r="AG16" s="589"/>
      <c r="AH16" s="677"/>
      <c r="AI16" s="677"/>
    </row>
    <row r="17" spans="1:35" ht="37.4" customHeight="1" thickBot="1" x14ac:dyDescent="0.4">
      <c r="A17" s="427"/>
      <c r="B17" s="1039"/>
      <c r="C17" s="1047"/>
      <c r="D17" s="427" t="s">
        <v>85</v>
      </c>
      <c r="E17" s="1039"/>
      <c r="F17" s="1039"/>
      <c r="G17" s="990"/>
      <c r="H17" s="1039"/>
      <c r="I17" s="1039"/>
      <c r="J17" s="1039"/>
      <c r="K17" s="1037"/>
      <c r="L17" s="1037"/>
      <c r="M17" s="1037"/>
      <c r="N17" s="1030"/>
      <c r="O17" s="1030"/>
      <c r="P17" s="59" t="s">
        <v>98</v>
      </c>
      <c r="Q17" s="52">
        <f>100%/5</f>
        <v>0.2</v>
      </c>
      <c r="R17" s="65">
        <f t="shared" si="1"/>
        <v>1</v>
      </c>
      <c r="S17" s="42"/>
      <c r="T17" s="42"/>
      <c r="U17" s="42"/>
      <c r="V17" s="42"/>
      <c r="W17" s="42"/>
      <c r="X17" s="42"/>
      <c r="Y17" s="42"/>
      <c r="Z17" s="42"/>
      <c r="AA17" s="42"/>
      <c r="AB17" s="42"/>
      <c r="AC17" s="42"/>
      <c r="AD17" s="42"/>
      <c r="AE17" s="42">
        <v>1</v>
      </c>
      <c r="AF17" s="578"/>
      <c r="AG17" s="590"/>
      <c r="AH17" s="678"/>
      <c r="AI17" s="678"/>
    </row>
    <row r="18" spans="1:35" ht="82.25" customHeight="1" thickBot="1" x14ac:dyDescent="0.4">
      <c r="A18" s="426">
        <v>3</v>
      </c>
      <c r="B18" s="1045" t="s">
        <v>116</v>
      </c>
      <c r="C18" s="1046" t="s">
        <v>1212</v>
      </c>
      <c r="D18" s="426" t="s">
        <v>85</v>
      </c>
      <c r="E18" s="1045" t="s">
        <v>126</v>
      </c>
      <c r="F18" s="1045" t="s">
        <v>127</v>
      </c>
      <c r="G18" s="989" t="s">
        <v>258</v>
      </c>
      <c r="H18" s="1045" t="s">
        <v>1659</v>
      </c>
      <c r="I18" s="1045" t="s">
        <v>1660</v>
      </c>
      <c r="J18" s="1045" t="s">
        <v>1661</v>
      </c>
      <c r="K18" s="995" t="s">
        <v>268</v>
      </c>
      <c r="L18" s="1041" t="s">
        <v>1662</v>
      </c>
      <c r="M18" s="1036" t="s">
        <v>92</v>
      </c>
      <c r="N18" s="1029">
        <v>46054</v>
      </c>
      <c r="O18" s="1029">
        <v>46387</v>
      </c>
      <c r="P18" s="59" t="s">
        <v>93</v>
      </c>
      <c r="Q18" s="53">
        <f>+(Q19*R18)</f>
        <v>0.2</v>
      </c>
      <c r="R18" s="65">
        <f t="shared" si="1"/>
        <v>1</v>
      </c>
      <c r="S18" s="43"/>
      <c r="T18" s="43"/>
      <c r="U18" s="43"/>
      <c r="V18" s="43">
        <v>0.25</v>
      </c>
      <c r="W18" s="43"/>
      <c r="X18" s="43"/>
      <c r="Y18" s="43">
        <v>0.25</v>
      </c>
      <c r="Z18" s="43"/>
      <c r="AA18" s="44"/>
      <c r="AB18" s="44">
        <v>0.25</v>
      </c>
      <c r="AC18" s="44"/>
      <c r="AD18" s="44"/>
      <c r="AE18" s="44">
        <v>0.25</v>
      </c>
      <c r="AF18" s="1043" t="s">
        <v>1663</v>
      </c>
      <c r="AG18" s="1043" t="s">
        <v>1664</v>
      </c>
      <c r="AH18" s="590" t="s">
        <v>1665</v>
      </c>
      <c r="AI18" s="677" t="s">
        <v>1666</v>
      </c>
    </row>
    <row r="19" spans="1:35" ht="37.4" customHeight="1" thickBot="1" x14ac:dyDescent="0.4">
      <c r="A19" s="427"/>
      <c r="B19" s="679"/>
      <c r="C19" s="1047"/>
      <c r="D19" s="427" t="s">
        <v>85</v>
      </c>
      <c r="E19" s="679"/>
      <c r="F19" s="679"/>
      <c r="G19" s="990"/>
      <c r="H19" s="679"/>
      <c r="I19" s="679"/>
      <c r="J19" s="679"/>
      <c r="K19" s="996"/>
      <c r="L19" s="1042"/>
      <c r="M19" s="1037"/>
      <c r="N19" s="1030"/>
      <c r="O19" s="1030"/>
      <c r="P19" s="59" t="s">
        <v>98</v>
      </c>
      <c r="Q19" s="52">
        <f>100%/5</f>
        <v>0.2</v>
      </c>
      <c r="R19" s="65">
        <f t="shared" si="1"/>
        <v>1</v>
      </c>
      <c r="S19" s="42"/>
      <c r="T19" s="42"/>
      <c r="U19" s="42"/>
      <c r="V19" s="42">
        <v>0.25</v>
      </c>
      <c r="W19" s="42"/>
      <c r="X19" s="42"/>
      <c r="Y19" s="42">
        <v>0.25</v>
      </c>
      <c r="Z19" s="42"/>
      <c r="AA19" s="42"/>
      <c r="AB19" s="42">
        <v>0.25</v>
      </c>
      <c r="AC19" s="42"/>
      <c r="AD19" s="42"/>
      <c r="AE19" s="42">
        <v>0.25</v>
      </c>
      <c r="AF19" s="1044"/>
      <c r="AG19" s="1044"/>
      <c r="AH19" s="677"/>
      <c r="AI19" s="678"/>
    </row>
    <row r="20" spans="1:35" ht="105" customHeight="1" thickBot="1" x14ac:dyDescent="0.4">
      <c r="A20" s="426">
        <v>4</v>
      </c>
      <c r="B20" s="1038" t="s">
        <v>116</v>
      </c>
      <c r="C20" s="1046" t="s">
        <v>1212</v>
      </c>
      <c r="D20" s="426" t="s">
        <v>85</v>
      </c>
      <c r="E20" s="1038" t="s">
        <v>126</v>
      </c>
      <c r="F20" s="1038" t="s">
        <v>127</v>
      </c>
      <c r="G20" s="989" t="s">
        <v>258</v>
      </c>
      <c r="H20" s="1038" t="s">
        <v>1667</v>
      </c>
      <c r="I20" s="1038" t="s">
        <v>1668</v>
      </c>
      <c r="J20" s="1038" t="s">
        <v>1669</v>
      </c>
      <c r="K20" s="1036" t="s">
        <v>268</v>
      </c>
      <c r="L20" s="1041" t="s">
        <v>1662</v>
      </c>
      <c r="M20" s="1036" t="s">
        <v>92</v>
      </c>
      <c r="N20" s="1029">
        <v>46054</v>
      </c>
      <c r="O20" s="1029">
        <v>46387</v>
      </c>
      <c r="P20" s="59" t="s">
        <v>93</v>
      </c>
      <c r="Q20" s="53">
        <f>+(Q21*R20)</f>
        <v>0.2</v>
      </c>
      <c r="R20" s="65">
        <f t="shared" si="1"/>
        <v>1</v>
      </c>
      <c r="S20" s="43"/>
      <c r="T20" s="43"/>
      <c r="U20" s="43"/>
      <c r="V20" s="43"/>
      <c r="W20" s="43"/>
      <c r="X20" s="43"/>
      <c r="Y20" s="43">
        <v>0.5</v>
      </c>
      <c r="Z20" s="43"/>
      <c r="AA20" s="44">
        <v>0.25</v>
      </c>
      <c r="AB20" s="44"/>
      <c r="AC20" s="44"/>
      <c r="AD20" s="44"/>
      <c r="AE20" s="44">
        <v>0.25</v>
      </c>
      <c r="AF20" s="721"/>
      <c r="AG20" s="590" t="s">
        <v>1670</v>
      </c>
      <c r="AH20" s="590" t="s">
        <v>1671</v>
      </c>
      <c r="AI20" s="590" t="s">
        <v>1672</v>
      </c>
    </row>
    <row r="21" spans="1:35" ht="47.15" customHeight="1" x14ac:dyDescent="0.35">
      <c r="A21" s="427"/>
      <c r="B21" s="1039"/>
      <c r="C21" s="1047"/>
      <c r="D21" s="427" t="s">
        <v>85</v>
      </c>
      <c r="E21" s="1039"/>
      <c r="F21" s="1039"/>
      <c r="G21" s="990"/>
      <c r="H21" s="1039"/>
      <c r="I21" s="1039"/>
      <c r="J21" s="1039"/>
      <c r="K21" s="1037"/>
      <c r="L21" s="1042"/>
      <c r="M21" s="1037"/>
      <c r="N21" s="1030"/>
      <c r="O21" s="1030"/>
      <c r="P21" s="59" t="s">
        <v>98</v>
      </c>
      <c r="Q21" s="52">
        <f>100%/5</f>
        <v>0.2</v>
      </c>
      <c r="R21" s="65">
        <f t="shared" si="1"/>
        <v>1</v>
      </c>
      <c r="S21" s="42"/>
      <c r="T21" s="42"/>
      <c r="U21" s="42"/>
      <c r="V21" s="42"/>
      <c r="W21" s="42"/>
      <c r="X21" s="42"/>
      <c r="Y21" s="42">
        <v>0.5</v>
      </c>
      <c r="Z21" s="42"/>
      <c r="AA21" s="42"/>
      <c r="AB21" s="42">
        <v>0.25</v>
      </c>
      <c r="AC21" s="42"/>
      <c r="AD21" s="42"/>
      <c r="AE21" s="42">
        <v>0.25</v>
      </c>
      <c r="AF21" s="578"/>
      <c r="AG21" s="589"/>
      <c r="AH21" s="677"/>
      <c r="AI21" s="677"/>
    </row>
    <row r="22" spans="1:35" ht="15" hidden="1" customHeight="1" x14ac:dyDescent="0.35"/>
    <row r="23" spans="1:35" s="13" customFormat="1" ht="30" hidden="1" customHeight="1" x14ac:dyDescent="0.35">
      <c r="D23" s="421" t="s">
        <v>41</v>
      </c>
      <c r="E23" s="421"/>
      <c r="F23" s="21">
        <v>1</v>
      </c>
      <c r="I23" s="680" t="s">
        <v>1105</v>
      </c>
      <c r="J23" s="22" t="s">
        <v>153</v>
      </c>
      <c r="K23" s="54" t="e">
        <f>SUM(O23:AD23)</f>
        <v>#REF!</v>
      </c>
      <c r="L23" s="33"/>
      <c r="M23" s="33"/>
      <c r="N23" s="33"/>
      <c r="O23" s="33" t="e">
        <f>+(W14*$Q$15)+(W16*$Q$17)+(W18*$Q$19)+(W20*$Q$21)+(#REF!*#REF!)+(#REF!*#REF!)+(#REF!*#REF!)+(#REF!*#REF!)+(#REF!*#REF!)+(#REF!*#REF!)+(#REF!*#REF!)+(#REF!*#REF!)+(#REF!*#REF!)</f>
        <v>#REF!</v>
      </c>
      <c r="P23" s="33" t="e">
        <f>+(AD14*$Q$15)+(AD16*$Q$17)+(AD18*$Q$19)+(AD20*$Q$21)+(#REF!*#REF!)+(#REF!*#REF!)+(#REF!*#REF!)+(#REF!*#REF!)+(#REF!*#REF!)+(#REF!*#REF!)+(#REF!*#REF!)+(#REF!*#REF!)+(#REF!*#REF!)</f>
        <v>#REF!</v>
      </c>
      <c r="Q23" s="36" t="e">
        <f>+(#REF!*$Q$15)+(#REF!*$Q$17)+(#REF!*$Q$19)+(#REF!*$Q$21)+(#REF!*#REF!)+(#REF!*#REF!)+(#REF!*#REF!)+(#REF!*#REF!)+(#REF!*#REF!)+(#REF!*#REF!)+(#REF!*#REF!)+(#REF!*#REF!)+(#REF!*#REF!)</f>
        <v>#REF!</v>
      </c>
      <c r="R23" s="33" t="e">
        <f>+(#REF!*$Q$15)+(#REF!*$Q$17)+(#REF!*$Q$19)+(#REF!*$Q$21)+(#REF!*#REF!)+(#REF!*#REF!)+(#REF!*#REF!)+(#REF!*#REF!)+(#REF!*#REF!)+(#REF!*#REF!)+(#REF!*#REF!)+(#REF!*#REF!)+(#REF!*#REF!)</f>
        <v>#REF!</v>
      </c>
      <c r="S23" s="33" t="e">
        <f>+(#REF!*$Q$15)+(#REF!*$Q$17)+(#REF!*$Q$19)+(#REF!*$Q$21)+(#REF!*#REF!)+(#REF!*#REF!)+(#REF!*#REF!)+(#REF!*#REF!)+(#REF!*#REF!)+(#REF!*#REF!)+(#REF!*#REF!)+(#REF!*#REF!)+(#REF!*#REF!)</f>
        <v>#REF!</v>
      </c>
      <c r="T23" s="33" t="e">
        <f>+(#REF!*$Q$15)+(#REF!*$Q$17)+(#REF!*$Q$19)+(#REF!*$Q$21)+(#REF!*#REF!)+(#REF!*#REF!)+(#REF!*#REF!)+(#REF!*#REF!)+(#REF!*#REF!)+(#REF!*#REF!)+(#REF!*#REF!)+(#REF!*#REF!)+(#REF!*#REF!)</f>
        <v>#REF!</v>
      </c>
      <c r="U23" s="33" t="e">
        <f>+(#REF!*$Q$15)+(#REF!*$Q$17)+(#REF!*$Q$19)+(#REF!*$Q$21)+(#REF!*#REF!)+(#REF!*#REF!)+(#REF!*#REF!)+(#REF!*#REF!)+(#REF!*#REF!)+(#REF!*#REF!)+(#REF!*#REF!)+(#REF!*#REF!)+(#REF!*#REF!)</f>
        <v>#REF!</v>
      </c>
      <c r="V23" s="33" t="e">
        <f>+(#REF!*$Q$15)+(#REF!*$Q$17)+(#REF!*$Q$19)+(#REF!*$Q$21)+(#REF!*#REF!)+(#REF!*#REF!)+(#REF!*#REF!)+(#REF!*#REF!)+(#REF!*#REF!)+(#REF!*#REF!)+(#REF!*#REF!)+(#REF!*#REF!)+(#REF!*#REF!)</f>
        <v>#REF!</v>
      </c>
      <c r="W23" s="33" t="e">
        <f>+(#REF!*$Q$15)+(#REF!*$Q$17)+(#REF!*$Q$19)+(#REF!*$Q$21)+(#REF!*#REF!)+(#REF!*#REF!)+(#REF!*#REF!)+(#REF!*#REF!)+(#REF!*#REF!)+(#REF!*#REF!)+(#REF!*#REF!)+(#REF!*#REF!)+(#REF!*#REF!)</f>
        <v>#REF!</v>
      </c>
      <c r="X23" s="33" t="e">
        <f>+(#REF!*$Q$15)+(#REF!*$Q$17)+(#REF!*$Q$19)+(#REF!*$Q$21)+(#REF!*#REF!)+(#REF!*#REF!)+(#REF!*#REF!)+(#REF!*#REF!)+(#REF!*#REF!)+(#REF!*#REF!)+(#REF!*#REF!)+(#REF!*#REF!)+(#REF!*#REF!)</f>
        <v>#REF!</v>
      </c>
      <c r="Y23" s="33" t="e">
        <f>+(#REF!*$Q$15)+(#REF!*$Q$17)+(#REF!*$Q$19)+(#REF!*$Q$21)+(#REF!*#REF!)+(#REF!*#REF!)+(#REF!*#REF!)+(#REF!*#REF!)+(#REF!*#REF!)+(#REF!*#REF!)+(#REF!*#REF!)+(#REF!*#REF!)+(#REF!*#REF!)</f>
        <v>#REF!</v>
      </c>
      <c r="Z23" s="33" t="e">
        <f>+(#REF!*$Q$15)+(#REF!*$Q$17)+(#REF!*$Q$19)+(#REF!*$Q$21)+(#REF!*#REF!)+(#REF!*#REF!)+(#REF!*#REF!)+(#REF!*#REF!)+(#REF!*#REF!)+(#REF!*#REF!)+(#REF!*#REF!)+(#REF!*#REF!)+(#REF!*#REF!)</f>
        <v>#REF!</v>
      </c>
      <c r="AA23" s="33" t="e">
        <f>+(#REF!*$Q$15)+(#REF!*$Q$17)+(#REF!*$Q$19)+(#REF!*$Q$21)+(#REF!*#REF!)+(#REF!*#REF!)+(#REF!*#REF!)+(#REF!*#REF!)+(#REF!*#REF!)+(#REF!*#REF!)+(#REF!*#REF!)+(#REF!*#REF!)+(#REF!*#REF!)</f>
        <v>#REF!</v>
      </c>
      <c r="AB23" s="33" t="e">
        <f>+(#REF!*$Q$15)+(#REF!*$Q$17)+(#REF!*$Q$19)+(#REF!*$Q$21)+(#REF!*#REF!)+(#REF!*#REF!)+(#REF!*#REF!)+(#REF!*#REF!)+(#REF!*#REF!)+(#REF!*#REF!)+(#REF!*#REF!)+(#REF!*#REF!)+(#REF!*#REF!)</f>
        <v>#REF!</v>
      </c>
      <c r="AC23" s="36" t="e">
        <f>+(#REF!*$Q$15)+(#REF!*$Q$17)+(#REF!*$Q$19)+(#REF!*$Q$21)+(#REF!*#REF!)+(#REF!*#REF!)+(#REF!*#REF!)+(#REF!*#REF!)+(#REF!*#REF!)+(#REF!*#REF!)+(#REF!*#REF!)+(#REF!*#REF!)+(#REF!*#REF!)</f>
        <v>#REF!</v>
      </c>
      <c r="AD23" s="33" t="e">
        <f>+(#REF!*$Q$15)+(#REF!*$Q$17)+(#REF!*$Q$19)+(#REF!*$Q$21)+(#REF!*#REF!)+(#REF!*#REF!)+(#REF!*#REF!)+(#REF!*#REF!)+(#REF!*#REF!)+(#REF!*#REF!)+(#REF!*#REF!)+(#REF!*#REF!)+(#REF!*#REF!)</f>
        <v>#REF!</v>
      </c>
      <c r="AE23" s="60"/>
    </row>
    <row r="24" spans="1:35" s="13" customFormat="1" ht="30" hidden="1" customHeight="1" x14ac:dyDescent="0.35">
      <c r="D24" s="421"/>
      <c r="E24" s="421"/>
      <c r="F24" s="21"/>
      <c r="I24" s="594"/>
      <c r="J24" s="15" t="s">
        <v>154</v>
      </c>
      <c r="K24" s="17"/>
      <c r="L24" s="34"/>
      <c r="M24" s="34"/>
      <c r="N24" s="34"/>
      <c r="O24" s="34"/>
      <c r="P24" s="34" t="e">
        <f>SUM(P23:P23)</f>
        <v>#REF!</v>
      </c>
      <c r="Q24" s="37"/>
      <c r="R24" s="34"/>
      <c r="S24" s="34"/>
      <c r="T24" s="27" t="e">
        <f>SUM(Q23:T23)</f>
        <v>#REF!</v>
      </c>
      <c r="U24" s="27"/>
      <c r="V24" s="27"/>
      <c r="W24" s="27"/>
      <c r="X24" s="27" t="e">
        <f>SUM(U23:X23)</f>
        <v>#REF!</v>
      </c>
      <c r="Y24" s="27"/>
      <c r="Z24" s="27"/>
      <c r="AA24" s="27"/>
      <c r="AB24" s="27" t="e">
        <f>SUM(Y23:AB23)</f>
        <v>#REF!</v>
      </c>
      <c r="AC24" s="39"/>
      <c r="AD24" s="27"/>
      <c r="AE24" s="61"/>
    </row>
    <row r="25" spans="1:35" s="13" customFormat="1" ht="30" hidden="1" customHeight="1" x14ac:dyDescent="0.35">
      <c r="I25" s="594"/>
      <c r="J25" s="15" t="s">
        <v>155</v>
      </c>
      <c r="K25" s="14"/>
      <c r="L25" s="34"/>
      <c r="M25" s="34"/>
      <c r="N25" s="34"/>
      <c r="O25" s="34"/>
      <c r="P25" s="34" t="e">
        <f>+#REF!+P24</f>
        <v>#REF!</v>
      </c>
      <c r="Q25" s="37"/>
      <c r="R25" s="34"/>
      <c r="S25" s="34"/>
      <c r="T25" s="26"/>
      <c r="U25" s="27"/>
      <c r="V25" s="27"/>
      <c r="W25" s="27"/>
      <c r="X25" s="27"/>
      <c r="Y25" s="27"/>
      <c r="Z25" s="27"/>
      <c r="AA25" s="27"/>
      <c r="AB25" s="27" t="e">
        <f>+T24+X24+AB24</f>
        <v>#REF!</v>
      </c>
      <c r="AC25" s="39"/>
      <c r="AD25" s="27"/>
      <c r="AE25" s="61"/>
    </row>
    <row r="26" spans="1:35" s="13" customFormat="1" ht="30" hidden="1" customHeight="1" thickBot="1" x14ac:dyDescent="0.4">
      <c r="I26" s="595"/>
      <c r="J26" s="18" t="s">
        <v>156</v>
      </c>
      <c r="K26" s="19"/>
      <c r="L26" s="35"/>
      <c r="M26" s="35"/>
      <c r="N26" s="35"/>
      <c r="O26" s="35"/>
      <c r="P26" s="35"/>
      <c r="Q26" s="38"/>
      <c r="R26" s="35"/>
      <c r="S26" s="35"/>
      <c r="T26" s="28"/>
      <c r="U26" s="29"/>
      <c r="V26" s="29"/>
      <c r="W26" s="29"/>
      <c r="X26" s="29"/>
      <c r="Y26" s="29"/>
      <c r="Z26" s="29"/>
      <c r="AA26" s="29"/>
      <c r="AB26" s="29" t="e">
        <f>+P25+AB25</f>
        <v>#REF!</v>
      </c>
      <c r="AC26" s="40"/>
      <c r="AD26" s="29"/>
      <c r="AE26" s="61"/>
    </row>
    <row r="27" spans="1:35" s="13" customFormat="1" ht="30" hidden="1" customHeight="1" x14ac:dyDescent="0.35">
      <c r="I27" s="593" t="s">
        <v>330</v>
      </c>
      <c r="J27" s="15" t="s">
        <v>157</v>
      </c>
      <c r="K27" s="23" t="e">
        <f>SUM(O27:AD27)</f>
        <v>#REF!</v>
      </c>
      <c r="L27" s="34"/>
      <c r="M27" s="34"/>
      <c r="N27" s="34"/>
      <c r="O27" s="34" t="e">
        <f>+(W15*$Q$15)+(W17*$Q$17)+(W19*$Q$19)+(W21*$Q$21)+(#REF!*#REF!)+(#REF!*#REF!)+(#REF!*#REF!)+(#REF!*#REF!)+(#REF!*#REF!)+(#REF!*#REF!)+(#REF!*#REF!)+(#REF!*#REF!)+(#REF!*#REF!)</f>
        <v>#REF!</v>
      </c>
      <c r="P27" s="34" t="e">
        <f>+(AD15*$Q$15)+(AD17*$Q$17)+(AD19*$Q$19)+(AD21*$Q$21)+(#REF!*#REF!)+(#REF!*#REF!)+(#REF!*#REF!)+(#REF!*#REF!)+(#REF!*#REF!)+(#REF!*#REF!)+(#REF!*#REF!)+(#REF!*#REF!)+(#REF!*#REF!)</f>
        <v>#REF!</v>
      </c>
      <c r="Q27" s="37" t="e">
        <f>+(#REF!*$Q$15)+(#REF!*$Q$17)+(#REF!*$Q$19)+(#REF!*$Q$21)+(#REF!*#REF!)+(#REF!*#REF!)+(#REF!*#REF!)+(#REF!*#REF!)+(#REF!*#REF!)+(#REF!*#REF!)+(#REF!*#REF!)+(#REF!*#REF!)+(#REF!*#REF!)</f>
        <v>#REF!</v>
      </c>
      <c r="R27" s="34" t="e">
        <f>+(#REF!*$Q$15)+(#REF!*$Q$17)+(#REF!*$Q$19)+(#REF!*$Q$21)+(#REF!*#REF!)+(#REF!*#REF!)+(#REF!*#REF!)+(#REF!*#REF!)+(#REF!*#REF!)+(#REF!*#REF!)+(#REF!*#REF!)+(#REF!*#REF!)+(#REF!*#REF!)</f>
        <v>#REF!</v>
      </c>
      <c r="S27" s="34" t="e">
        <f>+(#REF!*$Q$15)+(#REF!*$Q$17)+(#REF!*$Q$19)+(#REF!*$Q$21)+(#REF!*#REF!)+(#REF!*#REF!)+(#REF!*#REF!)+(#REF!*#REF!)+(#REF!*#REF!)+(#REF!*#REF!)+(#REF!*#REF!)+(#REF!*#REF!)+(#REF!*#REF!)</f>
        <v>#REF!</v>
      </c>
      <c r="T27" s="34" t="e">
        <f>+(#REF!*$Q$15)+(#REF!*$Q$17)+(#REF!*$Q$19)+(#REF!*$Q$21)+(#REF!*#REF!)+(#REF!*#REF!)+(#REF!*#REF!)+(#REF!*#REF!)+(#REF!*#REF!)+(#REF!*#REF!)+(#REF!*#REF!)+(#REF!*#REF!)+(#REF!*#REF!)</f>
        <v>#REF!</v>
      </c>
      <c r="U27" s="34" t="e">
        <f>+(#REF!*$Q$15)+(#REF!*$Q$17)+(#REF!*$Q$19)+(#REF!*$Q$21)+(#REF!*#REF!)+(#REF!*#REF!)+(#REF!*#REF!)+(#REF!*#REF!)+(#REF!*#REF!)+(#REF!*#REF!)+(#REF!*#REF!)+(#REF!*#REF!)+(#REF!*#REF!)</f>
        <v>#REF!</v>
      </c>
      <c r="V27" s="34" t="e">
        <f>+(#REF!*$Q$15)+(#REF!*$Q$17)+(#REF!*$Q$19)+(#REF!*$Q$21)+(#REF!*#REF!)+(#REF!*#REF!)+(#REF!*#REF!)+(#REF!*#REF!)+(#REF!*#REF!)+(#REF!*#REF!)+(#REF!*#REF!)+(#REF!*#REF!)+(#REF!*#REF!)</f>
        <v>#REF!</v>
      </c>
      <c r="W27" s="34" t="e">
        <f>+(#REF!*$Q$15)+(#REF!*$Q$17)+(#REF!*$Q$19)+(#REF!*$Q$21)+(#REF!*#REF!)+(#REF!*#REF!)+(#REF!*#REF!)+(#REF!*#REF!)+(#REF!*#REF!)+(#REF!*#REF!)+(#REF!*#REF!)+(#REF!*#REF!)+(#REF!*#REF!)</f>
        <v>#REF!</v>
      </c>
      <c r="X27" s="34" t="e">
        <f>+(#REF!*$Q$15)+(#REF!*$Q$17)+(#REF!*$Q$19)+(#REF!*$Q$21)+(#REF!*#REF!)+(#REF!*#REF!)+(#REF!*#REF!)+(#REF!*#REF!)+(#REF!*#REF!)+(#REF!*#REF!)+(#REF!*#REF!)+(#REF!*#REF!)+(#REF!*#REF!)</f>
        <v>#REF!</v>
      </c>
      <c r="Y27" s="34" t="e">
        <f>+(#REF!*$Q$15)+(#REF!*$Q$17)+(#REF!*$Q$19)+(#REF!*$Q$21)+(#REF!*#REF!)+(#REF!*#REF!)+(#REF!*#REF!)+(#REF!*#REF!)+(#REF!*#REF!)+(#REF!*#REF!)+(#REF!*#REF!)+(#REF!*#REF!)+(#REF!*#REF!)</f>
        <v>#REF!</v>
      </c>
      <c r="Z27" s="34" t="e">
        <f>+(#REF!*$Q$15)+(#REF!*$Q$17)+(#REF!*$Q$19)+(#REF!*$Q$21)+(#REF!*#REF!)+(#REF!*#REF!)+(#REF!*#REF!)+(#REF!*#REF!)+(#REF!*#REF!)+(#REF!*#REF!)+(#REF!*#REF!)+(#REF!*#REF!)+(#REF!*#REF!)</f>
        <v>#REF!</v>
      </c>
      <c r="AA27" s="34" t="e">
        <f>+(#REF!*$Q$15)+(#REF!*$Q$17)+(#REF!*$Q$19)+(#REF!*$Q$21)+(#REF!*#REF!)+(#REF!*#REF!)+(#REF!*#REF!)+(#REF!*#REF!)+(#REF!*#REF!)+(#REF!*#REF!)+(#REF!*#REF!)+(#REF!*#REF!)+(#REF!*#REF!)</f>
        <v>#REF!</v>
      </c>
      <c r="AB27" s="34" t="e">
        <f>+(#REF!*$Q$15)+(#REF!*$Q$17)+(#REF!*$Q$19)+(#REF!*$Q$21)+(#REF!*#REF!)+(#REF!*#REF!)+(#REF!*#REF!)+(#REF!*#REF!)+(#REF!*#REF!)+(#REF!*#REF!)+(#REF!*#REF!)+(#REF!*#REF!)+(#REF!*#REF!)</f>
        <v>#REF!</v>
      </c>
      <c r="AC27" s="37" t="e">
        <f>+(#REF!*$Q$15)+(#REF!*$Q$17)+(#REF!*$Q$19)+(#REF!*$Q$21)+(#REF!*#REF!)+(#REF!*#REF!)+(#REF!*#REF!)+(#REF!*#REF!)+(#REF!*#REF!)+(#REF!*#REF!)+(#REF!*#REF!)+(#REF!*#REF!)+(#REF!*#REF!)</f>
        <v>#REF!</v>
      </c>
      <c r="AD27" s="34" t="e">
        <f>+(#REF!*$Q$15)+(#REF!*$Q$17)+(#REF!*$Q$19)+(#REF!*$Q$21)+(#REF!*#REF!)+(#REF!*#REF!)+(#REF!*#REF!)+(#REF!*#REF!)+(#REF!*#REF!)+(#REF!*#REF!)+(#REF!*#REF!)+(#REF!*#REF!)+(#REF!*#REF!)</f>
        <v>#REF!</v>
      </c>
      <c r="AE27" s="60"/>
    </row>
    <row r="28" spans="1:35" s="13" customFormat="1" ht="30" hidden="1" customHeight="1" x14ac:dyDescent="0.35">
      <c r="I28" s="594"/>
      <c r="J28" s="15" t="s">
        <v>158</v>
      </c>
      <c r="K28" s="16"/>
      <c r="L28" s="34"/>
      <c r="M28" s="34"/>
      <c r="N28" s="34"/>
      <c r="O28" s="34"/>
      <c r="P28" s="34" t="e">
        <f>SUM(P27:P27)</f>
        <v>#REF!</v>
      </c>
      <c r="Q28" s="37"/>
      <c r="R28" s="34"/>
      <c r="S28" s="34"/>
      <c r="T28" s="34" t="e">
        <f>SUM(Q27:T27)</f>
        <v>#REF!</v>
      </c>
      <c r="U28" s="34"/>
      <c r="V28" s="34"/>
      <c r="W28" s="34"/>
      <c r="X28" s="34" t="e">
        <f>SUM(U27:X27)</f>
        <v>#REF!</v>
      </c>
      <c r="Y28" s="34"/>
      <c r="Z28" s="34"/>
      <c r="AA28" s="34"/>
      <c r="AB28" s="34" t="e">
        <f>SUM(Y27:AB27)</f>
        <v>#REF!</v>
      </c>
      <c r="AC28" s="37"/>
      <c r="AD28" s="34"/>
      <c r="AE28" s="60"/>
    </row>
    <row r="29" spans="1:35" s="13" customFormat="1" ht="30" hidden="1" customHeight="1" x14ac:dyDescent="0.35">
      <c r="I29" s="594"/>
      <c r="J29" s="15" t="s">
        <v>159</v>
      </c>
      <c r="K29" s="14"/>
      <c r="L29" s="34"/>
      <c r="M29" s="34"/>
      <c r="N29" s="34"/>
      <c r="O29" s="34"/>
      <c r="P29" s="34" t="e">
        <f>+#REF!+P28</f>
        <v>#REF!</v>
      </c>
      <c r="Q29" s="37"/>
      <c r="R29" s="34"/>
      <c r="S29" s="34"/>
      <c r="T29" s="26"/>
      <c r="U29" s="27"/>
      <c r="V29" s="27"/>
      <c r="W29" s="27"/>
      <c r="X29" s="27"/>
      <c r="Y29" s="27"/>
      <c r="Z29" s="27"/>
      <c r="AA29" s="27"/>
      <c r="AB29" s="27" t="e">
        <f>+T28+X28+AB28</f>
        <v>#REF!</v>
      </c>
      <c r="AC29" s="39"/>
      <c r="AD29" s="27"/>
      <c r="AE29" s="61"/>
    </row>
    <row r="30" spans="1:35" s="13" customFormat="1" ht="30" hidden="1" customHeight="1" thickBot="1" x14ac:dyDescent="0.4">
      <c r="I30" s="595"/>
      <c r="J30" s="20" t="s">
        <v>160</v>
      </c>
      <c r="K30" s="19"/>
      <c r="L30" s="35"/>
      <c r="M30" s="35"/>
      <c r="N30" s="35"/>
      <c r="O30" s="35"/>
      <c r="P30" s="35"/>
      <c r="Q30" s="38"/>
      <c r="R30" s="35"/>
      <c r="S30" s="35"/>
      <c r="T30" s="28"/>
      <c r="U30" s="29"/>
      <c r="V30" s="29"/>
      <c r="W30" s="29"/>
      <c r="X30" s="29"/>
      <c r="Y30" s="29"/>
      <c r="Z30" s="29"/>
      <c r="AA30" s="29"/>
      <c r="AB30" s="29" t="e">
        <f>+P29+AB29</f>
        <v>#REF!</v>
      </c>
      <c r="AC30" s="40"/>
      <c r="AD30" s="41"/>
      <c r="AE30" s="61"/>
    </row>
    <row r="31" spans="1:35" ht="30" hidden="1" customHeight="1" x14ac:dyDescent="0.35">
      <c r="I31" s="24"/>
      <c r="J31" s="422" t="s">
        <v>161</v>
      </c>
      <c r="K31" s="422"/>
      <c r="L31" s="46"/>
      <c r="M31" s="46"/>
      <c r="N31" s="46"/>
      <c r="O31" s="46" t="e">
        <f>+O23/O27</f>
        <v>#REF!</v>
      </c>
      <c r="P31" s="47" t="e">
        <f>+(O23+#REF!+#REF!+#REF!+#REF!+#REF!+#REF!+P23)/(O27+#REF!+#REF!+#REF!+#REF!+#REF!+#REF!+P27)</f>
        <v>#REF!</v>
      </c>
      <c r="Q31" s="48" t="e">
        <f>+(O23+#REF!+#REF!+#REF!+#REF!+#REF!+#REF!+P23+Q23)/(O27+#REF!+#REF!+#REF!+#REF!+#REF!+#REF!+P27+Q27)</f>
        <v>#REF!</v>
      </c>
      <c r="R31" s="46" t="e">
        <f>+(O23+#REF!+#REF!+#REF!+#REF!+#REF!+#REF!+P23+Q23+R23)/(O27+#REF!+#REF!+#REF!+#REF!+#REF!+#REF!+P27+Q27+R27)</f>
        <v>#REF!</v>
      </c>
      <c r="S31" s="46" t="e">
        <f>+(O23+#REF!+#REF!+#REF!+#REF!+#REF!+#REF!+P23+Q23+R23+S23)/(O27+#REF!+#REF!+#REF!+#REF!+#REF!+#REF!+P27+Q27+R27+S27)</f>
        <v>#REF!</v>
      </c>
      <c r="T31" s="47" t="e">
        <f>+(O23+#REF!+#REF!+#REF!+#REF!+#REF!+#REF!+P23+Q23+R23+S23+T23)/(O27+#REF!+#REF!+#REF!+#REF!+#REF!+#REF!+P27+Q27+R27+S27+T27)</f>
        <v>#REF!</v>
      </c>
      <c r="U31" s="46" t="e">
        <f>+(O23+#REF!+#REF!+#REF!+#REF!+#REF!+#REF!+P23+Q23+R23+S23+T23+U23)/(O27+#REF!+#REF!+#REF!+#REF!+#REF!+#REF!+P27+Q27+R27+S27+T27+U27)</f>
        <v>#REF!</v>
      </c>
      <c r="V31" s="46" t="e">
        <f>+(O23+#REF!+#REF!+#REF!+#REF!+#REF!+#REF!+P23+Q23+R23+S23+T23+U23+V23)/(O27+#REF!+#REF!+#REF!+#REF!+#REF!+#REF!+P27+Q27+R27+S27+T27+U27+V27)</f>
        <v>#REF!</v>
      </c>
      <c r="W31" s="46" t="e">
        <f>+(O23+#REF!+#REF!+#REF!+#REF!+#REF!+#REF!+P23+Q23+R23+S23+T23+U23+V23+W23)/(O27+#REF!+#REF!+#REF!+#REF!+#REF!+#REF!+P27+Q27+R27+S27+T27+U27+V27+W27)</f>
        <v>#REF!</v>
      </c>
      <c r="X31" s="47" t="e">
        <f>+(O23+#REF!+#REF!+#REF!+#REF!+#REF!+#REF!+P23+Q23+R23+S23+T23+U23+V23+W23+X23)/(O27+#REF!+#REF!+#REF!+#REF!+#REF!+#REF!+P27+Q27+R27+S27+T27+U27+V27+W27+X27)</f>
        <v>#REF!</v>
      </c>
      <c r="Y31" s="46" t="e">
        <f>+(O23+#REF!+#REF!+#REF!+#REF!+#REF!+#REF!+P23+Q23+R23+S23+T23+U23+V23+W23+X23+Y23)/(O27+#REF!+#REF!+#REF!+#REF!+#REF!+#REF!+P27+Q27+R27+S27+T27+U27+V27+W27+X27+Y27)</f>
        <v>#REF!</v>
      </c>
      <c r="Z31" s="46" t="e">
        <f>+(O23+#REF!+#REF!+#REF!+#REF!+#REF!+#REF!+P23+Q23+R23+S23+T23+U23+V23+W23+X23+Y23+Z23)/(O27+#REF!+#REF!+#REF!+#REF!+#REF!+#REF!+P27+Q27+R27+S27+T27+U27+V27+W27+X27+Y27+Z27)</f>
        <v>#REF!</v>
      </c>
      <c r="AA31" s="46" t="e">
        <f>+(O23+#REF!+#REF!+#REF!+#REF!+#REF!+#REF!+P23+Q23+R23+S23+T23+U23+V23+W23+X23+Y23+Z23+AA23)/(O27+#REF!+#REF!+#REF!+#REF!+#REF!+#REF!+P27+Q27+R27+S27+T27+U27+V27+W27+X27+Y27+Z27+AA27)</f>
        <v>#REF!</v>
      </c>
      <c r="AB31" s="47" t="e">
        <f>+(O23+#REF!+#REF!+#REF!+#REF!+#REF!+#REF!+P23+Q23+R23+S23+T23+U23+V23+W23+X23+Y23+Z23+AA23+AB23)/(O27+#REF!+#REF!+#REF!+#REF!+#REF!+#REF!+P27+Q27+R27+S27+T27+U27+V27+W27+X27+Y27+Z27+AA27+AB27)</f>
        <v>#REF!</v>
      </c>
      <c r="AC31" s="48" t="e">
        <f>+(O23+#REF!+#REF!+#REF!+#REF!+#REF!+#REF!+P23+Q23+R23+S23+T23+U23+V23+W23+X23+Y23+Z23+AA23+AB23+AC23)/(O27+#REF!+#REF!+#REF!+#REF!+#REF!+#REF!+P27+Q27+R27+S27+T27+U27+V27+W27+X27+Y27+Z27+AA27+AB27+AC27)</f>
        <v>#REF!</v>
      </c>
      <c r="AD31" s="46" t="e">
        <f>+(O23+#REF!+#REF!+#REF!+#REF!+#REF!+#REF!+P23+Q23+R23+S23+T23+U23+V23+W23+X23+Y23+Z23+AA23+AB23+AC23+AD23)/(O27+#REF!+#REF!+#REF!+#REF!+#REF!+#REF!+P27+Q27+R27+S27+T27+U27+V27+W27+X27+Y27+Z27+AA27+AB27+AC27+AD27)</f>
        <v>#REF!</v>
      </c>
      <c r="AE31" s="62"/>
    </row>
    <row r="32" spans="1:35" ht="30" hidden="1" customHeight="1" x14ac:dyDescent="0.35">
      <c r="I32" s="24"/>
      <c r="J32" s="423" t="s">
        <v>162</v>
      </c>
      <c r="K32" s="423"/>
      <c r="L32" s="47"/>
      <c r="M32" s="47"/>
      <c r="N32" s="47"/>
      <c r="O32" s="47" t="e">
        <f>+O23/$F$23</f>
        <v>#REF!</v>
      </c>
      <c r="P32" s="47" t="e">
        <f>+(O23+#REF!+#REF!+#REF!+#REF!+#REF!+#REF!+P23)/$F$23</f>
        <v>#REF!</v>
      </c>
      <c r="Q32" s="49" t="e">
        <f>+(O23+#REF!+#REF!+#REF!+#REF!+#REF!+#REF!+P23+Q23)/$F$23</f>
        <v>#REF!</v>
      </c>
      <c r="R32" s="47" t="e">
        <f>+(O23+#REF!+#REF!+#REF!+#REF!+#REF!+#REF!+P23+Q23+R23)/$F$23</f>
        <v>#REF!</v>
      </c>
      <c r="S32" s="47" t="e">
        <f>+(O23+#REF!+#REF!+#REF!+#REF!+#REF!+#REF!+P23+Q23+R23+S23)/$F$23</f>
        <v>#REF!</v>
      </c>
      <c r="T32" s="47" t="e">
        <f>+(O23+#REF!+#REF!+#REF!+#REF!+#REF!+#REF!+P23+Q23+R23+S23+T23)/$F$23</f>
        <v>#REF!</v>
      </c>
      <c r="U32" s="47" t="e">
        <f>+(O23+#REF!+#REF!+#REF!+#REF!+#REF!+#REF!+P23+Q23+R23+S23+T23+U23)/$F$23</f>
        <v>#REF!</v>
      </c>
      <c r="V32" s="47" t="e">
        <f>+(O23+#REF!+#REF!+#REF!+#REF!+#REF!+#REF!+P23+Q23+R23+S23+T23+U23+V23)/$F$23</f>
        <v>#REF!</v>
      </c>
      <c r="W32" s="47" t="e">
        <f>+(O23+#REF!+#REF!+#REF!+#REF!+#REF!+#REF!+P23+Q23+R23+S23+T23+U23+V23+W23)/$F$23</f>
        <v>#REF!</v>
      </c>
      <c r="X32" s="47" t="e">
        <f>+(O23+#REF!+#REF!+#REF!+#REF!+#REF!+#REF!+P23+Q23+R23+S23+T23+U23+V23+W23+X23)/$F$23</f>
        <v>#REF!</v>
      </c>
      <c r="Y32" s="47" t="e">
        <f>+(O23+#REF!+#REF!+#REF!+#REF!+#REF!+#REF!+P23+Q23+R23+S23+T23+U23+V23+W23+X23+Y23)/$F$23</f>
        <v>#REF!</v>
      </c>
      <c r="Z32" s="47" t="e">
        <f>+(O23+#REF!+#REF!+#REF!+#REF!+#REF!+#REF!+P23+Q23+R23+S23+T23+U23+V23+W23+X23+Y23+Z23)/$F$23</f>
        <v>#REF!</v>
      </c>
      <c r="AA32" s="47" t="e">
        <f>+(O23+#REF!+#REF!+#REF!+#REF!+#REF!+#REF!+P23+Q23+R23+S23+T23+U23+V23+W23+X23+Y23+Z23+AA23)/$F$23</f>
        <v>#REF!</v>
      </c>
      <c r="AB32" s="47" t="e">
        <f>+(O23+#REF!+#REF!+#REF!+#REF!+#REF!+#REF!+P23+Q23+R23+S23+T23+U23+V23+W23+X23+Y23+Z23+AA23+AB23)/$F$23</f>
        <v>#REF!</v>
      </c>
      <c r="AC32" s="49" t="e">
        <f>+(O23+#REF!+#REF!+#REF!+#REF!+#REF!+#REF!+P23+Q23+R23+S23+T23+U23+V23+W23+X23+Y23+Z23+AA23+AB23+AC23)/$F$23</f>
        <v>#REF!</v>
      </c>
      <c r="AD32" s="47" t="e">
        <f>+(O23+#REF!+#REF!+#REF!+#REF!+#REF!+#REF!+P23+Q23+R23+S23+T23+U23+V23+W23+X23+Y23+Z23+AA23+AB23+AC23+AD23)/$F$23</f>
        <v>#REF!</v>
      </c>
      <c r="AE32" s="63"/>
    </row>
    <row r="33" spans="2:31" ht="30" hidden="1" customHeight="1" x14ac:dyDescent="0.35">
      <c r="J33" s="422" t="s">
        <v>163</v>
      </c>
      <c r="K33" s="422"/>
      <c r="L33" s="50"/>
      <c r="M33" s="50"/>
      <c r="N33" s="50"/>
      <c r="O33" s="50"/>
      <c r="P33" s="47" t="e">
        <f>+P24/P28</f>
        <v>#REF!</v>
      </c>
      <c r="Q33" s="51"/>
      <c r="R33" s="50"/>
      <c r="S33" s="50"/>
      <c r="T33" s="47" t="e">
        <f>+T24/T28</f>
        <v>#REF!</v>
      </c>
      <c r="U33" s="50"/>
      <c r="V33" s="50"/>
      <c r="W33" s="50"/>
      <c r="X33" s="47" t="e">
        <f>+X24/X28</f>
        <v>#REF!</v>
      </c>
      <c r="Y33" s="50"/>
      <c r="Z33" s="50"/>
      <c r="AA33" s="50"/>
      <c r="AB33" s="47" t="e">
        <f>+AB24/AB28</f>
        <v>#REF!</v>
      </c>
      <c r="AC33" s="51"/>
      <c r="AD33" s="50"/>
      <c r="AE33" s="64"/>
    </row>
    <row r="34" spans="2:31" ht="30" hidden="1" customHeight="1" x14ac:dyDescent="0.35">
      <c r="J34" s="423" t="s">
        <v>164</v>
      </c>
      <c r="K34" s="423"/>
      <c r="L34" s="50"/>
      <c r="M34" s="50"/>
      <c r="N34" s="50"/>
      <c r="O34" s="50"/>
      <c r="P34" s="47" t="e">
        <f>+(#REF!+P24)/$F$23</f>
        <v>#REF!</v>
      </c>
      <c r="Q34" s="51"/>
      <c r="R34" s="50"/>
      <c r="S34" s="50"/>
      <c r="T34" s="47" t="e">
        <f>+(#REF!+P24+T24)/$F$23</f>
        <v>#REF!</v>
      </c>
      <c r="U34" s="50"/>
      <c r="V34" s="50"/>
      <c r="W34" s="50"/>
      <c r="X34" s="47" t="e">
        <f>+(#REF!+P24+T24+X24)/$F$23</f>
        <v>#REF!</v>
      </c>
      <c r="Y34" s="50"/>
      <c r="Z34" s="50"/>
      <c r="AA34" s="50"/>
      <c r="AB34" s="47" t="e">
        <f>+(#REF!+P24+T24+X24+AB24)/$F$23</f>
        <v>#REF!</v>
      </c>
      <c r="AC34" s="51"/>
      <c r="AD34" s="50"/>
      <c r="AE34" s="64"/>
    </row>
    <row r="35" spans="2:31" ht="30" hidden="1" customHeight="1" x14ac:dyDescent="0.35">
      <c r="J35" s="422" t="s">
        <v>165</v>
      </c>
      <c r="K35" s="422"/>
      <c r="L35" s="50"/>
      <c r="M35" s="50"/>
      <c r="N35" s="50"/>
      <c r="O35" s="50"/>
      <c r="P35" s="47" t="e">
        <f>+(#REF!+P24)/(#REF!+P28)</f>
        <v>#REF!</v>
      </c>
      <c r="Q35" s="51"/>
      <c r="R35" s="50"/>
      <c r="S35" s="50"/>
      <c r="T35" s="50"/>
      <c r="U35" s="50"/>
      <c r="V35" s="50"/>
      <c r="W35" s="50"/>
      <c r="X35" s="50"/>
      <c r="Y35" s="50"/>
      <c r="Z35" s="50"/>
      <c r="AA35" s="50"/>
      <c r="AB35" s="47" t="e">
        <f>+(#REF!+P24+T24+X24+AB24)/(#REF!+P28+T28+X28+AB28)</f>
        <v>#REF!</v>
      </c>
      <c r="AC35" s="51"/>
      <c r="AD35" s="50"/>
      <c r="AE35" s="64"/>
    </row>
    <row r="36" spans="2:31" ht="30" hidden="1" customHeight="1" x14ac:dyDescent="0.35">
      <c r="J36" s="422" t="s">
        <v>166</v>
      </c>
      <c r="K36" s="422"/>
      <c r="L36" s="50"/>
      <c r="M36" s="50"/>
      <c r="N36" s="50"/>
      <c r="O36" s="50"/>
      <c r="P36" s="47" t="e">
        <f>+(#REF!+P24)/$F$23</f>
        <v>#REF!</v>
      </c>
      <c r="Q36" s="51"/>
      <c r="R36" s="50"/>
      <c r="S36" s="50"/>
      <c r="T36" s="50"/>
      <c r="U36" s="50"/>
      <c r="V36" s="50"/>
      <c r="W36" s="50"/>
      <c r="X36" s="50"/>
      <c r="Y36" s="50"/>
      <c r="Z36" s="50"/>
      <c r="AA36" s="50"/>
      <c r="AB36" s="47" t="e">
        <f>+(+#REF!+P24+T24+X24+AB24)/$F$23</f>
        <v>#REF!</v>
      </c>
      <c r="AC36" s="51"/>
      <c r="AD36" s="50"/>
      <c r="AE36" s="64"/>
    </row>
    <row r="37" spans="2:31" ht="15" hidden="1" customHeight="1" x14ac:dyDescent="0.35"/>
    <row r="38" spans="2:31" ht="35.15" hidden="1" customHeight="1" x14ac:dyDescent="0.35">
      <c r="I38" s="625" t="s">
        <v>331</v>
      </c>
      <c r="J38" s="625"/>
      <c r="K38" s="30" t="e">
        <f>+#REF!</f>
        <v>#REF!</v>
      </c>
      <c r="L38" s="32"/>
      <c r="M38" s="32"/>
      <c r="N38" s="32"/>
      <c r="O38" s="32"/>
    </row>
    <row r="39" spans="2:31" ht="35.15" hidden="1" customHeight="1" thickBot="1" x14ac:dyDescent="0.4">
      <c r="I39" s="625" t="s">
        <v>332</v>
      </c>
      <c r="J39" s="625"/>
      <c r="K39" s="25">
        <f>+F23</f>
        <v>1</v>
      </c>
      <c r="L39" s="32"/>
      <c r="M39" s="32"/>
      <c r="N39" s="32"/>
      <c r="O39" s="32"/>
    </row>
    <row r="40" spans="2:31" ht="35.15" hidden="1" customHeight="1" thickBot="1" x14ac:dyDescent="0.4">
      <c r="I40" s="625" t="s">
        <v>333</v>
      </c>
      <c r="J40" s="625"/>
      <c r="K40" s="31" t="e">
        <f>+K38/K39</f>
        <v>#REF!</v>
      </c>
      <c r="L40" s="32"/>
      <c r="M40" s="32"/>
      <c r="N40" s="32"/>
      <c r="O40" s="32"/>
    </row>
    <row r="41" spans="2:31" ht="15" hidden="1" customHeight="1" x14ac:dyDescent="0.35">
      <c r="L41" s="32"/>
      <c r="M41" s="32"/>
      <c r="N41" s="32"/>
      <c r="O41" s="32"/>
    </row>
    <row r="42" spans="2:31" ht="15" hidden="1" customHeight="1" x14ac:dyDescent="0.35">
      <c r="B42" s="413" t="s">
        <v>51</v>
      </c>
      <c r="C42" s="413" t="s">
        <v>52</v>
      </c>
      <c r="D42" s="413" t="s">
        <v>53</v>
      </c>
      <c r="E42" s="413" t="s">
        <v>54</v>
      </c>
      <c r="F42" s="413" t="s">
        <v>29</v>
      </c>
      <c r="G42" s="415" t="s">
        <v>55</v>
      </c>
      <c r="H42" s="235"/>
      <c r="L42" s="32"/>
      <c r="M42" s="32"/>
      <c r="N42" s="32"/>
      <c r="O42" s="32"/>
    </row>
    <row r="43" spans="2:31" ht="15" hidden="1" customHeight="1" x14ac:dyDescent="0.35">
      <c r="B43" s="414"/>
      <c r="C43" s="414"/>
      <c r="D43" s="414"/>
      <c r="E43" s="414"/>
      <c r="F43" s="414"/>
      <c r="G43" s="414"/>
      <c r="H43" s="235"/>
      <c r="L43" s="32"/>
      <c r="M43" s="32"/>
      <c r="N43" s="32"/>
      <c r="O43" s="32"/>
    </row>
    <row r="44" spans="2:31" ht="15" hidden="1" customHeight="1" x14ac:dyDescent="0.35">
      <c r="B44" s="1" t="s">
        <v>99</v>
      </c>
      <c r="C44" s="13" t="s">
        <v>168</v>
      </c>
      <c r="D44" s="1" t="s">
        <v>130</v>
      </c>
      <c r="E44" s="1" t="s">
        <v>131</v>
      </c>
      <c r="F44" s="1" t="s">
        <v>169</v>
      </c>
      <c r="G44" s="1" t="s">
        <v>170</v>
      </c>
    </row>
    <row r="45" spans="2:31" ht="15" hidden="1" customHeight="1" x14ac:dyDescent="0.35">
      <c r="B45" s="1" t="s">
        <v>116</v>
      </c>
      <c r="C45" s="13" t="s">
        <v>129</v>
      </c>
      <c r="D45" s="1" t="s">
        <v>172</v>
      </c>
      <c r="E45" s="1" t="s">
        <v>173</v>
      </c>
      <c r="F45" s="1" t="s">
        <v>174</v>
      </c>
      <c r="G45" s="1" t="s">
        <v>175</v>
      </c>
    </row>
    <row r="46" spans="2:31" ht="15" hidden="1" customHeight="1" x14ac:dyDescent="0.35">
      <c r="B46" s="1" t="s">
        <v>83</v>
      </c>
      <c r="C46" s="13" t="s">
        <v>110</v>
      </c>
      <c r="D46" s="1" t="s">
        <v>85</v>
      </c>
      <c r="E46" s="1" t="s">
        <v>176</v>
      </c>
      <c r="F46" s="1" t="s">
        <v>177</v>
      </c>
      <c r="G46" s="1" t="s">
        <v>178</v>
      </c>
    </row>
    <row r="47" spans="2:31" ht="15" hidden="1" customHeight="1" x14ac:dyDescent="0.35">
      <c r="B47" s="1" t="s">
        <v>109</v>
      </c>
      <c r="C47" s="13" t="s">
        <v>125</v>
      </c>
      <c r="D47" s="1" t="s">
        <v>180</v>
      </c>
      <c r="E47" s="1" t="s">
        <v>181</v>
      </c>
      <c r="F47" s="1" t="s">
        <v>182</v>
      </c>
      <c r="G47" s="1" t="s">
        <v>183</v>
      </c>
    </row>
    <row r="48" spans="2:31" ht="15" hidden="1" customHeight="1" x14ac:dyDescent="0.35">
      <c r="B48" s="1" t="s">
        <v>124</v>
      </c>
      <c r="C48" s="13" t="s">
        <v>142</v>
      </c>
      <c r="D48" s="1" t="s">
        <v>100</v>
      </c>
      <c r="E48" s="1" t="s">
        <v>184</v>
      </c>
      <c r="F48" s="1" t="s">
        <v>185</v>
      </c>
      <c r="G48" s="1" t="s">
        <v>186</v>
      </c>
    </row>
    <row r="49" spans="2:7" ht="15" hidden="1" customHeight="1" x14ac:dyDescent="0.35">
      <c r="B49" s="1" t="s">
        <v>187</v>
      </c>
      <c r="C49" s="13" t="s">
        <v>188</v>
      </c>
      <c r="D49" s="1" t="s">
        <v>111</v>
      </c>
      <c r="E49" s="1" t="s">
        <v>149</v>
      </c>
      <c r="F49" s="1" t="s">
        <v>189</v>
      </c>
      <c r="G49" s="1" t="s">
        <v>127</v>
      </c>
    </row>
    <row r="50" spans="2:7" ht="15" hidden="1" customHeight="1" x14ac:dyDescent="0.35">
      <c r="B50" s="1" t="s">
        <v>190</v>
      </c>
      <c r="C50" s="13" t="s">
        <v>191</v>
      </c>
      <c r="D50" s="1" t="s">
        <v>192</v>
      </c>
      <c r="E50" s="1" t="s">
        <v>193</v>
      </c>
      <c r="F50" s="1" t="s">
        <v>194</v>
      </c>
      <c r="G50" s="1" t="s">
        <v>195</v>
      </c>
    </row>
    <row r="51" spans="2:7" ht="15" hidden="1" customHeight="1" x14ac:dyDescent="0.35">
      <c r="B51" s="1" t="s">
        <v>196</v>
      </c>
      <c r="C51" s="13" t="s">
        <v>197</v>
      </c>
      <c r="E51" s="1" t="s">
        <v>126</v>
      </c>
      <c r="F51" s="1" t="s">
        <v>198</v>
      </c>
      <c r="G51" s="1" t="s">
        <v>150</v>
      </c>
    </row>
    <row r="52" spans="2:7" ht="15" hidden="1" customHeight="1" x14ac:dyDescent="0.35">
      <c r="C52" s="13" t="s">
        <v>117</v>
      </c>
      <c r="E52" s="1" t="s">
        <v>118</v>
      </c>
      <c r="F52" s="1" t="s">
        <v>199</v>
      </c>
      <c r="G52" s="1" t="s">
        <v>102</v>
      </c>
    </row>
    <row r="53" spans="2:7" ht="15" hidden="1" customHeight="1" x14ac:dyDescent="0.35">
      <c r="C53" s="13" t="s">
        <v>84</v>
      </c>
      <c r="E53" s="1" t="s">
        <v>200</v>
      </c>
      <c r="F53" s="1" t="s">
        <v>201</v>
      </c>
      <c r="G53" s="1" t="s">
        <v>132</v>
      </c>
    </row>
    <row r="54" spans="2:7" ht="15" hidden="1" customHeight="1" x14ac:dyDescent="0.35">
      <c r="E54" s="1" t="s">
        <v>202</v>
      </c>
      <c r="F54" s="1" t="s">
        <v>203</v>
      </c>
      <c r="G54" s="1" t="s">
        <v>144</v>
      </c>
    </row>
    <row r="55" spans="2:7" ht="15" hidden="1" customHeight="1" x14ac:dyDescent="0.35">
      <c r="E55" s="1" t="s">
        <v>204</v>
      </c>
      <c r="F55" s="1" t="s">
        <v>205</v>
      </c>
      <c r="G55" s="1" t="s">
        <v>206</v>
      </c>
    </row>
    <row r="56" spans="2:7" ht="15" hidden="1" customHeight="1" x14ac:dyDescent="0.35">
      <c r="E56" s="1" t="s">
        <v>86</v>
      </c>
      <c r="G56" s="1" t="s">
        <v>207</v>
      </c>
    </row>
    <row r="57" spans="2:7" ht="15" hidden="1" customHeight="1" x14ac:dyDescent="0.35">
      <c r="E57" s="1" t="s">
        <v>208</v>
      </c>
      <c r="G57" s="1" t="s">
        <v>209</v>
      </c>
    </row>
    <row r="58" spans="2:7" ht="15" hidden="1" customHeight="1" x14ac:dyDescent="0.35">
      <c r="E58" s="1" t="s">
        <v>101</v>
      </c>
      <c r="G58" s="1" t="s">
        <v>210</v>
      </c>
    </row>
    <row r="59" spans="2:7" ht="15" hidden="1" customHeight="1" x14ac:dyDescent="0.35">
      <c r="E59" s="1" t="s">
        <v>143</v>
      </c>
      <c r="G59" s="1" t="s">
        <v>211</v>
      </c>
    </row>
    <row r="60" spans="2:7" ht="15" hidden="1" customHeight="1" x14ac:dyDescent="0.35">
      <c r="E60" s="1" t="s">
        <v>212</v>
      </c>
      <c r="G60" s="1" t="s">
        <v>213</v>
      </c>
    </row>
    <row r="61" spans="2:7" ht="15" hidden="1" customHeight="1" x14ac:dyDescent="0.35">
      <c r="E61" s="1" t="s">
        <v>112</v>
      </c>
      <c r="G61" s="1" t="s">
        <v>214</v>
      </c>
    </row>
    <row r="62" spans="2:7" ht="15" hidden="1" customHeight="1" x14ac:dyDescent="0.35">
      <c r="E62" s="1" t="s">
        <v>215</v>
      </c>
      <c r="G62" s="1" t="s">
        <v>216</v>
      </c>
    </row>
    <row r="63" spans="2:7" ht="15" hidden="1" customHeight="1" x14ac:dyDescent="0.35">
      <c r="G63" s="1" t="s">
        <v>217</v>
      </c>
    </row>
    <row r="64" spans="2:7" ht="15" hidden="1" customHeight="1" x14ac:dyDescent="0.35">
      <c r="G64" s="1" t="s">
        <v>218</v>
      </c>
    </row>
    <row r="65" spans="7:7" ht="15" hidden="1" customHeight="1" x14ac:dyDescent="0.35">
      <c r="G65" s="1" t="s">
        <v>219</v>
      </c>
    </row>
    <row r="66" spans="7:7" ht="15" hidden="1" customHeight="1" x14ac:dyDescent="0.35">
      <c r="G66" s="1" t="s">
        <v>220</v>
      </c>
    </row>
    <row r="67" spans="7:7" ht="15" hidden="1" customHeight="1" x14ac:dyDescent="0.35">
      <c r="G67" s="1" t="s">
        <v>221</v>
      </c>
    </row>
    <row r="68" spans="7:7" ht="15" hidden="1" customHeight="1" x14ac:dyDescent="0.35">
      <c r="G68" s="1" t="s">
        <v>222</v>
      </c>
    </row>
    <row r="69" spans="7:7" ht="15" hidden="1" customHeight="1" x14ac:dyDescent="0.35">
      <c r="G69" s="1" t="s">
        <v>223</v>
      </c>
    </row>
    <row r="70" spans="7:7" ht="15" hidden="1" customHeight="1" x14ac:dyDescent="0.35">
      <c r="G70" s="1" t="s">
        <v>224</v>
      </c>
    </row>
    <row r="71" spans="7:7" ht="15" hidden="1" customHeight="1" x14ac:dyDescent="0.35">
      <c r="G71" s="1" t="s">
        <v>225</v>
      </c>
    </row>
    <row r="72" spans="7:7" ht="15" hidden="1" customHeight="1" x14ac:dyDescent="0.35">
      <c r="G72" s="1" t="s">
        <v>226</v>
      </c>
    </row>
    <row r="73" spans="7:7" ht="15" hidden="1" customHeight="1" x14ac:dyDescent="0.35">
      <c r="G73" s="1" t="s">
        <v>227</v>
      </c>
    </row>
    <row r="74" spans="7:7" ht="15" hidden="1" customHeight="1" x14ac:dyDescent="0.35">
      <c r="G74" s="1" t="s">
        <v>228</v>
      </c>
    </row>
    <row r="75" spans="7:7" ht="15" hidden="1" customHeight="1" x14ac:dyDescent="0.35">
      <c r="G75" s="1" t="s">
        <v>229</v>
      </c>
    </row>
    <row r="76" spans="7:7" ht="15" hidden="1" customHeight="1" x14ac:dyDescent="0.35">
      <c r="G76" s="1" t="s">
        <v>230</v>
      </c>
    </row>
    <row r="77" spans="7:7" ht="15" hidden="1" customHeight="1" x14ac:dyDescent="0.35">
      <c r="G77" s="1" t="s">
        <v>119</v>
      </c>
    </row>
    <row r="78" spans="7:7" ht="15" hidden="1" customHeight="1" x14ac:dyDescent="0.35">
      <c r="G78" s="1" t="s">
        <v>138</v>
      </c>
    </row>
    <row r="79" spans="7:7" ht="15" hidden="1" customHeight="1" x14ac:dyDescent="0.35">
      <c r="G79" s="1" t="s">
        <v>231</v>
      </c>
    </row>
    <row r="80" spans="7:7" ht="15" hidden="1" customHeight="1" x14ac:dyDescent="0.35">
      <c r="G80" s="1" t="s">
        <v>232</v>
      </c>
    </row>
    <row r="81" spans="7:7" ht="15" hidden="1" customHeight="1" x14ac:dyDescent="0.35">
      <c r="G81" s="1" t="s">
        <v>233</v>
      </c>
    </row>
    <row r="82" spans="7:7" ht="15" hidden="1" customHeight="1" x14ac:dyDescent="0.35">
      <c r="G82" s="1" t="s">
        <v>87</v>
      </c>
    </row>
    <row r="83" spans="7:7" ht="15" hidden="1" customHeight="1" x14ac:dyDescent="0.35">
      <c r="G83" s="1" t="s">
        <v>234</v>
      </c>
    </row>
    <row r="84" spans="7:7" ht="15" hidden="1" customHeight="1" x14ac:dyDescent="0.35">
      <c r="G84" s="1" t="s">
        <v>235</v>
      </c>
    </row>
    <row r="85" spans="7:7" ht="15" hidden="1" customHeight="1" x14ac:dyDescent="0.35">
      <c r="G85" s="1" t="s">
        <v>236</v>
      </c>
    </row>
    <row r="86" spans="7:7" ht="15" hidden="1" customHeight="1" x14ac:dyDescent="0.35">
      <c r="G86" s="1" t="s">
        <v>237</v>
      </c>
    </row>
    <row r="87" spans="7:7" ht="15" hidden="1" customHeight="1" x14ac:dyDescent="0.35">
      <c r="G87" s="1" t="s">
        <v>238</v>
      </c>
    </row>
    <row r="88" spans="7:7" ht="15" hidden="1" customHeight="1" x14ac:dyDescent="0.35">
      <c r="G88" s="1" t="s">
        <v>239</v>
      </c>
    </row>
    <row r="89" spans="7:7" ht="15" hidden="1" customHeight="1" x14ac:dyDescent="0.35">
      <c r="G89" s="1" t="s">
        <v>240</v>
      </c>
    </row>
    <row r="90" spans="7:7" ht="15" hidden="1" customHeight="1" x14ac:dyDescent="0.35">
      <c r="G90" s="1" t="s">
        <v>241</v>
      </c>
    </row>
    <row r="91" spans="7:7" ht="15" hidden="1" customHeight="1" x14ac:dyDescent="0.35">
      <c r="G91" s="1" t="s">
        <v>242</v>
      </c>
    </row>
    <row r="92" spans="7:7" ht="15" hidden="1" customHeight="1" x14ac:dyDescent="0.35">
      <c r="G92" s="1" t="s">
        <v>243</v>
      </c>
    </row>
    <row r="93" spans="7:7" ht="15" hidden="1" customHeight="1" x14ac:dyDescent="0.35">
      <c r="G93" s="1" t="s">
        <v>244</v>
      </c>
    </row>
    <row r="94" spans="7:7" ht="15" hidden="1" customHeight="1" x14ac:dyDescent="0.35">
      <c r="G94" s="1" t="s">
        <v>245</v>
      </c>
    </row>
    <row r="95" spans="7:7" ht="15" hidden="1" customHeight="1" x14ac:dyDescent="0.35">
      <c r="G95" s="1" t="s">
        <v>246</v>
      </c>
    </row>
    <row r="96" spans="7:7" ht="15" hidden="1" customHeight="1" x14ac:dyDescent="0.35">
      <c r="G96" s="1" t="s">
        <v>39</v>
      </c>
    </row>
    <row r="97" spans="7:7" ht="15" hidden="1" customHeight="1" x14ac:dyDescent="0.35">
      <c r="G97" s="1" t="s">
        <v>247</v>
      </c>
    </row>
    <row r="98" spans="7:7" ht="15" hidden="1" customHeight="1" x14ac:dyDescent="0.35">
      <c r="G98" s="1" t="s">
        <v>248</v>
      </c>
    </row>
    <row r="99" spans="7:7" ht="15" hidden="1" customHeight="1" x14ac:dyDescent="0.35">
      <c r="G99" s="1" t="s">
        <v>249</v>
      </c>
    </row>
    <row r="100" spans="7:7" ht="15" hidden="1" customHeight="1" x14ac:dyDescent="0.35">
      <c r="G100" s="1" t="s">
        <v>250</v>
      </c>
    </row>
    <row r="101" spans="7:7" ht="15" hidden="1" customHeight="1" x14ac:dyDescent="0.35">
      <c r="G101" s="1" t="s">
        <v>251</v>
      </c>
    </row>
    <row r="102" spans="7:7" ht="15" hidden="1" customHeight="1" x14ac:dyDescent="0.35">
      <c r="G102" s="1" t="s">
        <v>252</v>
      </c>
    </row>
    <row r="103" spans="7:7" ht="15" hidden="1" customHeight="1" x14ac:dyDescent="0.35">
      <c r="G103" s="1" t="s">
        <v>253</v>
      </c>
    </row>
  </sheetData>
  <sheetProtection formatCells="0" formatColumns="0" formatRows="0" insertColumns="0" insertRows="0" insertHyperlinks="0" deleteColumns="0" deleteRows="0" sort="0" autoFilter="0" pivotTables="0"/>
  <autoFilter ref="A13:AI21" xr:uid="{7723D7EE-A84F-4CE4-9847-98943A10A2B4}"/>
  <mergeCells count="155">
    <mergeCell ref="B42:B43"/>
    <mergeCell ref="C42:C43"/>
    <mergeCell ref="D42:D43"/>
    <mergeCell ref="E42:E43"/>
    <mergeCell ref="F42:F43"/>
    <mergeCell ref="G42:G43"/>
    <mergeCell ref="O16:O17"/>
    <mergeCell ref="N16:N17"/>
    <mergeCell ref="M16:M17"/>
    <mergeCell ref="J16:J17"/>
    <mergeCell ref="K16:K17"/>
    <mergeCell ref="L16:L17"/>
    <mergeCell ref="I38:J38"/>
    <mergeCell ref="I39:J39"/>
    <mergeCell ref="I40:J40"/>
    <mergeCell ref="J31:K31"/>
    <mergeCell ref="J32:K32"/>
    <mergeCell ref="J33:K33"/>
    <mergeCell ref="J34:K34"/>
    <mergeCell ref="J35:K35"/>
    <mergeCell ref="J36:K36"/>
    <mergeCell ref="D23:E23"/>
    <mergeCell ref="I23:I26"/>
    <mergeCell ref="D24:E24"/>
    <mergeCell ref="F18:F19"/>
    <mergeCell ref="G18:G19"/>
    <mergeCell ref="I18:I19"/>
    <mergeCell ref="A18:A19"/>
    <mergeCell ref="B18:B19"/>
    <mergeCell ref="C18:C19"/>
    <mergeCell ref="D18:D19"/>
    <mergeCell ref="E18:E19"/>
    <mergeCell ref="F14:F15"/>
    <mergeCell ref="D14:D15"/>
    <mergeCell ref="C14:C15"/>
    <mergeCell ref="B14:B15"/>
    <mergeCell ref="A14:A15"/>
    <mergeCell ref="A16:A17"/>
    <mergeCell ref="B16:B17"/>
    <mergeCell ref="C16:C17"/>
    <mergeCell ref="D16:D17"/>
    <mergeCell ref="E16:E17"/>
    <mergeCell ref="F16:F17"/>
    <mergeCell ref="E14:E15"/>
    <mergeCell ref="H18:H19"/>
    <mergeCell ref="G16:G17"/>
    <mergeCell ref="I16:I17"/>
    <mergeCell ref="G14:G15"/>
    <mergeCell ref="I27:I30"/>
    <mergeCell ref="O20:O21"/>
    <mergeCell ref="A20:A21"/>
    <mergeCell ref="B20:B21"/>
    <mergeCell ref="C20:C21"/>
    <mergeCell ref="D20:D21"/>
    <mergeCell ref="E20:E21"/>
    <mergeCell ref="F20:F21"/>
    <mergeCell ref="G20:G21"/>
    <mergeCell ref="I20:I21"/>
    <mergeCell ref="H20:H21"/>
    <mergeCell ref="AF20:AF21"/>
    <mergeCell ref="AG20:AG21"/>
    <mergeCell ref="AH20:AH21"/>
    <mergeCell ref="AI20:AI21"/>
    <mergeCell ref="J20:J21"/>
    <mergeCell ref="L20:L21"/>
    <mergeCell ref="M20:M21"/>
    <mergeCell ref="N20:N21"/>
    <mergeCell ref="AH18:AH19"/>
    <mergeCell ref="AI18:AI19"/>
    <mergeCell ref="M18:M19"/>
    <mergeCell ref="N18:N19"/>
    <mergeCell ref="O18:O19"/>
    <mergeCell ref="AF18:AF19"/>
    <mergeCell ref="AG18:AG19"/>
    <mergeCell ref="J18:J19"/>
    <mergeCell ref="K18:K19"/>
    <mergeCell ref="L18:L19"/>
    <mergeCell ref="K20:K21"/>
    <mergeCell ref="M14:M15"/>
    <mergeCell ref="P14:P15"/>
    <mergeCell ref="H14:H15"/>
    <mergeCell ref="K14:K15"/>
    <mergeCell ref="H16:H17"/>
    <mergeCell ref="AH14:AH15"/>
    <mergeCell ref="AI14:AI15"/>
    <mergeCell ref="N14:N15"/>
    <mergeCell ref="O14:O15"/>
    <mergeCell ref="AF14:AF15"/>
    <mergeCell ref="AG14:AG15"/>
    <mergeCell ref="I14:I15"/>
    <mergeCell ref="J14:J15"/>
    <mergeCell ref="L14:L15"/>
    <mergeCell ref="AH16:AH17"/>
    <mergeCell ref="AI16:AI17"/>
    <mergeCell ref="AF16:AF17"/>
    <mergeCell ref="AG16:AG17"/>
    <mergeCell ref="AE12:AE13"/>
    <mergeCell ref="AF12:AF13"/>
    <mergeCell ref="AG12:AG13"/>
    <mergeCell ref="X12:X13"/>
    <mergeCell ref="U12:U13"/>
    <mergeCell ref="V12:V13"/>
    <mergeCell ref="W12:W13"/>
    <mergeCell ref="AH12:AH13"/>
    <mergeCell ref="AI12:AI13"/>
    <mergeCell ref="Y12:Y13"/>
    <mergeCell ref="Z12:Z13"/>
    <mergeCell ref="AA12:AA13"/>
    <mergeCell ref="AB12:AB13"/>
    <mergeCell ref="AC12:AC13"/>
    <mergeCell ref="AD12:AD13"/>
    <mergeCell ref="A11:F11"/>
    <mergeCell ref="G11:O11"/>
    <mergeCell ref="P11:AE11"/>
    <mergeCell ref="AF11:AI11"/>
    <mergeCell ref="M6:M10"/>
    <mergeCell ref="N6:O10"/>
    <mergeCell ref="P6:R10"/>
    <mergeCell ref="S6:V10"/>
    <mergeCell ref="W6:Z10"/>
    <mergeCell ref="L6:L10"/>
    <mergeCell ref="A12:A13"/>
    <mergeCell ref="B12:B13"/>
    <mergeCell ref="C12:C13"/>
    <mergeCell ref="D12:D13"/>
    <mergeCell ref="E12:E13"/>
    <mergeCell ref="F12:F13"/>
    <mergeCell ref="G12:G13"/>
    <mergeCell ref="S12:S13"/>
    <mergeCell ref="T12:T13"/>
    <mergeCell ref="N12:N13"/>
    <mergeCell ref="O12:O13"/>
    <mergeCell ref="P12:P13"/>
    <mergeCell ref="Q12:Q13"/>
    <mergeCell ref="H12:H13"/>
    <mergeCell ref="R12:R13"/>
    <mergeCell ref="I12:I13"/>
    <mergeCell ref="J12:J13"/>
    <mergeCell ref="K12:K13"/>
    <mergeCell ref="L12:L13"/>
    <mergeCell ref="M12:M13"/>
    <mergeCell ref="A1:C3"/>
    <mergeCell ref="D1:AI3"/>
    <mergeCell ref="A4:A5"/>
    <mergeCell ref="G4:G5"/>
    <mergeCell ref="A6:B10"/>
    <mergeCell ref="C6:D10"/>
    <mergeCell ref="E6:F10"/>
    <mergeCell ref="G6:G10"/>
    <mergeCell ref="I6:J10"/>
    <mergeCell ref="K6:K10"/>
    <mergeCell ref="AA6:AD10"/>
    <mergeCell ref="AE6:AF10"/>
    <mergeCell ref="AG6:AG10"/>
    <mergeCell ref="AH6:AH10"/>
  </mergeCells>
  <conditionalFormatting sqref="J4">
    <cfRule type="cellIs" dxfId="18" priority="16" operator="lessThanOrEqual">
      <formula>$C$4</formula>
    </cfRule>
  </conditionalFormatting>
  <conditionalFormatting sqref="K6 R14:R21">
    <cfRule type="cellIs" dxfId="17" priority="17" operator="greaterThanOrEqual">
      <formula>$C$5</formula>
    </cfRule>
    <cfRule type="cellIs" dxfId="16" priority="18" operator="lessThanOrEqual">
      <formula>$C$4</formula>
    </cfRule>
    <cfRule type="cellIs" dxfId="15" priority="19" operator="between">
      <formula>$C$5</formula>
      <formula>$C$4</formula>
    </cfRule>
  </conditionalFormatting>
  <conditionalFormatting sqref="P6">
    <cfRule type="cellIs" dxfId="14" priority="13" operator="greaterThanOrEqual">
      <formula>$J$5</formula>
    </cfRule>
    <cfRule type="cellIs" dxfId="13" priority="14" operator="lessThanOrEqual">
      <formula>$J$4</formula>
    </cfRule>
    <cfRule type="cellIs" dxfId="12" priority="15" operator="between">
      <formula>$J$5</formula>
      <formula>$J$4</formula>
    </cfRule>
  </conditionalFormatting>
  <conditionalFormatting sqref="T31:T34 X31:X34 P31:P36 AB31:AB36 L32:O32 Q32:S32 U32:W32 Y32:AA32 AC32:AE32 K40">
    <cfRule type="cellIs" dxfId="11" priority="20" operator="greaterThanOrEqual">
      <formula>$D$9</formula>
    </cfRule>
    <cfRule type="cellIs" dxfId="10" priority="21" operator="lessThanOrEqual">
      <formula>$C$6</formula>
    </cfRule>
    <cfRule type="cellIs" dxfId="9" priority="22" operator="between">
      <formula>$C$6</formula>
      <formula>$D$9</formula>
    </cfRule>
  </conditionalFormatting>
  <conditionalFormatting sqref="W6">
    <cfRule type="cellIs" dxfId="8" priority="7" operator="greaterThanOrEqual">
      <formula>$J$5</formula>
    </cfRule>
    <cfRule type="cellIs" dxfId="7" priority="8" operator="lessThanOrEqual">
      <formula>$J$4</formula>
    </cfRule>
    <cfRule type="cellIs" dxfId="6" priority="9" operator="between">
      <formula>$J$5</formula>
      <formula>$J$4</formula>
    </cfRule>
  </conditionalFormatting>
  <conditionalFormatting sqref="AE6">
    <cfRule type="cellIs" dxfId="5" priority="4" operator="greaterThanOrEqual">
      <formula>$J$5</formula>
    </cfRule>
    <cfRule type="cellIs" dxfId="4" priority="5" operator="lessThanOrEqual">
      <formula>$J$4</formula>
    </cfRule>
    <cfRule type="cellIs" dxfId="3" priority="6" operator="between">
      <formula>$J$5</formula>
      <formula>$J$4</formula>
    </cfRule>
  </conditionalFormatting>
  <conditionalFormatting sqref="AH6">
    <cfRule type="cellIs" dxfId="2" priority="1" operator="greaterThanOrEqual">
      <formula>$J$5</formula>
    </cfRule>
    <cfRule type="cellIs" dxfId="1" priority="2" operator="lessThanOrEqual">
      <formula>$J$4</formula>
    </cfRule>
    <cfRule type="cellIs" dxfId="0" priority="3" operator="between">
      <formula>$J$5</formula>
      <formula>$J$4</formula>
    </cfRule>
  </conditionalFormatting>
  <dataValidations count="5">
    <dataValidation type="decimal" allowBlank="1" showInputMessage="1" showErrorMessage="1" prompt="valor porcentual de la activida - Indique el peso porcentual de la actividad dentro del proyecto" sqref="Q14 Q20 Q16 Q18" xr:uid="{3B8B5ED9-8025-4F76-8799-A17734ABD876}">
      <formula1>0</formula1>
      <formula2>1</formula2>
    </dataValidation>
    <dataValidation type="decimal" allowBlank="1" showInputMessage="1" showErrorMessage="1" prompt="campo calculado  - indica el % de avance  que aporta la activadad a todo el proyecto" sqref="Q21 Q17 Q15 Q19" xr:uid="{262DF8B3-B77E-4B14-BCC8-0855A759C7CB}">
      <formula1>0</formula1>
      <formula2>1</formula2>
    </dataValidation>
    <dataValidation type="decimal" allowBlank="1" showInputMessage="1" showErrorMessage="1" prompt="% de avance en la actividad - indique el % programado de avance durante esta semana_x000a_" sqref="S14:AE21" xr:uid="{45D94B7C-80F1-4224-B220-F5DC7D14C3A9}">
      <formula1>0</formula1>
      <formula2>1</formula2>
    </dataValidation>
    <dataValidation allowBlank="1" showErrorMessage="1" sqref="R14:R21" xr:uid="{05390F29-7F08-4563-96ED-AC268129708F}"/>
    <dataValidation type="list" allowBlank="1" showInputMessage="1" showErrorMessage="1" sqref="D16:D21" xr:uid="{BF334B02-7764-465D-83F8-A93FE9D5864A}">
      <formula1>$D$44:$D$50</formula1>
    </dataValidation>
  </dataValidations>
  <pageMargins left="0.7" right="0.7" top="0.75" bottom="0.75" header="0.3" footer="0.3"/>
  <pageSetup scale="13" orientation="portrait" r:id="rId1"/>
  <headerFooter>
    <oddFooter>&amp;C_x000D_&amp;1#&amp;"Calibri"&amp;10&amp;K008000 DOCUMENTO PÚBLICO</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8994B-3092-4F2C-A0C5-52B639F94795}">
  <dimension ref="A1:AK28"/>
  <sheetViews>
    <sheetView zoomScale="88" zoomScaleNormal="88" workbookViewId="0">
      <selection activeCell="H23" sqref="H23"/>
    </sheetView>
  </sheetViews>
  <sheetFormatPr baseColWidth="10" defaultColWidth="11.453125" defaultRowHeight="14.5" x14ac:dyDescent="0.35"/>
  <cols>
    <col min="32" max="32" width="10.90625" style="144"/>
    <col min="33" max="33" width="17.6328125" style="144" bestFit="1" customWidth="1"/>
    <col min="34" max="34" width="25.08984375" style="144" bestFit="1" customWidth="1"/>
    <col min="35" max="35" width="25.6328125" style="144" bestFit="1" customWidth="1"/>
    <col min="36" max="37" width="26.453125" style="144" bestFit="1" customWidth="1"/>
  </cols>
  <sheetData>
    <row r="1" spans="1:37" ht="14.4" customHeight="1" x14ac:dyDescent="0.35">
      <c r="A1" s="398" t="s">
        <v>4</v>
      </c>
      <c r="B1" s="399"/>
      <c r="C1" s="399"/>
      <c r="D1" s="399"/>
      <c r="E1" s="399"/>
      <c r="F1" s="399"/>
      <c r="G1" s="399"/>
      <c r="H1" s="399"/>
      <c r="I1" s="399"/>
      <c r="J1" s="399"/>
      <c r="K1" s="399"/>
      <c r="L1" s="399"/>
      <c r="M1" s="399"/>
      <c r="N1" s="399"/>
      <c r="O1" s="399"/>
      <c r="P1" s="399"/>
      <c r="Q1" s="399"/>
      <c r="R1" s="399"/>
      <c r="S1" s="399"/>
      <c r="T1" s="399"/>
      <c r="U1" s="399"/>
      <c r="V1" s="399"/>
      <c r="W1" s="399"/>
      <c r="X1" s="399"/>
      <c r="Y1" s="399"/>
      <c r="Z1" s="399"/>
      <c r="AA1" s="399"/>
      <c r="AB1" s="399"/>
      <c r="AC1" s="399"/>
      <c r="AD1" s="399"/>
      <c r="AE1" s="400"/>
      <c r="AF1" s="148" t="s">
        <v>5</v>
      </c>
      <c r="AG1" s="148" t="s">
        <v>6</v>
      </c>
      <c r="AH1" s="148" t="s">
        <v>7</v>
      </c>
      <c r="AI1" s="148" t="s">
        <v>8</v>
      </c>
      <c r="AJ1" s="148" t="s">
        <v>9</v>
      </c>
      <c r="AK1" s="148" t="s">
        <v>10</v>
      </c>
    </row>
    <row r="2" spans="1:37" ht="14.4" customHeight="1" x14ac:dyDescent="0.35">
      <c r="A2" s="398"/>
      <c r="B2" s="399"/>
      <c r="C2" s="399"/>
      <c r="D2" s="399"/>
      <c r="E2" s="399"/>
      <c r="F2" s="399"/>
      <c r="G2" s="399"/>
      <c r="H2" s="399"/>
      <c r="I2" s="399"/>
      <c r="J2" s="399"/>
      <c r="K2" s="399"/>
      <c r="L2" s="399"/>
      <c r="M2" s="399"/>
      <c r="N2" s="399"/>
      <c r="O2" s="399"/>
      <c r="P2" s="399"/>
      <c r="Q2" s="399"/>
      <c r="R2" s="399"/>
      <c r="S2" s="399"/>
      <c r="T2" s="399"/>
      <c r="U2" s="399"/>
      <c r="V2" s="399"/>
      <c r="W2" s="399"/>
      <c r="X2" s="399"/>
      <c r="Y2" s="399"/>
      <c r="Z2" s="399"/>
      <c r="AA2" s="399"/>
      <c r="AB2" s="399"/>
      <c r="AC2" s="399"/>
      <c r="AD2" s="399"/>
      <c r="AE2" s="400"/>
      <c r="AF2" s="144" t="s">
        <v>11</v>
      </c>
      <c r="AG2" s="149" t="e">
        <f>AVERAGE(AG3:AG14)</f>
        <v>#REF!</v>
      </c>
      <c r="AH2" s="149" t="e">
        <f>AVERAGE(AH3:AH14)</f>
        <v>#REF!</v>
      </c>
      <c r="AI2" s="149" t="e">
        <f t="shared" ref="AI2:AJ2" si="0">AVERAGE(AI3:AI14)</f>
        <v>#REF!</v>
      </c>
      <c r="AJ2" s="149" t="e">
        <f t="shared" si="0"/>
        <v>#REF!</v>
      </c>
      <c r="AK2" s="149" t="e">
        <f>AVERAGE(AK3:AK14)</f>
        <v>#REF!</v>
      </c>
    </row>
    <row r="3" spans="1:37" x14ac:dyDescent="0.35">
      <c r="A3" s="401" t="s">
        <v>12</v>
      </c>
      <c r="B3" s="402"/>
      <c r="C3" s="402"/>
      <c r="D3" s="402"/>
      <c r="E3" s="402"/>
      <c r="F3" s="403"/>
      <c r="G3" s="401" t="s">
        <v>7</v>
      </c>
      <c r="H3" s="402"/>
      <c r="I3" s="402"/>
      <c r="J3" s="402"/>
      <c r="K3" s="402"/>
      <c r="L3" s="403"/>
      <c r="M3" s="401" t="s">
        <v>13</v>
      </c>
      <c r="N3" s="402"/>
      <c r="O3" s="402"/>
      <c r="P3" s="402"/>
      <c r="Q3" s="402"/>
      <c r="R3" s="403"/>
      <c r="S3" s="401" t="s">
        <v>14</v>
      </c>
      <c r="T3" s="402"/>
      <c r="U3" s="402"/>
      <c r="V3" s="402"/>
      <c r="W3" s="402"/>
      <c r="X3" s="403"/>
      <c r="Y3" s="405" t="s">
        <v>15</v>
      </c>
      <c r="Z3" s="406"/>
      <c r="AA3" s="406"/>
      <c r="AB3" s="406"/>
      <c r="AC3" s="406"/>
      <c r="AD3" s="406"/>
      <c r="AE3" s="406"/>
      <c r="AF3" s="144" t="s">
        <v>16</v>
      </c>
      <c r="AG3" s="149">
        <f>'02. SECTORIAL'!I6</f>
        <v>1.0526315789473684</v>
      </c>
      <c r="AH3" s="149">
        <f>'02. SECTORIAL'!O6</f>
        <v>1.0526315789473684</v>
      </c>
      <c r="AI3" s="149">
        <f>'02. SECTORIAL'!V6</f>
        <v>1.0526315789473684</v>
      </c>
      <c r="AJ3" s="149">
        <f>'02. SECTORIAL'!AD6</f>
        <v>1.0526315789473684</v>
      </c>
      <c r="AK3" s="149">
        <f>'02. SECTORIAL'!AG6</f>
        <v>1.0526315789473684</v>
      </c>
    </row>
    <row r="4" spans="1:37" x14ac:dyDescent="0.35">
      <c r="A4" s="404"/>
      <c r="B4" s="404"/>
      <c r="C4" s="404"/>
      <c r="D4" s="404"/>
      <c r="E4" s="404"/>
      <c r="F4" s="404"/>
      <c r="G4" s="404"/>
      <c r="H4" s="404"/>
      <c r="I4" s="404"/>
      <c r="J4" s="404"/>
      <c r="K4" s="404"/>
      <c r="L4" s="404"/>
      <c r="M4" s="404"/>
      <c r="N4" s="404"/>
      <c r="O4" s="404"/>
      <c r="P4" s="404"/>
      <c r="Q4" s="404"/>
      <c r="R4" s="404"/>
      <c r="S4" s="404"/>
      <c r="T4" s="404"/>
      <c r="U4" s="404"/>
      <c r="V4" s="404"/>
      <c r="W4" s="404"/>
      <c r="X4" s="404"/>
      <c r="Y4" s="407"/>
      <c r="Z4" s="408"/>
      <c r="AA4" s="408"/>
      <c r="AB4" s="408"/>
      <c r="AC4" s="408"/>
      <c r="AD4" s="408"/>
      <c r="AE4" s="408"/>
      <c r="AF4" s="144" t="s">
        <v>17</v>
      </c>
      <c r="AG4" s="149" t="e">
        <f>'03. INSTITUCIONAL'!K6</f>
        <v>#REF!</v>
      </c>
      <c r="AH4" s="149" t="e">
        <f>'03. INSTITUCIONAL'!Q6</f>
        <v>#REF!</v>
      </c>
      <c r="AI4" s="149" t="e">
        <f>'03. INSTITUCIONAL'!X6</f>
        <v>#REF!</v>
      </c>
      <c r="AJ4" s="149" t="e">
        <f>'03. INSTITUCIONAL'!AF6</f>
        <v>#REF!</v>
      </c>
      <c r="AK4" s="149" t="e">
        <f>'03. INSTITUCIONAL'!AI6</f>
        <v>#REF!</v>
      </c>
    </row>
    <row r="5" spans="1:37" x14ac:dyDescent="0.35">
      <c r="A5" s="404"/>
      <c r="B5" s="404"/>
      <c r="C5" s="404"/>
      <c r="D5" s="404"/>
      <c r="E5" s="404"/>
      <c r="F5" s="404"/>
      <c r="G5" s="404"/>
      <c r="H5" s="404"/>
      <c r="I5" s="404"/>
      <c r="J5" s="404"/>
      <c r="K5" s="404"/>
      <c r="L5" s="404"/>
      <c r="M5" s="404"/>
      <c r="N5" s="404"/>
      <c r="O5" s="404"/>
      <c r="P5" s="404"/>
      <c r="Q5" s="404"/>
      <c r="R5" s="404"/>
      <c r="S5" s="404"/>
      <c r="T5" s="404"/>
      <c r="U5" s="404"/>
      <c r="V5" s="404"/>
      <c r="W5" s="404"/>
      <c r="X5" s="404"/>
      <c r="Y5" s="407"/>
      <c r="Z5" s="408"/>
      <c r="AA5" s="408"/>
      <c r="AB5" s="408"/>
      <c r="AC5" s="408"/>
      <c r="AD5" s="408"/>
      <c r="AE5" s="408"/>
      <c r="AF5" s="144" t="s">
        <v>18</v>
      </c>
      <c r="AG5" s="149">
        <f>'04. PINAR'!J6</f>
        <v>1.7543859649122806E-2</v>
      </c>
      <c r="AH5" s="149" t="e">
        <f>'04. PINAR'!P6</f>
        <v>#DIV/0!</v>
      </c>
      <c r="AI5" s="149" t="e">
        <f>'04. PINAR'!W6</f>
        <v>#DIV/0!</v>
      </c>
      <c r="AJ5" s="149" t="e">
        <f>'04. PINAR'!AE6</f>
        <v>#DIV/0!</v>
      </c>
      <c r="AK5" s="149" t="e">
        <f>'04. PINAR'!AH6</f>
        <v>#DIV/0!</v>
      </c>
    </row>
    <row r="6" spans="1:37" x14ac:dyDescent="0.35">
      <c r="A6" s="404"/>
      <c r="B6" s="404"/>
      <c r="C6" s="404"/>
      <c r="D6" s="404"/>
      <c r="E6" s="404"/>
      <c r="F6" s="404"/>
      <c r="G6" s="404"/>
      <c r="H6" s="404"/>
      <c r="I6" s="404"/>
      <c r="J6" s="404"/>
      <c r="K6" s="404"/>
      <c r="L6" s="404"/>
      <c r="M6" s="404"/>
      <c r="N6" s="404"/>
      <c r="O6" s="404"/>
      <c r="P6" s="404"/>
      <c r="Q6" s="404"/>
      <c r="R6" s="404"/>
      <c r="S6" s="404"/>
      <c r="T6" s="404"/>
      <c r="U6" s="404"/>
      <c r="V6" s="404"/>
      <c r="W6" s="404"/>
      <c r="X6" s="404"/>
      <c r="Y6" s="407"/>
      <c r="Z6" s="408"/>
      <c r="AA6" s="408"/>
      <c r="AB6" s="408"/>
      <c r="AC6" s="408"/>
      <c r="AD6" s="408"/>
      <c r="AE6" s="408"/>
      <c r="AF6" s="144" t="s">
        <v>19</v>
      </c>
      <c r="AG6" s="150">
        <f>'06. PETH'!J6</f>
        <v>1</v>
      </c>
      <c r="AI6" s="149">
        <f>'06. PETH'!P6</f>
        <v>1.0526315789473684</v>
      </c>
      <c r="AK6" s="149">
        <f>'06. PETH'!V6</f>
        <v>1.0526315789473684</v>
      </c>
    </row>
    <row r="7" spans="1:37" x14ac:dyDescent="0.35">
      <c r="A7" s="404"/>
      <c r="B7" s="404"/>
      <c r="C7" s="404"/>
      <c r="D7" s="404"/>
      <c r="E7" s="404"/>
      <c r="F7" s="404"/>
      <c r="G7" s="404"/>
      <c r="H7" s="404"/>
      <c r="I7" s="404"/>
      <c r="J7" s="404"/>
      <c r="K7" s="404"/>
      <c r="L7" s="404"/>
      <c r="M7" s="404"/>
      <c r="N7" s="404"/>
      <c r="O7" s="404"/>
      <c r="P7" s="404"/>
      <c r="Q7" s="404"/>
      <c r="R7" s="404"/>
      <c r="S7" s="404"/>
      <c r="T7" s="404"/>
      <c r="U7" s="404"/>
      <c r="V7" s="404"/>
      <c r="W7" s="404"/>
      <c r="X7" s="404"/>
      <c r="Y7" s="407"/>
      <c r="Z7" s="408"/>
      <c r="AA7" s="408"/>
      <c r="AB7" s="408"/>
      <c r="AC7" s="408"/>
      <c r="AD7" s="408"/>
      <c r="AE7" s="408"/>
      <c r="AF7" s="144" t="s">
        <v>20</v>
      </c>
      <c r="AG7" s="149">
        <f>'05. PAA'!H6</f>
        <v>0.83174603174603179</v>
      </c>
      <c r="AH7" s="149">
        <f>'05. PAA'!N6</f>
        <v>0.49197860962566847</v>
      </c>
      <c r="AI7" s="149">
        <f>'05. PAA'!R6</f>
        <v>0.95336787564766834</v>
      </c>
      <c r="AJ7" s="149" t="e">
        <f>'05. PAA'!#REF!</f>
        <v>#REF!</v>
      </c>
      <c r="AK7" s="149" t="e">
        <f>'05. PAA'!#REF!</f>
        <v>#REF!</v>
      </c>
    </row>
    <row r="8" spans="1:37" x14ac:dyDescent="0.35">
      <c r="A8" s="404"/>
      <c r="B8" s="404"/>
      <c r="C8" s="404"/>
      <c r="D8" s="404"/>
      <c r="E8" s="404"/>
      <c r="F8" s="404"/>
      <c r="G8" s="404"/>
      <c r="H8" s="404"/>
      <c r="I8" s="404"/>
      <c r="J8" s="404"/>
      <c r="K8" s="404"/>
      <c r="L8" s="404"/>
      <c r="M8" s="404"/>
      <c r="N8" s="404"/>
      <c r="O8" s="404"/>
      <c r="P8" s="404"/>
      <c r="Q8" s="404"/>
      <c r="R8" s="404"/>
      <c r="S8" s="404"/>
      <c r="T8" s="404"/>
      <c r="U8" s="404"/>
      <c r="V8" s="404"/>
      <c r="W8" s="404"/>
      <c r="X8" s="404"/>
      <c r="Y8" s="407"/>
      <c r="Z8" s="408"/>
      <c r="AA8" s="408"/>
      <c r="AB8" s="408"/>
      <c r="AC8" s="408"/>
      <c r="AD8" s="408"/>
      <c r="AE8" s="408"/>
      <c r="AF8" s="144" t="s">
        <v>21</v>
      </c>
      <c r="AG8" s="150" t="e">
        <f>'07. PIC'!J6</f>
        <v>#REF!</v>
      </c>
      <c r="AI8" s="149" t="e">
        <f>'07. PIC'!P6</f>
        <v>#REF!</v>
      </c>
      <c r="AK8" s="149" t="e">
        <f>'07. PIC'!U6</f>
        <v>#REF!</v>
      </c>
    </row>
    <row r="9" spans="1:37" x14ac:dyDescent="0.35">
      <c r="A9" s="404"/>
      <c r="B9" s="404"/>
      <c r="C9" s="404"/>
      <c r="D9" s="404"/>
      <c r="E9" s="404"/>
      <c r="F9" s="404"/>
      <c r="G9" s="404"/>
      <c r="H9" s="404"/>
      <c r="I9" s="404"/>
      <c r="J9" s="404"/>
      <c r="K9" s="404"/>
      <c r="L9" s="404"/>
      <c r="M9" s="404"/>
      <c r="N9" s="404"/>
      <c r="O9" s="404"/>
      <c r="P9" s="404"/>
      <c r="Q9" s="404"/>
      <c r="R9" s="404"/>
      <c r="S9" s="404"/>
      <c r="T9" s="404"/>
      <c r="U9" s="404"/>
      <c r="V9" s="404"/>
      <c r="W9" s="404"/>
      <c r="X9" s="404"/>
      <c r="Y9" s="407"/>
      <c r="Z9" s="408"/>
      <c r="AA9" s="408"/>
      <c r="AB9" s="408"/>
      <c r="AC9" s="408"/>
      <c r="AD9" s="408"/>
      <c r="AE9" s="408"/>
      <c r="AF9" s="144" t="s">
        <v>22</v>
      </c>
      <c r="AG9" s="150" t="e">
        <f>'08. PII'!J6</f>
        <v>#VALUE!</v>
      </c>
      <c r="AI9" s="149" t="e">
        <f>'08. PII'!Q6</f>
        <v>#REF!</v>
      </c>
      <c r="AK9" s="149" t="e">
        <f>'08. PII'!X6</f>
        <v>#REF!</v>
      </c>
    </row>
    <row r="10" spans="1:37" x14ac:dyDescent="0.35">
      <c r="A10" s="404"/>
      <c r="B10" s="404"/>
      <c r="C10" s="404"/>
      <c r="D10" s="404"/>
      <c r="E10" s="404"/>
      <c r="F10" s="404"/>
      <c r="G10" s="404"/>
      <c r="H10" s="404"/>
      <c r="I10" s="404"/>
      <c r="J10" s="404"/>
      <c r="K10" s="404"/>
      <c r="L10" s="404"/>
      <c r="M10" s="404"/>
      <c r="N10" s="404"/>
      <c r="O10" s="404"/>
      <c r="P10" s="404"/>
      <c r="Q10" s="404"/>
      <c r="R10" s="404"/>
      <c r="S10" s="404"/>
      <c r="T10" s="404"/>
      <c r="U10" s="404"/>
      <c r="V10" s="404"/>
      <c r="W10" s="404"/>
      <c r="X10" s="404"/>
      <c r="Y10" s="407"/>
      <c r="Z10" s="408"/>
      <c r="AA10" s="408"/>
      <c r="AB10" s="408"/>
      <c r="AC10" s="408"/>
      <c r="AD10" s="408"/>
      <c r="AE10" s="408"/>
      <c r="AF10" s="144" t="s">
        <v>23</v>
      </c>
      <c r="AG10" s="150" t="e">
        <f>'09. PSST'!J6</f>
        <v>#REF!</v>
      </c>
      <c r="AH10" s="149" t="e">
        <f>'09. PSST'!R6</f>
        <v>#REF!</v>
      </c>
      <c r="AI10" s="149" t="e">
        <f>'09. PSST'!Y6</f>
        <v>#REF!</v>
      </c>
      <c r="AJ10" s="149" t="e">
        <f>'09. PSST'!AG6</f>
        <v>#REF!</v>
      </c>
      <c r="AK10" s="149" t="e">
        <f>'09. PSST'!AJ6</f>
        <v>#REF!</v>
      </c>
    </row>
    <row r="11" spans="1:37" x14ac:dyDescent="0.35">
      <c r="A11" s="404"/>
      <c r="B11" s="404"/>
      <c r="C11" s="404"/>
      <c r="D11" s="404"/>
      <c r="E11" s="404"/>
      <c r="F11" s="404"/>
      <c r="G11" s="404"/>
      <c r="H11" s="404"/>
      <c r="I11" s="404"/>
      <c r="J11" s="404"/>
      <c r="K11" s="404"/>
      <c r="L11" s="404"/>
      <c r="M11" s="404"/>
      <c r="N11" s="404"/>
      <c r="O11" s="404"/>
      <c r="P11" s="404"/>
      <c r="Q11" s="404"/>
      <c r="R11" s="404"/>
      <c r="S11" s="404"/>
      <c r="T11" s="404"/>
      <c r="U11" s="404"/>
      <c r="V11" s="404"/>
      <c r="W11" s="404"/>
      <c r="X11" s="404"/>
      <c r="Y11" s="407"/>
      <c r="Z11" s="408"/>
      <c r="AA11" s="408"/>
      <c r="AB11" s="408"/>
      <c r="AC11" s="408"/>
      <c r="AD11" s="408"/>
      <c r="AE11" s="408"/>
      <c r="AF11" s="144" t="s">
        <v>24</v>
      </c>
      <c r="AG11" s="150" t="e">
        <f>'10 PTEP'!AN118</f>
        <v>#REF!</v>
      </c>
      <c r="AI11" s="150" t="e">
        <f>'10 PTEP'!AI118</f>
        <v>#REF!</v>
      </c>
      <c r="AJ11" s="150" t="e">
        <f>'10 PTEP'!AK118</f>
        <v>#REF!</v>
      </c>
      <c r="AK11" s="150" t="e">
        <f>'10 PTEP'!AM118</f>
        <v>#REF!</v>
      </c>
    </row>
    <row r="12" spans="1:37" x14ac:dyDescent="0.35">
      <c r="A12" s="404"/>
      <c r="B12" s="404"/>
      <c r="C12" s="404"/>
      <c r="D12" s="404"/>
      <c r="E12" s="404"/>
      <c r="F12" s="404"/>
      <c r="G12" s="404"/>
      <c r="H12" s="404"/>
      <c r="I12" s="404"/>
      <c r="J12" s="404"/>
      <c r="K12" s="404"/>
      <c r="L12" s="404"/>
      <c r="M12" s="404"/>
      <c r="N12" s="404"/>
      <c r="O12" s="404"/>
      <c r="P12" s="404"/>
      <c r="Q12" s="404"/>
      <c r="R12" s="404"/>
      <c r="S12" s="404"/>
      <c r="T12" s="404"/>
      <c r="U12" s="404"/>
      <c r="V12" s="404"/>
      <c r="W12" s="404"/>
      <c r="X12" s="404"/>
      <c r="Y12" s="407"/>
      <c r="Z12" s="408"/>
      <c r="AA12" s="408"/>
      <c r="AB12" s="408"/>
      <c r="AC12" s="408"/>
      <c r="AD12" s="408"/>
      <c r="AE12" s="408"/>
      <c r="AF12" s="144" t="s">
        <v>25</v>
      </c>
      <c r="AG12" s="150" t="e">
        <f>#REF!</f>
        <v>#REF!</v>
      </c>
      <c r="AH12" s="149" t="e">
        <f>#REF!</f>
        <v>#REF!</v>
      </c>
      <c r="AI12" s="149" t="e">
        <f>#REF!</f>
        <v>#REF!</v>
      </c>
      <c r="AJ12" s="149" t="e">
        <f>#REF!</f>
        <v>#REF!</v>
      </c>
      <c r="AK12" s="149" t="e">
        <f>#REF!</f>
        <v>#REF!</v>
      </c>
    </row>
    <row r="13" spans="1:37" x14ac:dyDescent="0.35">
      <c r="A13" s="404"/>
      <c r="B13" s="404"/>
      <c r="C13" s="404"/>
      <c r="D13" s="404"/>
      <c r="E13" s="404"/>
      <c r="F13" s="404"/>
      <c r="G13" s="404"/>
      <c r="H13" s="404"/>
      <c r="I13" s="404"/>
      <c r="J13" s="404"/>
      <c r="K13" s="404"/>
      <c r="L13" s="404"/>
      <c r="M13" s="404"/>
      <c r="N13" s="404"/>
      <c r="O13" s="404"/>
      <c r="P13" s="404"/>
      <c r="Q13" s="404"/>
      <c r="R13" s="404"/>
      <c r="S13" s="404"/>
      <c r="T13" s="404"/>
      <c r="U13" s="404"/>
      <c r="V13" s="404"/>
      <c r="W13" s="404"/>
      <c r="X13" s="404"/>
      <c r="Y13" s="407"/>
      <c r="Z13" s="408"/>
      <c r="AA13" s="408"/>
      <c r="AB13" s="408"/>
      <c r="AC13" s="408"/>
      <c r="AD13" s="408"/>
      <c r="AE13" s="408"/>
      <c r="AF13" s="144" t="s">
        <v>26</v>
      </c>
      <c r="AG13" s="150">
        <f>'12. PTRSPI'!J6</f>
        <v>1</v>
      </c>
      <c r="AK13" s="149">
        <f>'12. PTRSPI'!P6</f>
        <v>1.0526315789473684</v>
      </c>
    </row>
    <row r="14" spans="1:37" x14ac:dyDescent="0.35">
      <c r="A14" s="404"/>
      <c r="B14" s="404"/>
      <c r="C14" s="404"/>
      <c r="D14" s="404"/>
      <c r="E14" s="404"/>
      <c r="F14" s="404"/>
      <c r="G14" s="404"/>
      <c r="H14" s="404"/>
      <c r="I14" s="404"/>
      <c r="J14" s="404"/>
      <c r="K14" s="404"/>
      <c r="L14" s="404"/>
      <c r="M14" s="404"/>
      <c r="N14" s="404"/>
      <c r="O14" s="404"/>
      <c r="P14" s="404"/>
      <c r="Q14" s="404"/>
      <c r="R14" s="404"/>
      <c r="S14" s="404"/>
      <c r="T14" s="404"/>
      <c r="U14" s="404"/>
      <c r="V14" s="404"/>
      <c r="W14" s="404"/>
      <c r="X14" s="404"/>
      <c r="Y14" s="407"/>
      <c r="Z14" s="408"/>
      <c r="AA14" s="408"/>
      <c r="AB14" s="408"/>
      <c r="AC14" s="408"/>
      <c r="AD14" s="408"/>
      <c r="AE14" s="408"/>
      <c r="AF14" s="144" t="s">
        <v>27</v>
      </c>
      <c r="AG14" s="150" t="e">
        <f>'13.PSPI'!K6</f>
        <v>#REF!</v>
      </c>
      <c r="AH14" s="149" t="e">
        <f>'13.PSPI'!P6</f>
        <v>#REF!</v>
      </c>
      <c r="AI14" s="149" t="e">
        <f>'13.PSPI'!W6</f>
        <v>#REF!</v>
      </c>
      <c r="AJ14" s="149" t="e">
        <f>'13.PSPI'!AE6</f>
        <v>#REF!</v>
      </c>
      <c r="AK14" s="149" t="e">
        <f>'13.PSPI'!AH6</f>
        <v>#REF!</v>
      </c>
    </row>
    <row r="15" spans="1:37" x14ac:dyDescent="0.35">
      <c r="A15" s="404"/>
      <c r="B15" s="404"/>
      <c r="C15" s="404"/>
      <c r="D15" s="404"/>
      <c r="E15" s="404"/>
      <c r="F15" s="404"/>
      <c r="G15" s="404"/>
      <c r="H15" s="404"/>
      <c r="I15" s="404"/>
      <c r="J15" s="404"/>
      <c r="K15" s="404"/>
      <c r="L15" s="404"/>
      <c r="M15" s="404"/>
      <c r="N15" s="404"/>
      <c r="O15" s="404"/>
      <c r="P15" s="404"/>
      <c r="Q15" s="404"/>
      <c r="R15" s="404"/>
      <c r="S15" s="404"/>
      <c r="T15" s="404"/>
      <c r="U15" s="404"/>
      <c r="V15" s="404"/>
      <c r="W15" s="404"/>
      <c r="X15" s="404"/>
      <c r="Y15" s="407"/>
      <c r="Z15" s="408"/>
      <c r="AA15" s="408"/>
      <c r="AB15" s="408"/>
      <c r="AC15" s="408"/>
      <c r="AD15" s="408"/>
      <c r="AE15" s="408"/>
    </row>
    <row r="16" spans="1:37" x14ac:dyDescent="0.35">
      <c r="A16" s="404"/>
      <c r="B16" s="404"/>
      <c r="C16" s="404"/>
      <c r="D16" s="404"/>
      <c r="E16" s="404"/>
      <c r="F16" s="404"/>
      <c r="G16" s="404"/>
      <c r="H16" s="404"/>
      <c r="I16" s="404"/>
      <c r="J16" s="404"/>
      <c r="K16" s="404"/>
      <c r="L16" s="404"/>
      <c r="M16" s="404"/>
      <c r="N16" s="404"/>
      <c r="O16" s="404"/>
      <c r="P16" s="404"/>
      <c r="Q16" s="404"/>
      <c r="R16" s="404"/>
      <c r="S16" s="404"/>
      <c r="T16" s="404"/>
      <c r="U16" s="404"/>
      <c r="V16" s="404"/>
      <c r="W16" s="404"/>
      <c r="X16" s="404"/>
      <c r="Y16" s="407"/>
      <c r="Z16" s="408"/>
      <c r="AA16" s="408"/>
      <c r="AB16" s="408"/>
      <c r="AC16" s="408"/>
      <c r="AD16" s="408"/>
      <c r="AE16" s="408"/>
    </row>
    <row r="17" spans="1:31" x14ac:dyDescent="0.35">
      <c r="A17" s="404"/>
      <c r="B17" s="404"/>
      <c r="C17" s="404"/>
      <c r="D17" s="404"/>
      <c r="E17" s="404"/>
      <c r="F17" s="404"/>
      <c r="G17" s="404"/>
      <c r="H17" s="404"/>
      <c r="I17" s="404"/>
      <c r="J17" s="404"/>
      <c r="K17" s="404"/>
      <c r="L17" s="404"/>
      <c r="M17" s="404"/>
      <c r="N17" s="404"/>
      <c r="O17" s="404"/>
      <c r="P17" s="404"/>
      <c r="Q17" s="404"/>
      <c r="R17" s="404"/>
      <c r="S17" s="404"/>
      <c r="T17" s="404"/>
      <c r="U17" s="404"/>
      <c r="V17" s="404"/>
      <c r="W17" s="404"/>
      <c r="X17" s="404"/>
      <c r="Y17" s="407"/>
      <c r="Z17" s="408"/>
      <c r="AA17" s="408"/>
      <c r="AB17" s="408"/>
      <c r="AC17" s="408"/>
      <c r="AD17" s="408"/>
      <c r="AE17" s="408"/>
    </row>
    <row r="18" spans="1:31" x14ac:dyDescent="0.35">
      <c r="A18" s="404"/>
      <c r="B18" s="404"/>
      <c r="C18" s="404"/>
      <c r="D18" s="404"/>
      <c r="E18" s="404"/>
      <c r="F18" s="404"/>
      <c r="G18" s="404"/>
      <c r="H18" s="404"/>
      <c r="I18" s="404"/>
      <c r="J18" s="404"/>
      <c r="K18" s="404"/>
      <c r="L18" s="404"/>
      <c r="M18" s="404"/>
      <c r="N18" s="404"/>
      <c r="O18" s="404"/>
      <c r="P18" s="404"/>
      <c r="Q18" s="404"/>
      <c r="R18" s="404"/>
      <c r="S18" s="404"/>
      <c r="T18" s="404"/>
      <c r="U18" s="404"/>
      <c r="V18" s="404"/>
      <c r="W18" s="404"/>
      <c r="X18" s="404"/>
      <c r="Y18" s="407"/>
      <c r="Z18" s="408"/>
      <c r="AA18" s="408"/>
      <c r="AB18" s="408"/>
      <c r="AC18" s="408"/>
      <c r="AD18" s="408"/>
      <c r="AE18" s="408"/>
    </row>
    <row r="19" spans="1:31" x14ac:dyDescent="0.35">
      <c r="A19" s="404"/>
      <c r="B19" s="404"/>
      <c r="C19" s="404"/>
      <c r="D19" s="404"/>
      <c r="E19" s="404"/>
      <c r="F19" s="404"/>
      <c r="G19" s="404"/>
      <c r="H19" s="404"/>
      <c r="I19" s="404"/>
      <c r="J19" s="404"/>
      <c r="K19" s="404"/>
      <c r="L19" s="404"/>
      <c r="M19" s="404"/>
      <c r="N19" s="404"/>
      <c r="O19" s="404"/>
      <c r="P19" s="404"/>
      <c r="Q19" s="404"/>
      <c r="R19" s="404"/>
      <c r="S19" s="404"/>
      <c r="T19" s="404"/>
      <c r="U19" s="404"/>
      <c r="V19" s="404"/>
      <c r="W19" s="404"/>
      <c r="X19" s="404"/>
      <c r="Y19" s="407"/>
      <c r="Z19" s="408"/>
      <c r="AA19" s="408"/>
      <c r="AB19" s="408"/>
      <c r="AC19" s="408"/>
      <c r="AD19" s="408"/>
      <c r="AE19" s="408"/>
    </row>
    <row r="20" spans="1:31" x14ac:dyDescent="0.35">
      <c r="A20" s="404"/>
      <c r="B20" s="404"/>
      <c r="C20" s="404"/>
      <c r="D20" s="404"/>
      <c r="E20" s="404"/>
      <c r="F20" s="404"/>
      <c r="G20" s="404"/>
      <c r="H20" s="404"/>
      <c r="I20" s="404"/>
      <c r="J20" s="404"/>
      <c r="K20" s="404"/>
      <c r="L20" s="404"/>
      <c r="M20" s="404"/>
      <c r="N20" s="404"/>
      <c r="O20" s="404"/>
      <c r="P20" s="404"/>
      <c r="Q20" s="404"/>
      <c r="R20" s="404"/>
      <c r="S20" s="404"/>
      <c r="T20" s="404"/>
      <c r="U20" s="404"/>
      <c r="V20" s="404"/>
      <c r="W20" s="404"/>
      <c r="X20" s="404"/>
      <c r="Y20" s="407"/>
      <c r="Z20" s="408"/>
      <c r="AA20" s="408"/>
      <c r="AB20" s="408"/>
      <c r="AC20" s="408"/>
      <c r="AD20" s="408"/>
      <c r="AE20" s="408"/>
    </row>
    <row r="21" spans="1:31" x14ac:dyDescent="0.35">
      <c r="A21" s="404"/>
      <c r="B21" s="404"/>
      <c r="C21" s="404"/>
      <c r="D21" s="404"/>
      <c r="E21" s="404"/>
      <c r="F21" s="404"/>
      <c r="G21" s="404"/>
      <c r="H21" s="404"/>
      <c r="I21" s="404"/>
      <c r="J21" s="404"/>
      <c r="K21" s="404"/>
      <c r="L21" s="404"/>
      <c r="M21" s="404"/>
      <c r="N21" s="404"/>
      <c r="O21" s="404"/>
      <c r="P21" s="404"/>
      <c r="Q21" s="404"/>
      <c r="R21" s="404"/>
      <c r="S21" s="404"/>
      <c r="T21" s="404"/>
      <c r="U21" s="404"/>
      <c r="V21" s="404"/>
      <c r="W21" s="404"/>
      <c r="X21" s="404"/>
      <c r="Y21" s="407"/>
      <c r="Z21" s="408"/>
      <c r="AA21" s="408"/>
      <c r="AB21" s="408"/>
      <c r="AC21" s="408"/>
      <c r="AD21" s="408"/>
      <c r="AE21" s="408"/>
    </row>
    <row r="22" spans="1:31" x14ac:dyDescent="0.35">
      <c r="A22" s="404"/>
      <c r="B22" s="404"/>
      <c r="C22" s="404"/>
      <c r="D22" s="404"/>
      <c r="E22" s="404"/>
      <c r="F22" s="404"/>
      <c r="G22" s="404"/>
      <c r="H22" s="404"/>
      <c r="I22" s="404"/>
      <c r="J22" s="404"/>
      <c r="K22" s="404"/>
      <c r="L22" s="404"/>
      <c r="M22" s="404"/>
      <c r="N22" s="404"/>
      <c r="O22" s="404"/>
      <c r="P22" s="404"/>
      <c r="Q22" s="404"/>
      <c r="R22" s="404"/>
      <c r="S22" s="404"/>
      <c r="T22" s="404"/>
      <c r="U22" s="404"/>
      <c r="V22" s="404"/>
      <c r="W22" s="404"/>
      <c r="X22" s="404"/>
      <c r="Y22" s="407"/>
      <c r="Z22" s="408"/>
      <c r="AA22" s="408"/>
      <c r="AB22" s="408"/>
      <c r="AC22" s="408"/>
      <c r="AD22" s="408"/>
      <c r="AE22" s="408"/>
    </row>
    <row r="24" spans="1:31" x14ac:dyDescent="0.35">
      <c r="A24" s="145"/>
      <c r="B24" s="145"/>
      <c r="C24" s="145"/>
      <c r="D24" s="145"/>
      <c r="E24" s="145"/>
      <c r="F24" s="145"/>
    </row>
    <row r="25" spans="1:31" x14ac:dyDescent="0.35">
      <c r="A25" s="145"/>
      <c r="B25" s="145"/>
      <c r="C25" s="145"/>
      <c r="D25" s="145"/>
      <c r="E25" s="145"/>
      <c r="F25" s="145"/>
    </row>
    <row r="26" spans="1:31" x14ac:dyDescent="0.35">
      <c r="A26" s="145"/>
      <c r="B26" s="145"/>
      <c r="C26" s="145"/>
      <c r="D26" s="145"/>
      <c r="E26" s="145"/>
      <c r="F26" s="145"/>
    </row>
    <row r="27" spans="1:31" x14ac:dyDescent="0.35">
      <c r="A27" s="145"/>
      <c r="B27" s="145"/>
      <c r="C27" s="145"/>
      <c r="D27" s="145"/>
      <c r="E27" s="145"/>
      <c r="F27" s="145"/>
    </row>
    <row r="28" spans="1:31" x14ac:dyDescent="0.35">
      <c r="A28" s="145"/>
      <c r="B28" s="145"/>
      <c r="C28" s="145"/>
      <c r="D28" s="145"/>
      <c r="E28" s="145"/>
      <c r="F28" s="145"/>
    </row>
  </sheetData>
  <mergeCells count="11">
    <mergeCell ref="A1:AE2"/>
    <mergeCell ref="M3:R3"/>
    <mergeCell ref="M4:R22"/>
    <mergeCell ref="A3:F3"/>
    <mergeCell ref="G3:L3"/>
    <mergeCell ref="S3:X3"/>
    <mergeCell ref="A4:F22"/>
    <mergeCell ref="G4:L22"/>
    <mergeCell ref="S4:X22"/>
    <mergeCell ref="Y3:AE3"/>
    <mergeCell ref="Y4:AE2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12508-C430-442D-BB4C-F32A5A72E334}">
  <dimension ref="A1:XFD60"/>
  <sheetViews>
    <sheetView showGridLines="0" topLeftCell="A53" zoomScale="41" zoomScaleNormal="41" zoomScaleSheetLayoutView="40" workbookViewId="0">
      <selection activeCell="XFC1" sqref="XFC1:XFD1048576"/>
    </sheetView>
  </sheetViews>
  <sheetFormatPr baseColWidth="10" defaultColWidth="0" defaultRowHeight="14.5" x14ac:dyDescent="0.35"/>
  <cols>
    <col min="1" max="15" width="11.453125" style="67" customWidth="1"/>
    <col min="16" max="16" width="35.36328125" style="67" customWidth="1"/>
    <col min="17" max="4945" width="0" style="67" hidden="1" customWidth="1"/>
    <col min="4946" max="15759" width="11.453125" style="67" hidden="1"/>
    <col min="15760" max="16382" width="0" style="67" hidden="1"/>
    <col min="16383" max="16383" width="24" style="67" hidden="1" customWidth="1"/>
    <col min="16384" max="16384" width="18.6328125" style="67" hidden="1" customWidth="1"/>
  </cols>
  <sheetData>
    <row r="1" spans="1:35 16383:16384" ht="4.5" customHeight="1" x14ac:dyDescent="0.35"/>
    <row r="2" spans="1:35 16383:16384" s="55" customFormat="1" ht="14.15" customHeight="1" x14ac:dyDescent="0.35">
      <c r="A2" s="411"/>
      <c r="B2" s="411"/>
      <c r="C2" s="411"/>
      <c r="D2" s="409" t="s">
        <v>28</v>
      </c>
      <c r="E2" s="409"/>
      <c r="F2" s="409"/>
      <c r="G2" s="409"/>
      <c r="H2" s="409"/>
      <c r="I2" s="409"/>
      <c r="J2" s="409"/>
      <c r="K2" s="409"/>
      <c r="L2" s="409"/>
      <c r="M2" s="409"/>
      <c r="N2" s="409"/>
      <c r="O2" s="409"/>
      <c r="P2" s="409"/>
      <c r="Q2" s="84"/>
      <c r="R2" s="84"/>
      <c r="S2" s="84"/>
      <c r="T2" s="84"/>
      <c r="U2" s="84"/>
      <c r="V2" s="84"/>
      <c r="W2" s="84"/>
      <c r="X2" s="84"/>
      <c r="Y2" s="84"/>
      <c r="Z2" s="84"/>
      <c r="AA2" s="84"/>
      <c r="AB2" s="84"/>
      <c r="AC2" s="84"/>
      <c r="AD2" s="84"/>
      <c r="AE2" s="84"/>
      <c r="AF2" s="84"/>
      <c r="AG2" s="84"/>
      <c r="AH2" s="84"/>
      <c r="AI2" s="84"/>
    </row>
    <row r="3" spans="1:35 16383:16384" s="55" customFormat="1" ht="20.149999999999999" customHeight="1" x14ac:dyDescent="0.35">
      <c r="A3" s="411"/>
      <c r="B3" s="411"/>
      <c r="C3" s="411"/>
      <c r="D3" s="409"/>
      <c r="E3" s="409"/>
      <c r="F3" s="409"/>
      <c r="G3" s="409"/>
      <c r="H3" s="409"/>
      <c r="I3" s="409"/>
      <c r="J3" s="409"/>
      <c r="K3" s="409"/>
      <c r="L3" s="409"/>
      <c r="M3" s="409"/>
      <c r="N3" s="409"/>
      <c r="O3" s="409"/>
      <c r="P3" s="409"/>
      <c r="Q3" s="84"/>
      <c r="R3" s="84"/>
      <c r="S3" s="84"/>
      <c r="T3" s="84"/>
      <c r="U3" s="84"/>
      <c r="V3" s="84"/>
      <c r="W3" s="84"/>
      <c r="X3" s="84"/>
      <c r="Y3" s="84"/>
      <c r="Z3" s="84"/>
      <c r="AA3" s="84"/>
      <c r="AB3" s="84"/>
      <c r="AC3" s="84"/>
      <c r="AD3" s="84"/>
      <c r="AE3" s="84"/>
      <c r="AF3" s="84"/>
      <c r="AG3" s="84"/>
      <c r="AH3" s="84"/>
      <c r="AI3" s="84"/>
    </row>
    <row r="4" spans="1:35 16383:16384" s="55" customFormat="1" ht="20.149999999999999" customHeight="1" x14ac:dyDescent="0.35">
      <c r="A4" s="411"/>
      <c r="B4" s="411"/>
      <c r="C4" s="411"/>
      <c r="D4" s="409"/>
      <c r="E4" s="409"/>
      <c r="F4" s="409"/>
      <c r="G4" s="409"/>
      <c r="H4" s="409"/>
      <c r="I4" s="409"/>
      <c r="J4" s="409"/>
      <c r="K4" s="409"/>
      <c r="L4" s="409"/>
      <c r="M4" s="409"/>
      <c r="N4" s="409"/>
      <c r="O4" s="409"/>
      <c r="P4" s="409"/>
      <c r="Q4" s="84"/>
      <c r="R4" s="84"/>
      <c r="S4" s="84"/>
      <c r="T4" s="84"/>
      <c r="U4" s="84"/>
      <c r="V4" s="84"/>
      <c r="W4" s="84"/>
      <c r="X4" s="84"/>
      <c r="Y4" s="84"/>
      <c r="Z4" s="84"/>
      <c r="AA4" s="84"/>
      <c r="AB4" s="84"/>
      <c r="AC4" s="84"/>
      <c r="AD4" s="84"/>
      <c r="AE4" s="84"/>
      <c r="AF4" s="84"/>
      <c r="AG4" s="84"/>
      <c r="AH4" s="84"/>
      <c r="AI4" s="84"/>
    </row>
    <row r="5" spans="1:35 16383:16384" s="55" customFormat="1" ht="20.149999999999999" customHeight="1" x14ac:dyDescent="0.35">
      <c r="A5" s="411"/>
      <c r="B5" s="411"/>
      <c r="C5" s="411"/>
      <c r="D5" s="409"/>
      <c r="E5" s="409"/>
      <c r="F5" s="409"/>
      <c r="G5" s="409"/>
      <c r="H5" s="409"/>
      <c r="I5" s="409"/>
      <c r="J5" s="409"/>
      <c r="K5" s="409"/>
      <c r="L5" s="409"/>
      <c r="M5" s="409"/>
      <c r="N5" s="409"/>
      <c r="O5" s="409"/>
      <c r="P5" s="409"/>
      <c r="Q5" s="84"/>
      <c r="R5" s="84"/>
      <c r="S5" s="84"/>
      <c r="T5" s="84"/>
      <c r="U5" s="84"/>
      <c r="V5" s="84"/>
      <c r="W5" s="84"/>
      <c r="X5" s="84"/>
      <c r="Y5" s="84"/>
      <c r="Z5" s="84"/>
      <c r="AA5" s="84"/>
      <c r="AB5" s="84"/>
      <c r="AC5" s="84"/>
      <c r="AD5" s="84"/>
      <c r="AE5" s="84"/>
      <c r="AF5" s="84"/>
      <c r="AG5" s="84"/>
      <c r="AH5" s="84"/>
      <c r="AI5" s="84"/>
    </row>
    <row r="6" spans="1:35 16383:16384" s="55" customFormat="1" ht="20.149999999999999" customHeight="1" x14ac:dyDescent="0.35">
      <c r="A6" s="411"/>
      <c r="B6" s="411"/>
      <c r="C6" s="411"/>
      <c r="D6" s="409"/>
      <c r="E6" s="409"/>
      <c r="F6" s="409"/>
      <c r="G6" s="409"/>
      <c r="H6" s="409"/>
      <c r="I6" s="409"/>
      <c r="J6" s="409"/>
      <c r="K6" s="409"/>
      <c r="L6" s="409"/>
      <c r="M6" s="409"/>
      <c r="N6" s="409"/>
      <c r="O6" s="409"/>
      <c r="P6" s="409"/>
      <c r="Q6" s="84"/>
      <c r="R6" s="84"/>
      <c r="S6" s="84"/>
      <c r="T6" s="84"/>
      <c r="U6" s="84"/>
      <c r="V6" s="84"/>
      <c r="W6" s="84"/>
      <c r="X6" s="84"/>
      <c r="Y6" s="84"/>
      <c r="Z6" s="84"/>
      <c r="AA6" s="84"/>
      <c r="AB6" s="84"/>
      <c r="AC6" s="84"/>
      <c r="AD6" s="84"/>
      <c r="AE6" s="84"/>
      <c r="AF6" s="84"/>
      <c r="AG6" s="84"/>
      <c r="AH6" s="84"/>
      <c r="AI6" s="84"/>
    </row>
    <row r="7" spans="1:35 16383:16384" s="55" customFormat="1" ht="60" customHeight="1" x14ac:dyDescent="0.35">
      <c r="D7" s="410"/>
      <c r="E7" s="410"/>
      <c r="F7" s="410"/>
      <c r="G7" s="410"/>
      <c r="H7" s="410"/>
      <c r="I7" s="410"/>
      <c r="J7" s="410"/>
      <c r="K7" s="410"/>
      <c r="L7" s="410"/>
      <c r="M7" s="410"/>
      <c r="N7" s="410"/>
      <c r="O7" s="410"/>
      <c r="P7" s="410"/>
      <c r="Q7" s="85"/>
      <c r="R7" s="84"/>
      <c r="S7" s="84"/>
      <c r="T7" s="84"/>
      <c r="U7" s="84"/>
      <c r="V7" s="84"/>
      <c r="W7" s="84"/>
      <c r="X7" s="84"/>
      <c r="Y7" s="84"/>
      <c r="Z7" s="84"/>
      <c r="AA7" s="84"/>
      <c r="AB7" s="84"/>
      <c r="AC7" s="84"/>
      <c r="AD7" s="84"/>
      <c r="AE7" s="84"/>
      <c r="AF7" s="84"/>
      <c r="AG7" s="84"/>
      <c r="AH7" s="84"/>
      <c r="AI7" s="84"/>
    </row>
    <row r="8" spans="1:35 16383:16384" x14ac:dyDescent="0.35">
      <c r="XFC8" s="380" t="s">
        <v>29</v>
      </c>
      <c r="XFD8" s="380" t="s">
        <v>30</v>
      </c>
    </row>
    <row r="9" spans="1:35 16383:16384" x14ac:dyDescent="0.35">
      <c r="XFC9" s="380" t="s">
        <v>31</v>
      </c>
      <c r="XFD9" s="91">
        <f>'02. SECTORIAL'!O6</f>
        <v>1.0526315789473684</v>
      </c>
    </row>
    <row r="10" spans="1:35 16383:16384" x14ac:dyDescent="0.35">
      <c r="XFC10" s="380" t="s">
        <v>32</v>
      </c>
      <c r="XFD10" s="90">
        <v>0.75</v>
      </c>
    </row>
    <row r="11" spans="1:35 16383:16384" x14ac:dyDescent="0.35">
      <c r="XFC11" s="380" t="s">
        <v>18</v>
      </c>
      <c r="XFD11" s="90">
        <v>1.05</v>
      </c>
    </row>
    <row r="12" spans="1:35 16383:16384" x14ac:dyDescent="0.35">
      <c r="XFC12" s="380" t="s">
        <v>20</v>
      </c>
      <c r="XFD12" s="90">
        <v>0.49</v>
      </c>
    </row>
    <row r="13" spans="1:35 16383:16384" x14ac:dyDescent="0.35">
      <c r="XFC13" s="380" t="s">
        <v>19</v>
      </c>
    </row>
    <row r="14" spans="1:35 16383:16384" x14ac:dyDescent="0.35">
      <c r="XFC14" s="380" t="s">
        <v>21</v>
      </c>
    </row>
    <row r="15" spans="1:35 16383:16384" x14ac:dyDescent="0.35">
      <c r="XFC15" s="380" t="s">
        <v>22</v>
      </c>
    </row>
    <row r="16" spans="1:35 16383:16384" x14ac:dyDescent="0.35">
      <c r="XFC16" s="380" t="s">
        <v>24</v>
      </c>
    </row>
    <row r="17" spans="8:8 16383:16384" x14ac:dyDescent="0.35">
      <c r="XFC17" s="380" t="s">
        <v>23</v>
      </c>
      <c r="XFD17" s="90">
        <v>0.94</v>
      </c>
    </row>
    <row r="18" spans="8:8 16383:16384" x14ac:dyDescent="0.35">
      <c r="XFC18" s="380" t="s">
        <v>25</v>
      </c>
      <c r="XFD18" s="90">
        <v>0.1</v>
      </c>
    </row>
    <row r="19" spans="8:8 16383:16384" x14ac:dyDescent="0.35">
      <c r="XFC19" s="380" t="s">
        <v>26</v>
      </c>
      <c r="XFD19" s="90">
        <v>1.05</v>
      </c>
    </row>
    <row r="20" spans="8:8 16383:16384" x14ac:dyDescent="0.35">
      <c r="XFC20" s="380" t="s">
        <v>27</v>
      </c>
      <c r="XFD20" s="90">
        <v>1.05</v>
      </c>
    </row>
    <row r="21" spans="8:8 16383:16384" ht="21" x14ac:dyDescent="0.5">
      <c r="H21" s="80"/>
    </row>
    <row r="44" spans="1:11" x14ac:dyDescent="0.35">
      <c r="A44" s="81"/>
      <c r="B44" s="81"/>
      <c r="C44" s="81"/>
      <c r="D44" s="81"/>
      <c r="E44" s="81"/>
      <c r="F44" s="81"/>
      <c r="G44" s="81"/>
      <c r="H44" s="81"/>
      <c r="I44" s="81"/>
      <c r="J44" s="81"/>
      <c r="K44" s="81"/>
    </row>
    <row r="45" spans="1:11" x14ac:dyDescent="0.35">
      <c r="A45" s="81"/>
      <c r="B45" s="81"/>
      <c r="C45" s="81"/>
      <c r="D45" s="81"/>
      <c r="E45" s="81"/>
      <c r="F45" s="81"/>
      <c r="G45" s="81"/>
      <c r="H45" s="81"/>
      <c r="I45" s="81"/>
      <c r="J45" s="81"/>
      <c r="K45" s="81"/>
    </row>
    <row r="60" hidden="1" x14ac:dyDescent="0.35"/>
  </sheetData>
  <sheetProtection autoFilter="0"/>
  <mergeCells count="3">
    <mergeCell ref="D2:P6"/>
    <mergeCell ref="D7:P7"/>
    <mergeCell ref="A2:C6"/>
  </mergeCells>
  <pageMargins left="0.7" right="0.7" top="0.75" bottom="0.75" header="0.3" footer="0.3"/>
  <pageSetup scale="49" orientation="portrait" r:id="rId1"/>
  <headerFooter>
    <oddHeader>&amp;C&amp;G</oddHeader>
    <oddFooter>&amp;C_x000D_&amp;1#&amp;"Calibri"&amp;10&amp;K008000 Información Pública - La Previsora S.A. Compañía de Seguros</oddFooter>
  </headerFooter>
  <colBreaks count="2" manualBreakCount="2">
    <brk id="16" max="83" man="1"/>
    <brk id="11939" max="1048575" man="1"/>
  </colBreaks>
  <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113"/>
  <sheetViews>
    <sheetView showGridLines="0" zoomScale="80" zoomScaleNormal="80" zoomScaleSheetLayoutView="50" zoomScalePageLayoutView="48" workbookViewId="0">
      <selection activeCell="G129" sqref="G129"/>
    </sheetView>
  </sheetViews>
  <sheetFormatPr baseColWidth="10" defaultColWidth="12.54296875" defaultRowHeight="15" customHeight="1" x14ac:dyDescent="0.35"/>
  <cols>
    <col min="1" max="1" width="7.36328125" style="1" customWidth="1"/>
    <col min="2" max="2" width="42.90625" style="1" customWidth="1"/>
    <col min="3" max="3" width="51.54296875" style="1" customWidth="1"/>
    <col min="4" max="4" width="28.54296875" style="1" customWidth="1"/>
    <col min="5" max="5" width="36.453125" style="1" customWidth="1"/>
    <col min="6" max="6" width="28.54296875" style="1" hidden="1" customWidth="1"/>
    <col min="7" max="9" width="28.54296875" style="1" customWidth="1"/>
    <col min="10" max="11" width="19.54296875" style="1" customWidth="1"/>
    <col min="12" max="12" width="28.54296875" style="1" customWidth="1"/>
    <col min="13" max="14" width="18.36328125" style="1" customWidth="1"/>
    <col min="15" max="17" width="13.6328125" style="1" hidden="1" customWidth="1"/>
    <col min="18" max="30" width="9.54296875" style="1" hidden="1" customWidth="1"/>
    <col min="31" max="31" width="35.6328125" style="1" hidden="1" customWidth="1"/>
    <col min="32" max="32" width="48.6328125" style="1" hidden="1" customWidth="1"/>
    <col min="33" max="34" width="42.54296875" style="1" hidden="1" customWidth="1"/>
    <col min="35" max="16384" width="12.54296875" style="1"/>
  </cols>
  <sheetData>
    <row r="1" spans="1:34" s="55" customFormat="1" ht="14.15" customHeight="1" x14ac:dyDescent="0.35">
      <c r="A1" s="449"/>
      <c r="B1" s="450"/>
      <c r="C1" s="451"/>
      <c r="D1" s="505" t="s">
        <v>33</v>
      </c>
      <c r="E1" s="505"/>
      <c r="F1" s="505"/>
      <c r="G1" s="505"/>
      <c r="H1" s="505"/>
      <c r="I1" s="505"/>
      <c r="J1" s="505"/>
      <c r="K1" s="505"/>
      <c r="L1" s="505"/>
      <c r="M1" s="505"/>
      <c r="N1" s="505"/>
      <c r="O1" s="505"/>
      <c r="P1" s="505"/>
      <c r="Q1" s="505"/>
      <c r="R1" s="505"/>
      <c r="S1" s="505"/>
      <c r="T1" s="505"/>
      <c r="U1" s="505"/>
      <c r="V1" s="505"/>
      <c r="W1" s="505"/>
      <c r="X1" s="505"/>
      <c r="Y1" s="505"/>
      <c r="Z1" s="505"/>
      <c r="AA1" s="505"/>
      <c r="AB1" s="505"/>
      <c r="AC1" s="505"/>
      <c r="AD1" s="505"/>
      <c r="AE1" s="505"/>
      <c r="AF1" s="505"/>
      <c r="AG1" s="505"/>
      <c r="AH1" s="505"/>
    </row>
    <row r="2" spans="1:34" s="55" customFormat="1" ht="20.149999999999999" customHeight="1" x14ac:dyDescent="0.35">
      <c r="A2" s="452"/>
      <c r="B2" s="453"/>
      <c r="C2" s="454"/>
      <c r="D2" s="505"/>
      <c r="E2" s="505"/>
      <c r="F2" s="505"/>
      <c r="G2" s="505"/>
      <c r="H2" s="505"/>
      <c r="I2" s="505"/>
      <c r="J2" s="505"/>
      <c r="K2" s="505"/>
      <c r="L2" s="505"/>
      <c r="M2" s="505"/>
      <c r="N2" s="505"/>
      <c r="O2" s="505"/>
      <c r="P2" s="505"/>
      <c r="Q2" s="505"/>
      <c r="R2" s="505"/>
      <c r="S2" s="505"/>
      <c r="T2" s="505"/>
      <c r="U2" s="505"/>
      <c r="V2" s="505"/>
      <c r="W2" s="505"/>
      <c r="X2" s="505"/>
      <c r="Y2" s="505"/>
      <c r="Z2" s="505"/>
      <c r="AA2" s="505"/>
      <c r="AB2" s="505"/>
      <c r="AC2" s="505"/>
      <c r="AD2" s="505"/>
      <c r="AE2" s="505"/>
      <c r="AF2" s="505"/>
      <c r="AG2" s="505"/>
      <c r="AH2" s="505"/>
    </row>
    <row r="3" spans="1:34" s="55" customFormat="1" ht="60" customHeight="1" thickBot="1" x14ac:dyDescent="0.4">
      <c r="A3" s="455"/>
      <c r="B3" s="456"/>
      <c r="C3" s="457"/>
      <c r="D3" s="505"/>
      <c r="E3" s="505"/>
      <c r="F3" s="505"/>
      <c r="G3" s="505"/>
      <c r="H3" s="505"/>
      <c r="I3" s="505"/>
      <c r="J3" s="505"/>
      <c r="K3" s="505"/>
      <c r="L3" s="505"/>
      <c r="M3" s="505"/>
      <c r="N3" s="505"/>
      <c r="O3" s="505"/>
      <c r="P3" s="505"/>
      <c r="Q3" s="505"/>
      <c r="R3" s="505"/>
      <c r="S3" s="505"/>
      <c r="T3" s="505"/>
      <c r="U3" s="505"/>
      <c r="V3" s="505"/>
      <c r="W3" s="505"/>
      <c r="X3" s="505"/>
      <c r="Y3" s="505"/>
      <c r="Z3" s="505"/>
      <c r="AA3" s="505"/>
      <c r="AB3" s="505"/>
      <c r="AC3" s="505"/>
      <c r="AD3" s="505"/>
      <c r="AE3" s="505"/>
      <c r="AF3" s="505"/>
      <c r="AG3" s="505"/>
      <c r="AH3" s="505"/>
    </row>
    <row r="4" spans="1:34" s="55" customFormat="1" ht="60" hidden="1" customHeight="1" thickBot="1" x14ac:dyDescent="0.4">
      <c r="A4" s="447" t="s">
        <v>34</v>
      </c>
      <c r="B4" s="8" t="s">
        <v>35</v>
      </c>
      <c r="C4" s="10">
        <v>0.7</v>
      </c>
      <c r="D4" s="10"/>
      <c r="E4" s="10"/>
      <c r="F4" s="9"/>
      <c r="G4" s="447" t="s">
        <v>36</v>
      </c>
      <c r="H4" s="10">
        <v>0.7</v>
      </c>
      <c r="I4" s="56"/>
      <c r="J4" s="57"/>
      <c r="K4" s="57"/>
      <c r="L4" s="57"/>
      <c r="M4" s="57"/>
      <c r="N4" s="57"/>
      <c r="O4" s="57"/>
      <c r="P4" s="57"/>
      <c r="Q4" s="57"/>
      <c r="R4" s="57"/>
      <c r="S4" s="57"/>
      <c r="T4" s="57"/>
      <c r="U4" s="57"/>
      <c r="V4" s="57"/>
      <c r="W4" s="57"/>
      <c r="X4" s="57"/>
      <c r="Y4" s="57"/>
      <c r="Z4" s="57"/>
      <c r="AA4" s="57"/>
      <c r="AB4" s="57"/>
      <c r="AC4" s="57"/>
      <c r="AD4" s="57"/>
      <c r="AE4" s="57"/>
      <c r="AF4" s="57"/>
    </row>
    <row r="5" spans="1:34" s="55" customFormat="1" ht="60" hidden="1" customHeight="1" x14ac:dyDescent="0.35">
      <c r="A5" s="447"/>
      <c r="B5" s="8" t="s">
        <v>37</v>
      </c>
      <c r="C5" s="11">
        <v>0.9</v>
      </c>
      <c r="D5" s="11"/>
      <c r="E5" s="11"/>
      <c r="F5" s="11">
        <v>1</v>
      </c>
      <c r="G5" s="447"/>
      <c r="H5" s="11">
        <v>0.95</v>
      </c>
      <c r="I5" s="56"/>
      <c r="J5" s="57"/>
      <c r="K5" s="57"/>
      <c r="L5" s="57"/>
      <c r="M5" s="57"/>
      <c r="N5" s="57"/>
      <c r="O5" s="57"/>
      <c r="P5" s="57"/>
      <c r="Q5" s="57"/>
      <c r="R5" s="57"/>
      <c r="S5" s="57"/>
      <c r="T5" s="57"/>
      <c r="U5" s="57"/>
      <c r="V5" s="57"/>
      <c r="W5" s="57"/>
      <c r="X5" s="57"/>
      <c r="Y5" s="57"/>
      <c r="Z5" s="57"/>
      <c r="AA5" s="57"/>
      <c r="AB5" s="57"/>
      <c r="AC5" s="57"/>
      <c r="AD5" s="57"/>
      <c r="AE5" s="57"/>
      <c r="AF5" s="57"/>
    </row>
    <row r="6" spans="1:34" ht="20.149999999999999" hidden="1" customHeight="1" x14ac:dyDescent="0.35">
      <c r="A6" s="448" t="s">
        <v>38</v>
      </c>
      <c r="B6" s="448"/>
      <c r="C6" s="458" t="s">
        <v>39</v>
      </c>
      <c r="D6" s="458"/>
      <c r="E6" s="448" t="s">
        <v>40</v>
      </c>
      <c r="F6" s="448"/>
      <c r="G6" s="479">
        <f>+P15+P17+P19+P21+P25+P27+P29+P31</f>
        <v>1</v>
      </c>
      <c r="H6" s="448"/>
      <c r="I6" s="482">
        <f>(P14+P16+P18+P20+P24+P26+P28+P31)/L6</f>
        <v>1.0526315789473684</v>
      </c>
      <c r="J6" s="448" t="s">
        <v>41</v>
      </c>
      <c r="K6" s="448"/>
      <c r="L6" s="485">
        <v>0.95</v>
      </c>
      <c r="M6" s="448" t="s">
        <v>42</v>
      </c>
      <c r="N6" s="448"/>
      <c r="O6" s="470">
        <f>(SUM(R14:U14,R16:U16,R18:U18,R20:U20,R24:U24,R26:U26,R28:U28)/SUM(R15:U15,R17:U17,R19:U19,R21:U21,R25:U25,R27:U27))/L6</f>
        <v>1.0526315789473684</v>
      </c>
      <c r="P6" s="471"/>
      <c r="Q6" s="472"/>
      <c r="R6" s="461" t="s">
        <v>43</v>
      </c>
      <c r="S6" s="462"/>
      <c r="T6" s="462"/>
      <c r="U6" s="463"/>
      <c r="V6" s="470">
        <f>SUM(V14:X14,V16:X16,V18:X18,V20:X20,V24:X24,V26:X26,V28:X28)/SUM(V15:X15,V17:X17,V19:X19,V21:X21,V25:X25,V27:X27,V29:X29)/L6</f>
        <v>1.0526315789473684</v>
      </c>
      <c r="W6" s="471"/>
      <c r="X6" s="471"/>
      <c r="Y6" s="472"/>
      <c r="Z6" s="461" t="s">
        <v>44</v>
      </c>
      <c r="AA6" s="462"/>
      <c r="AB6" s="462"/>
      <c r="AC6" s="463"/>
      <c r="AD6" s="470">
        <f>SUM(AA14,AA16,AA18,Z20:AA20,AA24,AA26)/SUM(AA15,AA17,AA19,AA21,AA25,AA27)/L6</f>
        <v>1.0526315789473684</v>
      </c>
      <c r="AE6" s="472"/>
      <c r="AF6" s="461" t="s">
        <v>45</v>
      </c>
      <c r="AG6" s="470">
        <f>SUM(AC14:AD14,AC16:AD16,AC18:AD18,AC20:AD20,AD24,AC26:AD26,AC28:AD28,AC30)/SUM(AD15,AD17,AB19:AD19,AD21,AD25,AD27,AD29,AC31)/L6</f>
        <v>1.0526315789473684</v>
      </c>
    </row>
    <row r="7" spans="1:34" ht="15" hidden="1" customHeight="1" x14ac:dyDescent="0.35">
      <c r="A7" s="448"/>
      <c r="B7" s="448"/>
      <c r="C7" s="458"/>
      <c r="D7" s="458"/>
      <c r="E7" s="448"/>
      <c r="F7" s="448"/>
      <c r="G7" s="480"/>
      <c r="H7" s="448"/>
      <c r="I7" s="483"/>
      <c r="J7" s="448"/>
      <c r="K7" s="448"/>
      <c r="L7" s="486"/>
      <c r="M7" s="448"/>
      <c r="N7" s="448"/>
      <c r="O7" s="473"/>
      <c r="P7" s="474"/>
      <c r="Q7" s="475"/>
      <c r="R7" s="464"/>
      <c r="S7" s="465"/>
      <c r="T7" s="465"/>
      <c r="U7" s="466"/>
      <c r="V7" s="473"/>
      <c r="W7" s="474"/>
      <c r="X7" s="474"/>
      <c r="Y7" s="475"/>
      <c r="Z7" s="464"/>
      <c r="AA7" s="465"/>
      <c r="AB7" s="465"/>
      <c r="AC7" s="466"/>
      <c r="AD7" s="473"/>
      <c r="AE7" s="475"/>
      <c r="AF7" s="464"/>
      <c r="AG7" s="473"/>
    </row>
    <row r="8" spans="1:34" ht="25.4" hidden="1" customHeight="1" x14ac:dyDescent="0.35">
      <c r="A8" s="448"/>
      <c r="B8" s="448"/>
      <c r="C8" s="458"/>
      <c r="D8" s="458"/>
      <c r="E8" s="448"/>
      <c r="F8" s="448"/>
      <c r="G8" s="480"/>
      <c r="H8" s="448"/>
      <c r="I8" s="483"/>
      <c r="J8" s="448"/>
      <c r="K8" s="448"/>
      <c r="L8" s="486"/>
      <c r="M8" s="448"/>
      <c r="N8" s="448"/>
      <c r="O8" s="473"/>
      <c r="P8" s="474"/>
      <c r="Q8" s="475"/>
      <c r="R8" s="464"/>
      <c r="S8" s="465"/>
      <c r="T8" s="465"/>
      <c r="U8" s="466"/>
      <c r="V8" s="473"/>
      <c r="W8" s="474"/>
      <c r="X8" s="474"/>
      <c r="Y8" s="475"/>
      <c r="Z8" s="464"/>
      <c r="AA8" s="465"/>
      <c r="AB8" s="465"/>
      <c r="AC8" s="466"/>
      <c r="AD8" s="473"/>
      <c r="AE8" s="475"/>
      <c r="AF8" s="464"/>
      <c r="AG8" s="473"/>
    </row>
    <row r="9" spans="1:34" ht="25.4" hidden="1" customHeight="1" thickBot="1" x14ac:dyDescent="0.4">
      <c r="A9" s="448"/>
      <c r="B9" s="448"/>
      <c r="C9" s="458"/>
      <c r="D9" s="458"/>
      <c r="E9" s="448"/>
      <c r="F9" s="448"/>
      <c r="G9" s="480"/>
      <c r="H9" s="448"/>
      <c r="I9" s="483"/>
      <c r="J9" s="448"/>
      <c r="K9" s="448"/>
      <c r="L9" s="486"/>
      <c r="M9" s="448"/>
      <c r="N9" s="448"/>
      <c r="O9" s="473"/>
      <c r="P9" s="474"/>
      <c r="Q9" s="475"/>
      <c r="R9" s="464"/>
      <c r="S9" s="465"/>
      <c r="T9" s="465"/>
      <c r="U9" s="466"/>
      <c r="V9" s="473"/>
      <c r="W9" s="474"/>
      <c r="X9" s="474"/>
      <c r="Y9" s="475"/>
      <c r="Z9" s="464"/>
      <c r="AA9" s="465"/>
      <c r="AB9" s="465"/>
      <c r="AC9" s="466"/>
      <c r="AD9" s="473"/>
      <c r="AE9" s="475"/>
      <c r="AF9" s="464"/>
      <c r="AG9" s="473"/>
    </row>
    <row r="10" spans="1:34" ht="15" hidden="1" customHeight="1" thickBot="1" x14ac:dyDescent="0.4">
      <c r="A10" s="448"/>
      <c r="B10" s="448"/>
      <c r="C10" s="458"/>
      <c r="D10" s="458"/>
      <c r="E10" s="448"/>
      <c r="F10" s="448"/>
      <c r="G10" s="481"/>
      <c r="H10" s="448"/>
      <c r="I10" s="484"/>
      <c r="J10" s="448"/>
      <c r="K10" s="448"/>
      <c r="L10" s="487"/>
      <c r="M10" s="448"/>
      <c r="N10" s="448"/>
      <c r="O10" s="476"/>
      <c r="P10" s="477"/>
      <c r="Q10" s="478"/>
      <c r="R10" s="467"/>
      <c r="S10" s="468"/>
      <c r="T10" s="468"/>
      <c r="U10" s="469"/>
      <c r="V10" s="476"/>
      <c r="W10" s="477"/>
      <c r="X10" s="477"/>
      <c r="Y10" s="478"/>
      <c r="Z10" s="467"/>
      <c r="AA10" s="468"/>
      <c r="AB10" s="468"/>
      <c r="AC10" s="469"/>
      <c r="AD10" s="476"/>
      <c r="AE10" s="478"/>
      <c r="AF10" s="467"/>
      <c r="AG10" s="476"/>
    </row>
    <row r="11" spans="1:34" s="12" customFormat="1" ht="40.4" customHeight="1" thickBot="1" x14ac:dyDescent="0.4">
      <c r="A11" s="432" t="s">
        <v>46</v>
      </c>
      <c r="B11" s="432"/>
      <c r="C11" s="432"/>
      <c r="D11" s="432"/>
      <c r="E11" s="432"/>
      <c r="F11" s="433"/>
      <c r="G11" s="434" t="s">
        <v>47</v>
      </c>
      <c r="H11" s="435"/>
      <c r="I11" s="435"/>
      <c r="J11" s="435"/>
      <c r="K11" s="435"/>
      <c r="L11" s="435"/>
      <c r="M11" s="435"/>
      <c r="N11" s="436"/>
      <c r="O11" s="493" t="s">
        <v>48</v>
      </c>
      <c r="P11" s="494"/>
      <c r="Q11" s="494"/>
      <c r="R11" s="494"/>
      <c r="S11" s="494"/>
      <c r="T11" s="494"/>
      <c r="U11" s="494"/>
      <c r="V11" s="494"/>
      <c r="W11" s="494"/>
      <c r="X11" s="494"/>
      <c r="Y11" s="494"/>
      <c r="Z11" s="494"/>
      <c r="AA11" s="494"/>
      <c r="AB11" s="494"/>
      <c r="AC11" s="494"/>
      <c r="AD11" s="495"/>
      <c r="AE11" s="496" t="s">
        <v>49</v>
      </c>
      <c r="AF11" s="497"/>
      <c r="AG11" s="497"/>
      <c r="AH11" s="497"/>
    </row>
    <row r="12" spans="1:34" ht="39" customHeight="1" x14ac:dyDescent="0.35">
      <c r="A12" s="437" t="s">
        <v>50</v>
      </c>
      <c r="B12" s="439" t="s">
        <v>51</v>
      </c>
      <c r="C12" s="439" t="s">
        <v>52</v>
      </c>
      <c r="D12" s="439" t="s">
        <v>53</v>
      </c>
      <c r="E12" s="439" t="s">
        <v>54</v>
      </c>
      <c r="F12" s="439" t="s">
        <v>29</v>
      </c>
      <c r="G12" s="439" t="s">
        <v>55</v>
      </c>
      <c r="H12" s="437" t="s">
        <v>56</v>
      </c>
      <c r="I12" s="437" t="s">
        <v>57</v>
      </c>
      <c r="J12" s="437" t="s">
        <v>58</v>
      </c>
      <c r="K12" s="437" t="s">
        <v>59</v>
      </c>
      <c r="L12" s="437" t="s">
        <v>60</v>
      </c>
      <c r="M12" s="437" t="s">
        <v>61</v>
      </c>
      <c r="N12" s="439" t="s">
        <v>62</v>
      </c>
      <c r="O12" s="502" t="s">
        <v>63</v>
      </c>
      <c r="P12" s="503" t="s">
        <v>64</v>
      </c>
      <c r="Q12" s="504" t="s">
        <v>65</v>
      </c>
      <c r="R12" s="459" t="s">
        <v>66</v>
      </c>
      <c r="S12" s="459" t="s">
        <v>67</v>
      </c>
      <c r="T12" s="459" t="s">
        <v>68</v>
      </c>
      <c r="U12" s="459" t="s">
        <v>69</v>
      </c>
      <c r="V12" s="459" t="s">
        <v>70</v>
      </c>
      <c r="W12" s="459" t="s">
        <v>71</v>
      </c>
      <c r="X12" s="459" t="s">
        <v>72</v>
      </c>
      <c r="Y12" s="459" t="s">
        <v>73</v>
      </c>
      <c r="Z12" s="459" t="s">
        <v>74</v>
      </c>
      <c r="AA12" s="459" t="s">
        <v>75</v>
      </c>
      <c r="AB12" s="459" t="s">
        <v>76</v>
      </c>
      <c r="AC12" s="459" t="s">
        <v>77</v>
      </c>
      <c r="AD12" s="498" t="s">
        <v>78</v>
      </c>
      <c r="AE12" s="500" t="s">
        <v>79</v>
      </c>
      <c r="AF12" s="489" t="s">
        <v>80</v>
      </c>
      <c r="AG12" s="489" t="s">
        <v>81</v>
      </c>
      <c r="AH12" s="491" t="s">
        <v>82</v>
      </c>
    </row>
    <row r="13" spans="1:34" ht="60" customHeight="1" thickBot="1" x14ac:dyDescent="0.4">
      <c r="A13" s="438"/>
      <c r="B13" s="438"/>
      <c r="C13" s="438"/>
      <c r="D13" s="438"/>
      <c r="E13" s="438"/>
      <c r="F13" s="438"/>
      <c r="G13" s="438"/>
      <c r="H13" s="438"/>
      <c r="I13" s="438"/>
      <c r="J13" s="438"/>
      <c r="K13" s="438"/>
      <c r="L13" s="438"/>
      <c r="M13" s="438"/>
      <c r="N13" s="438"/>
      <c r="O13" s="502"/>
      <c r="P13" s="503"/>
      <c r="Q13" s="504"/>
      <c r="R13" s="460"/>
      <c r="S13" s="460"/>
      <c r="T13" s="460"/>
      <c r="U13" s="460"/>
      <c r="V13" s="460"/>
      <c r="W13" s="460"/>
      <c r="X13" s="460"/>
      <c r="Y13" s="460"/>
      <c r="Z13" s="460"/>
      <c r="AA13" s="460"/>
      <c r="AB13" s="460"/>
      <c r="AC13" s="460"/>
      <c r="AD13" s="499"/>
      <c r="AE13" s="501"/>
      <c r="AF13" s="490"/>
      <c r="AG13" s="490"/>
      <c r="AH13" s="492"/>
    </row>
    <row r="14" spans="1:34" ht="40.4" customHeight="1" thickBot="1" x14ac:dyDescent="0.4">
      <c r="A14" s="426">
        <v>1</v>
      </c>
      <c r="B14" s="426" t="s">
        <v>83</v>
      </c>
      <c r="C14" s="426" t="s">
        <v>84</v>
      </c>
      <c r="D14" s="426" t="s">
        <v>85</v>
      </c>
      <c r="E14" s="426" t="s">
        <v>86</v>
      </c>
      <c r="F14" s="424"/>
      <c r="G14" s="426" t="s">
        <v>87</v>
      </c>
      <c r="H14" s="426" t="s">
        <v>88</v>
      </c>
      <c r="I14" s="426" t="s">
        <v>89</v>
      </c>
      <c r="J14" s="416" t="s">
        <v>90</v>
      </c>
      <c r="K14" s="416" t="s">
        <v>91</v>
      </c>
      <c r="L14" s="416" t="s">
        <v>92</v>
      </c>
      <c r="M14" s="419">
        <v>46024</v>
      </c>
      <c r="N14" s="419">
        <v>46387</v>
      </c>
      <c r="O14" s="59" t="s">
        <v>93</v>
      </c>
      <c r="P14" s="53">
        <f>+(P15*Q14)</f>
        <v>0.125</v>
      </c>
      <c r="Q14" s="65">
        <f>SUM(R14:AD14)</f>
        <v>1</v>
      </c>
      <c r="R14" s="43">
        <v>0.25</v>
      </c>
      <c r="S14" s="43"/>
      <c r="T14" s="43"/>
      <c r="U14" s="43"/>
      <c r="V14" s="43"/>
      <c r="W14" s="43"/>
      <c r="X14" s="43">
        <v>0.25</v>
      </c>
      <c r="Y14" s="43"/>
      <c r="Z14" s="44"/>
      <c r="AA14" s="43">
        <v>0.25</v>
      </c>
      <c r="AB14" s="44"/>
      <c r="AC14" s="44">
        <v>0.25</v>
      </c>
      <c r="AD14" s="137"/>
      <c r="AE14" s="507" t="s">
        <v>94</v>
      </c>
      <c r="AF14" s="430" t="s">
        <v>95</v>
      </c>
      <c r="AG14" s="506" t="s">
        <v>96</v>
      </c>
      <c r="AH14" s="428" t="s">
        <v>97</v>
      </c>
    </row>
    <row r="15" spans="1:34" ht="53.75" customHeight="1" thickBot="1" x14ac:dyDescent="0.4">
      <c r="A15" s="440"/>
      <c r="B15" s="440"/>
      <c r="C15" s="440"/>
      <c r="D15" s="440"/>
      <c r="E15" s="440"/>
      <c r="F15" s="441"/>
      <c r="G15" s="440"/>
      <c r="H15" s="440"/>
      <c r="I15" s="427"/>
      <c r="J15" s="418"/>
      <c r="K15" s="418"/>
      <c r="L15" s="418"/>
      <c r="M15" s="420"/>
      <c r="N15" s="420"/>
      <c r="O15" s="59" t="s">
        <v>98</v>
      </c>
      <c r="P15" s="52">
        <f>100%/8</f>
        <v>0.125</v>
      </c>
      <c r="Q15" s="65">
        <f>SUM(R15:AD15)</f>
        <v>1</v>
      </c>
      <c r="R15" s="42"/>
      <c r="S15" s="42"/>
      <c r="T15" s="42"/>
      <c r="U15" s="42">
        <v>0.25</v>
      </c>
      <c r="V15" s="42"/>
      <c r="W15" s="42"/>
      <c r="X15" s="42">
        <v>0.25</v>
      </c>
      <c r="Y15" s="42"/>
      <c r="Z15" s="42"/>
      <c r="AA15" s="42">
        <v>0.25</v>
      </c>
      <c r="AB15" s="42"/>
      <c r="AC15" s="42"/>
      <c r="AD15" s="138">
        <v>0.25</v>
      </c>
      <c r="AE15" s="412"/>
      <c r="AF15" s="431"/>
      <c r="AG15" s="428"/>
      <c r="AH15" s="429"/>
    </row>
    <row r="16" spans="1:34" ht="37.4" customHeight="1" thickBot="1" x14ac:dyDescent="0.4">
      <c r="A16" s="426">
        <v>2</v>
      </c>
      <c r="B16" s="426" t="s">
        <v>99</v>
      </c>
      <c r="C16" s="426" t="s">
        <v>84</v>
      </c>
      <c r="D16" s="426" t="s">
        <v>100</v>
      </c>
      <c r="E16" s="426" t="s">
        <v>101</v>
      </c>
      <c r="F16" s="424"/>
      <c r="G16" s="426" t="s">
        <v>102</v>
      </c>
      <c r="H16" s="426" t="s">
        <v>103</v>
      </c>
      <c r="I16" s="426" t="s">
        <v>89</v>
      </c>
      <c r="J16" s="416" t="s">
        <v>104</v>
      </c>
      <c r="K16" s="416" t="s">
        <v>91</v>
      </c>
      <c r="L16" s="416" t="s">
        <v>92</v>
      </c>
      <c r="M16" s="419">
        <v>46024</v>
      </c>
      <c r="N16" s="419">
        <v>46387</v>
      </c>
      <c r="O16" s="59" t="s">
        <v>93</v>
      </c>
      <c r="P16" s="53">
        <f>+(P17*Q16)</f>
        <v>0.125</v>
      </c>
      <c r="Q16" s="65">
        <f t="shared" ref="Q16:Q29" si="0">SUM(R16:AD16)</f>
        <v>1</v>
      </c>
      <c r="R16" s="43"/>
      <c r="S16" s="43"/>
      <c r="T16" s="43">
        <v>0.25</v>
      </c>
      <c r="U16" s="43"/>
      <c r="V16" s="43"/>
      <c r="W16" s="43">
        <v>0.25</v>
      </c>
      <c r="X16" s="43"/>
      <c r="Y16" s="43"/>
      <c r="Z16" s="44"/>
      <c r="AA16" s="44">
        <v>0.25</v>
      </c>
      <c r="AB16" s="44"/>
      <c r="AC16" s="44">
        <v>0.25</v>
      </c>
      <c r="AD16" s="137"/>
      <c r="AE16" s="412" t="s">
        <v>105</v>
      </c>
      <c r="AF16" s="428" t="s">
        <v>106</v>
      </c>
      <c r="AG16" s="428" t="s">
        <v>107</v>
      </c>
      <c r="AH16" s="428" t="s">
        <v>108</v>
      </c>
    </row>
    <row r="17" spans="1:34" ht="63.65" customHeight="1" thickBot="1" x14ac:dyDescent="0.4">
      <c r="A17" s="440"/>
      <c r="B17" s="440"/>
      <c r="C17" s="427"/>
      <c r="D17" s="427"/>
      <c r="E17" s="427"/>
      <c r="F17" s="425"/>
      <c r="G17" s="427"/>
      <c r="H17" s="427"/>
      <c r="I17" s="427"/>
      <c r="J17" s="417"/>
      <c r="K17" s="417"/>
      <c r="L17" s="418"/>
      <c r="M17" s="420"/>
      <c r="N17" s="420"/>
      <c r="O17" s="59" t="s">
        <v>98</v>
      </c>
      <c r="P17" s="52">
        <f>100%/8</f>
        <v>0.125</v>
      </c>
      <c r="Q17" s="65">
        <f t="shared" si="0"/>
        <v>1</v>
      </c>
      <c r="R17" s="42"/>
      <c r="S17" s="42"/>
      <c r="T17" s="42"/>
      <c r="U17" s="42">
        <v>0.25</v>
      </c>
      <c r="V17" s="42"/>
      <c r="W17" s="42"/>
      <c r="X17" s="42">
        <v>0.25</v>
      </c>
      <c r="Y17" s="42"/>
      <c r="Z17" s="42"/>
      <c r="AA17" s="42">
        <v>0.25</v>
      </c>
      <c r="AB17" s="42"/>
      <c r="AC17" s="42"/>
      <c r="AD17" s="138">
        <v>0.25</v>
      </c>
      <c r="AE17" s="412"/>
      <c r="AF17" s="428"/>
      <c r="AG17" s="428"/>
      <c r="AH17" s="428"/>
    </row>
    <row r="18" spans="1:34" ht="46.5" customHeight="1" thickBot="1" x14ac:dyDescent="0.4">
      <c r="A18" s="426">
        <v>3</v>
      </c>
      <c r="B18" s="426" t="s">
        <v>109</v>
      </c>
      <c r="C18" s="426" t="s">
        <v>110</v>
      </c>
      <c r="D18" s="426" t="s">
        <v>111</v>
      </c>
      <c r="E18" s="426" t="s">
        <v>112</v>
      </c>
      <c r="F18" s="424"/>
      <c r="G18" s="426" t="s">
        <v>39</v>
      </c>
      <c r="H18" s="426" t="s">
        <v>113</v>
      </c>
      <c r="I18" s="426" t="s">
        <v>89</v>
      </c>
      <c r="J18" s="416" t="s">
        <v>90</v>
      </c>
      <c r="K18" s="416" t="s">
        <v>91</v>
      </c>
      <c r="L18" s="416" t="s">
        <v>92</v>
      </c>
      <c r="M18" s="419">
        <v>46024</v>
      </c>
      <c r="N18" s="419">
        <v>46387</v>
      </c>
      <c r="O18" s="59" t="s">
        <v>93</v>
      </c>
      <c r="P18" s="53">
        <f>+(P19*Q18)</f>
        <v>0.125</v>
      </c>
      <c r="Q18" s="65">
        <f t="shared" si="0"/>
        <v>1</v>
      </c>
      <c r="R18" s="43"/>
      <c r="S18" s="43"/>
      <c r="T18" s="43">
        <v>0.25</v>
      </c>
      <c r="U18" s="43"/>
      <c r="V18" s="43"/>
      <c r="W18" s="43">
        <v>0.25</v>
      </c>
      <c r="X18" s="43"/>
      <c r="Y18" s="44"/>
      <c r="Z18" s="44"/>
      <c r="AA18" s="44"/>
      <c r="AB18" s="44"/>
      <c r="AC18" s="44">
        <v>0.5</v>
      </c>
      <c r="AD18" s="137"/>
      <c r="AE18" s="412" t="s">
        <v>114</v>
      </c>
      <c r="AF18" s="431" t="s">
        <v>114</v>
      </c>
      <c r="AG18" s="428" t="s">
        <v>114</v>
      </c>
      <c r="AH18" s="488" t="s">
        <v>115</v>
      </c>
    </row>
    <row r="19" spans="1:34" ht="91.5" customHeight="1" thickBot="1" x14ac:dyDescent="0.4">
      <c r="A19" s="440"/>
      <c r="B19" s="440"/>
      <c r="C19" s="427"/>
      <c r="D19" s="427"/>
      <c r="E19" s="427"/>
      <c r="F19" s="425"/>
      <c r="G19" s="427"/>
      <c r="H19" s="427"/>
      <c r="I19" s="427"/>
      <c r="J19" s="417"/>
      <c r="K19" s="417"/>
      <c r="L19" s="418"/>
      <c r="M19" s="420"/>
      <c r="N19" s="420"/>
      <c r="O19" s="59" t="s">
        <v>98</v>
      </c>
      <c r="P19" s="52">
        <f>100%/8</f>
        <v>0.125</v>
      </c>
      <c r="Q19" s="65">
        <f t="shared" si="0"/>
        <v>1</v>
      </c>
      <c r="R19" s="42"/>
      <c r="S19" s="42"/>
      <c r="T19" s="42"/>
      <c r="U19" s="42">
        <v>0.25</v>
      </c>
      <c r="V19" s="42"/>
      <c r="W19" s="42"/>
      <c r="X19" s="42">
        <v>0.25</v>
      </c>
      <c r="Y19" s="42"/>
      <c r="Z19" s="42"/>
      <c r="AA19" s="42"/>
      <c r="AB19" s="42">
        <v>0.5</v>
      </c>
      <c r="AC19" s="42"/>
      <c r="AD19" s="138"/>
      <c r="AE19" s="412"/>
      <c r="AF19" s="431"/>
      <c r="AG19" s="428"/>
      <c r="AH19" s="488"/>
    </row>
    <row r="20" spans="1:34" ht="56.9" customHeight="1" thickBot="1" x14ac:dyDescent="0.4">
      <c r="A20" s="426">
        <v>4</v>
      </c>
      <c r="B20" s="426" t="s">
        <v>116</v>
      </c>
      <c r="C20" s="426" t="s">
        <v>117</v>
      </c>
      <c r="D20" s="426" t="s">
        <v>85</v>
      </c>
      <c r="E20" s="426" t="s">
        <v>118</v>
      </c>
      <c r="F20" s="424"/>
      <c r="G20" s="426" t="s">
        <v>119</v>
      </c>
      <c r="H20" s="426" t="s">
        <v>120</v>
      </c>
      <c r="I20" s="426" t="s">
        <v>89</v>
      </c>
      <c r="J20" s="416" t="s">
        <v>90</v>
      </c>
      <c r="K20" s="416" t="s">
        <v>91</v>
      </c>
      <c r="L20" s="416" t="s">
        <v>92</v>
      </c>
      <c r="M20" s="419">
        <v>46024</v>
      </c>
      <c r="N20" s="419">
        <v>46387</v>
      </c>
      <c r="O20" s="59" t="s">
        <v>93</v>
      </c>
      <c r="P20" s="53">
        <f>+(P21*Q20)</f>
        <v>0.125</v>
      </c>
      <c r="Q20" s="65">
        <f>SUM(R20:AD20)</f>
        <v>1</v>
      </c>
      <c r="R20" s="43"/>
      <c r="S20" s="43"/>
      <c r="T20" s="43"/>
      <c r="U20" s="43">
        <v>0.25</v>
      </c>
      <c r="V20" s="43"/>
      <c r="W20" s="43"/>
      <c r="X20" s="43">
        <v>0.25</v>
      </c>
      <c r="Y20" s="43"/>
      <c r="Z20" s="141">
        <v>0.25</v>
      </c>
      <c r="AA20" s="44"/>
      <c r="AB20" s="44"/>
      <c r="AC20" s="44">
        <v>0.25</v>
      </c>
      <c r="AD20" s="137"/>
      <c r="AE20" s="412" t="s">
        <v>121</v>
      </c>
      <c r="AF20" s="428" t="s">
        <v>122</v>
      </c>
      <c r="AG20" s="428" t="s">
        <v>123</v>
      </c>
      <c r="AH20" s="428" t="s">
        <v>97</v>
      </c>
    </row>
    <row r="21" spans="1:34" ht="37.4" customHeight="1" thickBot="1" x14ac:dyDescent="0.4">
      <c r="A21" s="440"/>
      <c r="B21" s="440"/>
      <c r="C21" s="427"/>
      <c r="D21" s="427"/>
      <c r="E21" s="427"/>
      <c r="F21" s="425"/>
      <c r="G21" s="427"/>
      <c r="H21" s="427"/>
      <c r="I21" s="427"/>
      <c r="J21" s="417"/>
      <c r="K21" s="417"/>
      <c r="L21" s="418"/>
      <c r="M21" s="420"/>
      <c r="N21" s="420"/>
      <c r="O21" s="59" t="s">
        <v>98</v>
      </c>
      <c r="P21" s="52">
        <f>100%/8</f>
        <v>0.125</v>
      </c>
      <c r="Q21" s="65">
        <f t="shared" si="0"/>
        <v>1</v>
      </c>
      <c r="R21" s="42"/>
      <c r="S21" s="42"/>
      <c r="T21" s="42"/>
      <c r="U21" s="42">
        <v>0.25</v>
      </c>
      <c r="V21" s="42"/>
      <c r="W21" s="42"/>
      <c r="X21" s="42">
        <v>0.25</v>
      </c>
      <c r="Y21" s="42"/>
      <c r="Z21" s="42"/>
      <c r="AA21" s="42">
        <v>0.25</v>
      </c>
      <c r="AB21" s="42"/>
      <c r="AC21" s="42"/>
      <c r="AD21" s="138">
        <v>0.25</v>
      </c>
      <c r="AE21" s="412"/>
      <c r="AF21" s="428"/>
      <c r="AG21" s="428"/>
      <c r="AH21" s="429"/>
    </row>
    <row r="22" spans="1:34" ht="56.9" customHeight="1" thickBot="1" x14ac:dyDescent="0.4">
      <c r="A22" s="426">
        <v>5</v>
      </c>
      <c r="B22" s="426" t="s">
        <v>124</v>
      </c>
      <c r="C22" s="426" t="s">
        <v>125</v>
      </c>
      <c r="D22" s="426" t="s">
        <v>85</v>
      </c>
      <c r="E22" s="426" t="s">
        <v>126</v>
      </c>
      <c r="F22" s="424"/>
      <c r="G22" s="426" t="s">
        <v>127</v>
      </c>
      <c r="H22" s="426" t="s">
        <v>128</v>
      </c>
      <c r="I22" s="426" t="s">
        <v>89</v>
      </c>
      <c r="J22" s="416" t="s">
        <v>90</v>
      </c>
      <c r="K22" s="416" t="s">
        <v>91</v>
      </c>
      <c r="L22" s="416" t="s">
        <v>92</v>
      </c>
      <c r="M22" s="419">
        <v>46024</v>
      </c>
      <c r="N22" s="419">
        <v>46387</v>
      </c>
      <c r="O22" s="59" t="s">
        <v>93</v>
      </c>
      <c r="P22" s="53">
        <f>+(P23*Q22)</f>
        <v>0.125</v>
      </c>
      <c r="Q22" s="65">
        <f>SUM(R22:AD22)</f>
        <v>1</v>
      </c>
      <c r="R22" s="43"/>
      <c r="S22" s="43"/>
      <c r="T22" s="43"/>
      <c r="U22" s="43">
        <v>0.25</v>
      </c>
      <c r="V22" s="43"/>
      <c r="W22" s="43"/>
      <c r="X22" s="43">
        <v>0.25</v>
      </c>
      <c r="Y22" s="43"/>
      <c r="Z22" s="141">
        <v>0.25</v>
      </c>
      <c r="AA22" s="44"/>
      <c r="AB22" s="44"/>
      <c r="AC22" s="44">
        <v>0.25</v>
      </c>
      <c r="AD22" s="137"/>
      <c r="AE22" s="412" t="s">
        <v>121</v>
      </c>
      <c r="AF22" s="428" t="s">
        <v>122</v>
      </c>
      <c r="AG22" s="428" t="s">
        <v>123</v>
      </c>
      <c r="AH22" s="428" t="s">
        <v>97</v>
      </c>
    </row>
    <row r="23" spans="1:34" ht="37.4" customHeight="1" thickBot="1" x14ac:dyDescent="0.4">
      <c r="A23" s="440"/>
      <c r="B23" s="440"/>
      <c r="C23" s="427"/>
      <c r="D23" s="427"/>
      <c r="E23" s="427"/>
      <c r="F23" s="425"/>
      <c r="G23" s="427"/>
      <c r="H23" s="427"/>
      <c r="I23" s="427"/>
      <c r="J23" s="417"/>
      <c r="K23" s="417"/>
      <c r="L23" s="418"/>
      <c r="M23" s="420"/>
      <c r="N23" s="420"/>
      <c r="O23" s="59" t="s">
        <v>98</v>
      </c>
      <c r="P23" s="52">
        <f>100%/8</f>
        <v>0.125</v>
      </c>
      <c r="Q23" s="65">
        <f t="shared" ref="Q23" si="1">SUM(R23:AD23)</f>
        <v>1</v>
      </c>
      <c r="R23" s="42"/>
      <c r="S23" s="42"/>
      <c r="T23" s="42"/>
      <c r="U23" s="42">
        <v>0.25</v>
      </c>
      <c r="V23" s="42"/>
      <c r="W23" s="42"/>
      <c r="X23" s="42">
        <v>0.25</v>
      </c>
      <c r="Y23" s="42"/>
      <c r="Z23" s="42"/>
      <c r="AA23" s="42">
        <v>0.25</v>
      </c>
      <c r="AB23" s="42"/>
      <c r="AC23" s="42"/>
      <c r="AD23" s="138">
        <v>0.25</v>
      </c>
      <c r="AE23" s="412"/>
      <c r="AF23" s="428"/>
      <c r="AG23" s="428"/>
      <c r="AH23" s="429"/>
    </row>
    <row r="24" spans="1:34" ht="143.15" customHeight="1" thickBot="1" x14ac:dyDescent="0.4">
      <c r="A24" s="426">
        <v>6</v>
      </c>
      <c r="B24" s="426" t="s">
        <v>99</v>
      </c>
      <c r="C24" s="426" t="s">
        <v>129</v>
      </c>
      <c r="D24" s="426" t="s">
        <v>130</v>
      </c>
      <c r="E24" s="426" t="s">
        <v>131</v>
      </c>
      <c r="F24" s="424"/>
      <c r="G24" s="442" t="s">
        <v>132</v>
      </c>
      <c r="H24" s="426" t="s">
        <v>133</v>
      </c>
      <c r="I24" s="426" t="s">
        <v>89</v>
      </c>
      <c r="J24" s="416" t="s">
        <v>90</v>
      </c>
      <c r="K24" s="416" t="s">
        <v>91</v>
      </c>
      <c r="L24" s="416" t="s">
        <v>92</v>
      </c>
      <c r="M24" s="419">
        <v>46024</v>
      </c>
      <c r="N24" s="419">
        <v>46387</v>
      </c>
      <c r="O24" s="59" t="s">
        <v>93</v>
      </c>
      <c r="P24" s="53">
        <f>+(P25*Q24)</f>
        <v>0.125</v>
      </c>
      <c r="Q24" s="65">
        <f t="shared" si="0"/>
        <v>1</v>
      </c>
      <c r="R24" s="45"/>
      <c r="S24" s="45"/>
      <c r="T24" s="45"/>
      <c r="U24" s="43">
        <v>0.25</v>
      </c>
      <c r="V24" s="43"/>
      <c r="W24" s="43"/>
      <c r="X24" s="43">
        <v>0.25</v>
      </c>
      <c r="Y24" s="43"/>
      <c r="Z24" s="44"/>
      <c r="AA24" s="44">
        <v>0.25</v>
      </c>
      <c r="AB24" s="44"/>
      <c r="AC24" s="44"/>
      <c r="AD24" s="137">
        <v>0.25</v>
      </c>
      <c r="AE24" s="412" t="s">
        <v>134</v>
      </c>
      <c r="AF24" s="428" t="s">
        <v>135</v>
      </c>
      <c r="AG24" s="428" t="s">
        <v>136</v>
      </c>
      <c r="AH24" s="488" t="s">
        <v>137</v>
      </c>
    </row>
    <row r="25" spans="1:34" ht="36.65" customHeight="1" thickBot="1" x14ac:dyDescent="0.4">
      <c r="A25" s="440"/>
      <c r="B25" s="440"/>
      <c r="C25" s="427"/>
      <c r="D25" s="427"/>
      <c r="E25" s="427"/>
      <c r="F25" s="425"/>
      <c r="G25" s="443"/>
      <c r="H25" s="427"/>
      <c r="I25" s="427"/>
      <c r="J25" s="417"/>
      <c r="K25" s="417"/>
      <c r="L25" s="418"/>
      <c r="M25" s="420"/>
      <c r="N25" s="420"/>
      <c r="O25" s="59" t="s">
        <v>98</v>
      </c>
      <c r="P25" s="52">
        <f>100%/8</f>
        <v>0.125</v>
      </c>
      <c r="Q25" s="65">
        <f t="shared" si="0"/>
        <v>1</v>
      </c>
      <c r="R25" s="42"/>
      <c r="S25" s="42"/>
      <c r="T25" s="42"/>
      <c r="U25" s="42">
        <v>0.25</v>
      </c>
      <c r="V25" s="42"/>
      <c r="W25" s="42"/>
      <c r="X25" s="42">
        <v>0.25</v>
      </c>
      <c r="Y25" s="42"/>
      <c r="Z25" s="42"/>
      <c r="AA25" s="42">
        <v>0.25</v>
      </c>
      <c r="AB25" s="42"/>
      <c r="AC25" s="42"/>
      <c r="AD25" s="138">
        <v>0.25</v>
      </c>
      <c r="AE25" s="412"/>
      <c r="AF25" s="428"/>
      <c r="AG25" s="428"/>
      <c r="AH25" s="488"/>
    </row>
    <row r="26" spans="1:34" ht="37.4" customHeight="1" thickBot="1" x14ac:dyDescent="0.4">
      <c r="A26" s="426">
        <v>7</v>
      </c>
      <c r="B26" s="426" t="s">
        <v>116</v>
      </c>
      <c r="C26" s="426" t="s">
        <v>117</v>
      </c>
      <c r="D26" s="426" t="s">
        <v>85</v>
      </c>
      <c r="E26" s="426" t="s">
        <v>118</v>
      </c>
      <c r="F26" s="424"/>
      <c r="G26" s="426" t="s">
        <v>138</v>
      </c>
      <c r="H26" s="426" t="s">
        <v>139</v>
      </c>
      <c r="I26" s="426" t="s">
        <v>89</v>
      </c>
      <c r="J26" s="416" t="s">
        <v>90</v>
      </c>
      <c r="K26" s="416" t="s">
        <v>91</v>
      </c>
      <c r="L26" s="416" t="s">
        <v>92</v>
      </c>
      <c r="M26" s="419">
        <v>46024</v>
      </c>
      <c r="N26" s="419">
        <v>46387</v>
      </c>
      <c r="O26" s="59" t="s">
        <v>93</v>
      </c>
      <c r="P26" s="53">
        <f>+(P27*Q26)</f>
        <v>0.125</v>
      </c>
      <c r="Q26" s="65">
        <f t="shared" si="0"/>
        <v>1</v>
      </c>
      <c r="R26" s="58"/>
      <c r="S26" s="58"/>
      <c r="T26" s="89">
        <v>0.25</v>
      </c>
      <c r="U26" s="43"/>
      <c r="V26" s="43"/>
      <c r="W26" s="43"/>
      <c r="X26" s="43">
        <v>0.25</v>
      </c>
      <c r="Y26" s="43"/>
      <c r="Z26" s="44"/>
      <c r="AA26" s="44">
        <v>0.25</v>
      </c>
      <c r="AB26" s="44"/>
      <c r="AC26" s="44">
        <v>0.25</v>
      </c>
      <c r="AD26" s="137"/>
      <c r="AE26" s="508"/>
      <c r="AF26" s="428" t="s">
        <v>140</v>
      </c>
      <c r="AG26" s="428" t="s">
        <v>141</v>
      </c>
      <c r="AH26" s="428" t="s">
        <v>97</v>
      </c>
    </row>
    <row r="27" spans="1:34" ht="93.65" customHeight="1" thickBot="1" x14ac:dyDescent="0.4">
      <c r="A27" s="440"/>
      <c r="B27" s="440"/>
      <c r="C27" s="427"/>
      <c r="D27" s="427"/>
      <c r="E27" s="427"/>
      <c r="F27" s="425"/>
      <c r="G27" s="427"/>
      <c r="H27" s="427"/>
      <c r="I27" s="427"/>
      <c r="J27" s="417"/>
      <c r="K27" s="417"/>
      <c r="L27" s="418"/>
      <c r="M27" s="420"/>
      <c r="N27" s="420"/>
      <c r="O27" s="59" t="s">
        <v>98</v>
      </c>
      <c r="P27" s="52">
        <f>100%/8</f>
        <v>0.125</v>
      </c>
      <c r="Q27" s="65">
        <f t="shared" si="0"/>
        <v>1</v>
      </c>
      <c r="R27" s="42"/>
      <c r="S27" s="42"/>
      <c r="T27" s="42"/>
      <c r="U27" s="42">
        <v>0.25</v>
      </c>
      <c r="V27" s="42"/>
      <c r="W27" s="42"/>
      <c r="X27" s="42">
        <v>0.25</v>
      </c>
      <c r="Y27" s="42"/>
      <c r="Z27" s="42"/>
      <c r="AA27" s="42">
        <v>0.25</v>
      </c>
      <c r="AB27" s="42"/>
      <c r="AC27" s="42"/>
      <c r="AD27" s="138">
        <v>0.25</v>
      </c>
      <c r="AE27" s="508"/>
      <c r="AF27" s="428"/>
      <c r="AG27" s="428"/>
      <c r="AH27" s="429"/>
    </row>
    <row r="28" spans="1:34" ht="74.900000000000006" customHeight="1" thickBot="1" x14ac:dyDescent="0.4">
      <c r="A28" s="426">
        <v>8</v>
      </c>
      <c r="B28" s="426" t="s">
        <v>116</v>
      </c>
      <c r="C28" s="445" t="s">
        <v>142</v>
      </c>
      <c r="D28" s="445" t="s">
        <v>100</v>
      </c>
      <c r="E28" s="445" t="s">
        <v>143</v>
      </c>
      <c r="F28" s="446"/>
      <c r="G28" s="445" t="s">
        <v>144</v>
      </c>
      <c r="H28" s="445" t="s">
        <v>145</v>
      </c>
      <c r="I28" s="426" t="s">
        <v>89</v>
      </c>
      <c r="J28" s="444" t="s">
        <v>90</v>
      </c>
      <c r="K28" s="444" t="s">
        <v>91</v>
      </c>
      <c r="L28" s="416" t="s">
        <v>92</v>
      </c>
      <c r="M28" s="419">
        <v>46024</v>
      </c>
      <c r="N28" s="419">
        <v>46387</v>
      </c>
      <c r="O28" s="59" t="s">
        <v>93</v>
      </c>
      <c r="P28" s="53">
        <f>+(P29*Q28)</f>
        <v>0.125</v>
      </c>
      <c r="Q28" s="65">
        <f t="shared" si="0"/>
        <v>1</v>
      </c>
      <c r="R28" s="45"/>
      <c r="S28" s="45"/>
      <c r="T28" s="45"/>
      <c r="U28" s="45"/>
      <c r="V28" s="45"/>
      <c r="W28" s="45"/>
      <c r="X28" s="45">
        <v>0.5</v>
      </c>
      <c r="Y28" s="45"/>
      <c r="Z28" s="45"/>
      <c r="AA28" s="45"/>
      <c r="AB28" s="45"/>
      <c r="AC28" s="45">
        <v>0.5</v>
      </c>
      <c r="AD28" s="139"/>
      <c r="AE28" s="509" t="s">
        <v>146</v>
      </c>
      <c r="AF28" s="428" t="s">
        <v>147</v>
      </c>
      <c r="AG28" s="428" t="s">
        <v>148</v>
      </c>
      <c r="AH28" s="428" t="s">
        <v>97</v>
      </c>
    </row>
    <row r="29" spans="1:34" ht="37.4" customHeight="1" thickBot="1" x14ac:dyDescent="0.4">
      <c r="A29" s="440"/>
      <c r="B29" s="440"/>
      <c r="C29" s="445"/>
      <c r="D29" s="445"/>
      <c r="E29" s="445"/>
      <c r="F29" s="446"/>
      <c r="G29" s="445"/>
      <c r="H29" s="445"/>
      <c r="I29" s="427"/>
      <c r="J29" s="444"/>
      <c r="K29" s="444"/>
      <c r="L29" s="418"/>
      <c r="M29" s="420"/>
      <c r="N29" s="420"/>
      <c r="O29" s="59" t="s">
        <v>98</v>
      </c>
      <c r="P29" s="52">
        <f>100%/8</f>
        <v>0.125</v>
      </c>
      <c r="Q29" s="65">
        <f t="shared" si="0"/>
        <v>1</v>
      </c>
      <c r="R29" s="42"/>
      <c r="S29" s="42"/>
      <c r="T29" s="42"/>
      <c r="U29" s="42"/>
      <c r="V29" s="42"/>
      <c r="W29" s="42"/>
      <c r="X29" s="42">
        <v>0.5</v>
      </c>
      <c r="Y29" s="42"/>
      <c r="Z29" s="42"/>
      <c r="AA29" s="42"/>
      <c r="AB29" s="42"/>
      <c r="AC29" s="42"/>
      <c r="AD29" s="138">
        <v>0.5</v>
      </c>
      <c r="AE29" s="510"/>
      <c r="AF29" s="429"/>
      <c r="AG29" s="429"/>
      <c r="AH29" s="429"/>
    </row>
    <row r="30" spans="1:34" ht="37.4" customHeight="1" thickBot="1" x14ac:dyDescent="0.4">
      <c r="A30" s="445">
        <v>9</v>
      </c>
      <c r="B30" s="445" t="s">
        <v>116</v>
      </c>
      <c r="C30" s="445" t="s">
        <v>117</v>
      </c>
      <c r="D30" s="445" t="s">
        <v>85</v>
      </c>
      <c r="E30" s="445" t="s">
        <v>149</v>
      </c>
      <c r="F30" s="446"/>
      <c r="G30" s="445" t="s">
        <v>150</v>
      </c>
      <c r="H30" s="445" t="s">
        <v>151</v>
      </c>
      <c r="I30" s="426" t="s">
        <v>89</v>
      </c>
      <c r="J30" s="444" t="s">
        <v>90</v>
      </c>
      <c r="K30" s="444" t="s">
        <v>91</v>
      </c>
      <c r="L30" s="444" t="s">
        <v>92</v>
      </c>
      <c r="M30" s="419">
        <v>46024</v>
      </c>
      <c r="N30" s="419">
        <v>46387</v>
      </c>
      <c r="O30" s="59" t="s">
        <v>93</v>
      </c>
      <c r="P30" s="53">
        <f>+(P31*Q30)</f>
        <v>0.125</v>
      </c>
      <c r="Q30" s="65">
        <f>SUM(R30:AD30)</f>
        <v>1</v>
      </c>
      <c r="R30" s="45"/>
      <c r="S30" s="45"/>
      <c r="T30" s="45"/>
      <c r="U30" s="45"/>
      <c r="V30" s="45"/>
      <c r="W30" s="45"/>
      <c r="X30" s="45"/>
      <c r="Y30" s="45"/>
      <c r="Z30" s="45"/>
      <c r="AA30" s="45"/>
      <c r="AB30" s="45"/>
      <c r="AC30" s="45">
        <v>1</v>
      </c>
      <c r="AD30" s="139"/>
      <c r="AE30" s="509" t="s">
        <v>152</v>
      </c>
      <c r="AF30" s="509" t="s">
        <v>152</v>
      </c>
      <c r="AG30" s="509" t="s">
        <v>152</v>
      </c>
      <c r="AH30" s="428" t="s">
        <v>97</v>
      </c>
    </row>
    <row r="31" spans="1:34" ht="63.9" customHeight="1" thickBot="1" x14ac:dyDescent="0.4">
      <c r="A31" s="445"/>
      <c r="B31" s="445"/>
      <c r="C31" s="445"/>
      <c r="D31" s="445"/>
      <c r="E31" s="445"/>
      <c r="F31" s="446"/>
      <c r="G31" s="445"/>
      <c r="H31" s="445"/>
      <c r="I31" s="427"/>
      <c r="J31" s="444"/>
      <c r="K31" s="444"/>
      <c r="L31" s="444"/>
      <c r="M31" s="420"/>
      <c r="N31" s="420"/>
      <c r="O31" s="59" t="s">
        <v>98</v>
      </c>
      <c r="P31" s="52">
        <f>100%/8</f>
        <v>0.125</v>
      </c>
      <c r="Q31" s="65">
        <f>SUM(R31:AD31)</f>
        <v>1</v>
      </c>
      <c r="R31" s="42"/>
      <c r="S31" s="42"/>
      <c r="T31" s="42"/>
      <c r="U31" s="42"/>
      <c r="V31" s="42"/>
      <c r="W31" s="42"/>
      <c r="X31" s="42"/>
      <c r="Y31" s="42"/>
      <c r="Z31" s="42"/>
      <c r="AA31" s="42"/>
      <c r="AB31" s="42"/>
      <c r="AC31" s="42">
        <v>1</v>
      </c>
      <c r="AD31" s="138"/>
      <c r="AE31" s="510"/>
      <c r="AF31" s="510"/>
      <c r="AG31" s="510"/>
      <c r="AH31" s="429"/>
    </row>
    <row r="32" spans="1:34" ht="15" hidden="1" customHeight="1" x14ac:dyDescent="0.35"/>
    <row r="33" spans="4:30" s="13" customFormat="1" ht="30" hidden="1" customHeight="1" x14ac:dyDescent="0.35">
      <c r="D33" s="421" t="s">
        <v>41</v>
      </c>
      <c r="E33" s="421"/>
      <c r="F33" s="21">
        <v>1</v>
      </c>
      <c r="H33" s="22" t="s">
        <v>153</v>
      </c>
      <c r="I33" s="54" t="e">
        <f>SUM(N33:AC33)</f>
        <v>#REF!</v>
      </c>
      <c r="J33" s="33"/>
      <c r="K33" s="33"/>
      <c r="L33" s="33"/>
      <c r="M33" s="33"/>
      <c r="N33" s="33" t="e">
        <f>+(V14*$P$15)+(V16*$P$17)+(V18*$P$19)+(V20*$P$21)+(V24*$P$25)+(V27*$P$27)+(#REF!*$P$29)+(#REF!*#REF!)+(#REF!*#REF!)+(#REF!*#REF!)+(#REF!*#REF!)+(#REF!*#REF!)+(#REF!*#REF!)</f>
        <v>#REF!</v>
      </c>
      <c r="O33" s="33" t="e">
        <f>+(AC14*$P$15)+(AC16*$P$17)+(AC18*$P$19)+(AC20*$P$21)+(AC24*$P$25)+(AC27*$P$27)+(#REF!*$P$29)+(#REF!*#REF!)+(#REF!*#REF!)+(#REF!*#REF!)+(#REF!*#REF!)+(#REF!*#REF!)+(#REF!*#REF!)</f>
        <v>#REF!</v>
      </c>
      <c r="P33" s="36" t="e">
        <f>+(#REF!*$P$15)+(#REF!*$P$17)+(#REF!*$P$19)+(#REF!*$P$21)+(#REF!*$P$25)+(#REF!*$P$27)+(#REF!*$P$29)+(#REF!*#REF!)+(#REF!*#REF!)+(#REF!*#REF!)+(#REF!*#REF!)+(#REF!*#REF!)+(#REF!*#REF!)</f>
        <v>#REF!</v>
      </c>
      <c r="Q33" s="33" t="e">
        <f>+(#REF!*$P$15)+(#REF!*$P$17)+(#REF!*$P$19)+(#REF!*$P$21)+(#REF!*$P$25)+(#REF!*$P$27)+(#REF!*$P$29)+(#REF!*#REF!)+(#REF!*#REF!)+(#REF!*#REF!)+(#REF!*#REF!)+(#REF!*#REF!)+(#REF!*#REF!)</f>
        <v>#REF!</v>
      </c>
      <c r="R33" s="33" t="e">
        <f>+(#REF!*$P$15)+(#REF!*$P$17)+(#REF!*$P$19)+(#REF!*$P$21)+(#REF!*$P$25)+(#REF!*$P$27)+(#REF!*$P$29)+(#REF!*#REF!)+(#REF!*#REF!)+(#REF!*#REF!)+(#REF!*#REF!)+(#REF!*#REF!)+(#REF!*#REF!)</f>
        <v>#REF!</v>
      </c>
      <c r="S33" s="33" t="e">
        <f>+(#REF!*$P$15)+(#REF!*$P$17)+(#REF!*$P$19)+(#REF!*$P$21)+(#REF!*$P$25)+(#REF!*$P$27)+(#REF!*$P$29)+(#REF!*#REF!)+(#REF!*#REF!)+(#REF!*#REF!)+(#REF!*#REF!)+(#REF!*#REF!)+(#REF!*#REF!)</f>
        <v>#REF!</v>
      </c>
      <c r="T33" s="33" t="e">
        <f>+(#REF!*$P$15)+(#REF!*$P$17)+(#REF!*$P$19)+(#REF!*$P$21)+(#REF!*$P$25)+(#REF!*$P$27)+(S29*$P$29)+(#REF!*#REF!)+(#REF!*#REF!)+(#REF!*#REF!)+(#REF!*#REF!)+(#REF!*#REF!)+(#REF!*#REF!)</f>
        <v>#REF!</v>
      </c>
      <c r="U33" s="33" t="e">
        <f>+(#REF!*$P$15)+(#REF!*$P$17)+(#REF!*$P$19)+(#REF!*$P$21)+(#REF!*$P$25)+(#REF!*$P$27)+(T29*$P$29)+(#REF!*#REF!)+(#REF!*#REF!)+(#REF!*#REF!)+(#REF!*#REF!)+(#REF!*#REF!)+(#REF!*#REF!)</f>
        <v>#REF!</v>
      </c>
      <c r="V33" s="33" t="e">
        <f>+(#REF!*$P$15)+(#REF!*$P$17)+(#REF!*$P$19)+(#REF!*$P$21)+(#REF!*$P$25)+(#REF!*$P$27)+(U29*$P$29)+(#REF!*#REF!)+(#REF!*#REF!)+(#REF!*#REF!)+(#REF!*#REF!)+(#REF!*#REF!)+(#REF!*#REF!)</f>
        <v>#REF!</v>
      </c>
      <c r="W33" s="33" t="e">
        <f>+(#REF!*$P$15)+(#REF!*$P$17)+(#REF!*$P$19)+(#REF!*$P$21)+(#REF!*$P$25)+(#REF!*$P$27)+(V29*$P$29)+(#REF!*#REF!)+(#REF!*#REF!)+(#REF!*#REF!)+(#REF!*#REF!)+(#REF!*#REF!)+(#REF!*#REF!)</f>
        <v>#REF!</v>
      </c>
      <c r="X33" s="33" t="e">
        <f>+(#REF!*$P$15)+(#REF!*$P$17)+(#REF!*$P$19)+(#REF!*$P$21)+(#REF!*$P$25)+(#REF!*$P$27)+(W29*$P$29)+(#REF!*#REF!)+(#REF!*#REF!)+(#REF!*#REF!)+(#REF!*#REF!)+(#REF!*#REF!)+(#REF!*#REF!)</f>
        <v>#REF!</v>
      </c>
      <c r="Y33" s="33" t="e">
        <f>+(#REF!*$P$15)+(#REF!*$P$17)+(#REF!*$P$19)+(#REF!*$P$21)+(#REF!*$P$25)+(#REF!*$P$27)+(X29*$P$29)+(#REF!*#REF!)+(#REF!*#REF!)+(#REF!*#REF!)+(#REF!*#REF!)+(#REF!*#REF!)+(#REF!*#REF!)</f>
        <v>#REF!</v>
      </c>
      <c r="Z33" s="33" t="e">
        <f>+(#REF!*$P$15)+(#REF!*$P$17)+(#REF!*$P$19)+(#REF!*$P$21)+(#REF!*$P$25)+(#REF!*$P$27)+(Y29*$P$29)+(#REF!*#REF!)+(#REF!*#REF!)+(#REF!*#REF!)+(#REF!*#REF!)+(#REF!*#REF!)+(#REF!*#REF!)</f>
        <v>#REF!</v>
      </c>
      <c r="AA33" s="33" t="e">
        <f>+(#REF!*$P$15)+(#REF!*$P$17)+(#REF!*$P$19)+(#REF!*$P$21)+(#REF!*$P$25)+(#REF!*$P$27)+(Z29*$P$29)+(#REF!*#REF!)+(#REF!*#REF!)+(#REF!*#REF!)+(#REF!*#REF!)+(#REF!*#REF!)+(#REF!*#REF!)</f>
        <v>#REF!</v>
      </c>
      <c r="AB33" s="36" t="e">
        <f>+(#REF!*$P$15)+(#REF!*$P$17)+(#REF!*$P$19)+(#REF!*$P$21)+(#REF!*$P$25)+(#REF!*$P$27)+(AA29*$P$29)+(#REF!*#REF!)+(#REF!*#REF!)+(#REF!*#REF!)+(#REF!*#REF!)+(#REF!*#REF!)+(#REF!*#REF!)</f>
        <v>#REF!</v>
      </c>
      <c r="AC33" s="33" t="e">
        <f>+(#REF!*$P$15)+(#REF!*$P$17)+(#REF!*$P$19)+(#REF!*$P$21)+(#REF!*$P$25)+(#REF!*$P$27)+(AB29*$P$29)+(#REF!*#REF!)+(#REF!*#REF!)+(#REF!*#REF!)+(#REF!*#REF!)+(#REF!*#REF!)+(#REF!*#REF!)</f>
        <v>#REF!</v>
      </c>
      <c r="AD33" s="60"/>
    </row>
    <row r="34" spans="4:30" s="13" customFormat="1" ht="30" hidden="1" customHeight="1" x14ac:dyDescent="0.35">
      <c r="D34" s="421"/>
      <c r="E34" s="421"/>
      <c r="F34" s="21"/>
      <c r="H34" s="15" t="s">
        <v>154</v>
      </c>
      <c r="I34" s="17"/>
      <c r="J34" s="34"/>
      <c r="K34" s="34"/>
      <c r="L34" s="34"/>
      <c r="M34" s="34"/>
      <c r="N34" s="34"/>
      <c r="O34" s="34" t="e">
        <f>SUM(O33:O33)</f>
        <v>#REF!</v>
      </c>
      <c r="P34" s="37"/>
      <c r="Q34" s="34"/>
      <c r="R34" s="34"/>
      <c r="S34" s="27" t="e">
        <f>SUM(P33:S33)</f>
        <v>#REF!</v>
      </c>
      <c r="T34" s="27"/>
      <c r="U34" s="27"/>
      <c r="V34" s="27"/>
      <c r="W34" s="27" t="e">
        <f>SUM(T33:W33)</f>
        <v>#REF!</v>
      </c>
      <c r="X34" s="27"/>
      <c r="Y34" s="27"/>
      <c r="Z34" s="27"/>
      <c r="AA34" s="27" t="e">
        <f>SUM(X33:AA33)</f>
        <v>#REF!</v>
      </c>
      <c r="AB34" s="39"/>
      <c r="AC34" s="27"/>
      <c r="AD34" s="61"/>
    </row>
    <row r="35" spans="4:30" s="13" customFormat="1" ht="30" hidden="1" customHeight="1" x14ac:dyDescent="0.35">
      <c r="H35" s="15" t="s">
        <v>155</v>
      </c>
      <c r="I35" s="14"/>
      <c r="J35" s="34"/>
      <c r="K35" s="34"/>
      <c r="L35" s="34"/>
      <c r="M35" s="34"/>
      <c r="N35" s="34"/>
      <c r="O35" s="34" t="e">
        <f>+#REF!+O34</f>
        <v>#REF!</v>
      </c>
      <c r="P35" s="37"/>
      <c r="Q35" s="34"/>
      <c r="R35" s="34"/>
      <c r="S35" s="26"/>
      <c r="T35" s="27"/>
      <c r="U35" s="27"/>
      <c r="V35" s="27"/>
      <c r="W35" s="27"/>
      <c r="X35" s="27"/>
      <c r="Y35" s="27"/>
      <c r="Z35" s="27"/>
      <c r="AA35" s="27" t="e">
        <f>+S34+W34+AA34</f>
        <v>#REF!</v>
      </c>
      <c r="AB35" s="39"/>
      <c r="AC35" s="27"/>
      <c r="AD35" s="61"/>
    </row>
    <row r="36" spans="4:30" s="13" customFormat="1" ht="30" hidden="1" customHeight="1" thickBot="1" x14ac:dyDescent="0.4">
      <c r="H36" s="18" t="s">
        <v>156</v>
      </c>
      <c r="I36" s="19"/>
      <c r="J36" s="35"/>
      <c r="K36" s="35"/>
      <c r="L36" s="35"/>
      <c r="M36" s="35"/>
      <c r="N36" s="35"/>
      <c r="O36" s="35"/>
      <c r="P36" s="38"/>
      <c r="Q36" s="35"/>
      <c r="R36" s="35"/>
      <c r="S36" s="28"/>
      <c r="T36" s="29"/>
      <c r="U36" s="29"/>
      <c r="V36" s="29"/>
      <c r="W36" s="29"/>
      <c r="X36" s="29"/>
      <c r="Y36" s="29"/>
      <c r="Z36" s="29"/>
      <c r="AA36" s="29" t="e">
        <f>+O35+AA35</f>
        <v>#REF!</v>
      </c>
      <c r="AB36" s="40"/>
      <c r="AC36" s="29"/>
      <c r="AD36" s="61"/>
    </row>
    <row r="37" spans="4:30" s="13" customFormat="1" ht="30" hidden="1" customHeight="1" x14ac:dyDescent="0.35">
      <c r="H37" s="15" t="s">
        <v>157</v>
      </c>
      <c r="I37" s="23" t="e">
        <f>SUM(N37:AC37)</f>
        <v>#REF!</v>
      </c>
      <c r="J37" s="34"/>
      <c r="K37" s="34"/>
      <c r="L37" s="34"/>
      <c r="M37" s="34"/>
      <c r="N37" s="34" t="e">
        <f>+(V15*$P$15)+(V17*$P$17)+(#REF!*$P$19)+(V21*$P$21)+(#REF!*$P$25)+(V28*$P$27)+(#REF!*$P$29)+(#REF!*#REF!)+(#REF!*#REF!)+(#REF!*#REF!)+(#REF!*#REF!)+(#REF!*#REF!)+(#REF!*#REF!)</f>
        <v>#REF!</v>
      </c>
      <c r="O37" s="34" t="e">
        <f>+(AC15*$P$15)+(AC17*$P$17)+(AC19*$P$19)+(AC21*$P$21)+(#REF!*$P$25)+(AC28*$P$27)+(#REF!*$P$29)+(#REF!*#REF!)+(#REF!*#REF!)+(#REF!*#REF!)+(#REF!*#REF!)+(#REF!*#REF!)+(#REF!*#REF!)</f>
        <v>#REF!</v>
      </c>
      <c r="P37" s="37" t="e">
        <f>+(#REF!*$P$15)+(#REF!*$P$17)+(#REF!*$P$19)+(#REF!*$P$21)+(#REF!*$P$25)+(#REF!*$P$27)+(#REF!*$P$29)+(#REF!*#REF!)+(#REF!*#REF!)+(#REF!*#REF!)+(#REF!*#REF!)+(#REF!*#REF!)+(#REF!*#REF!)</f>
        <v>#REF!</v>
      </c>
      <c r="Q37" s="34" t="e">
        <f>+(#REF!*$P$15)+(#REF!*$P$17)+(#REF!*$P$19)+(#REF!*$P$21)+(#REF!*$P$25)+(#REF!*$P$27)+(#REF!*$P$29)+(#REF!*#REF!)+(#REF!*#REF!)+(#REF!*#REF!)+(#REF!*#REF!)+(#REF!*#REF!)+(#REF!*#REF!)</f>
        <v>#REF!</v>
      </c>
      <c r="R37" s="34" t="e">
        <f>+(#REF!*$P$15)+(#REF!*$P$17)+(#REF!*$P$19)+(#REF!*$P$21)+(#REF!*$P$25)+(#REF!*$P$27)+(#REF!*$P$29)+(#REF!*#REF!)+(#REF!*#REF!)+(#REF!*#REF!)+(#REF!*#REF!)+(#REF!*#REF!)+(#REF!*#REF!)</f>
        <v>#REF!</v>
      </c>
      <c r="S37" s="34" t="e">
        <f>+(#REF!*$P$15)+(#REF!*$P$17)+(#REF!*$P$19)+(#REF!*$P$21)+(#REF!*$P$25)+(#REF!*$P$27)+(R28*$P$29)+(#REF!*#REF!)+(#REF!*#REF!)+(#REF!*#REF!)+(#REF!*#REF!)+(#REF!*#REF!)+(#REF!*#REF!)</f>
        <v>#REF!</v>
      </c>
      <c r="T37" s="34" t="e">
        <f>+(#REF!*$P$15)+(#REF!*$P$17)+(#REF!*$P$19)+(#REF!*$P$21)+(#REF!*$P$25)+(#REF!*$P$27)+(#REF!*$P$29)+(#REF!*#REF!)+(#REF!*#REF!)+(#REF!*#REF!)+(#REF!*#REF!)+(#REF!*#REF!)+(#REF!*#REF!)</f>
        <v>#REF!</v>
      </c>
      <c r="U37" s="34" t="e">
        <f>+(#REF!*$P$15)+(#REF!*$P$17)+(#REF!*$P$19)+(#REF!*$P$21)+(#REF!*$P$25)+(#REF!*$P$27)+(#REF!*$P$29)+(#REF!*#REF!)+(#REF!*#REF!)+(#REF!*#REF!)+(#REF!*#REF!)+(#REF!*#REF!)+(#REF!*#REF!)</f>
        <v>#REF!</v>
      </c>
      <c r="V37" s="34" t="e">
        <f>+(#REF!*$P$15)+(#REF!*$P$17)+(#REF!*$P$19)+(#REF!*$P$21)+(#REF!*$P$25)+(#REF!*$P$27)+(#REF!*$P$29)+(#REF!*#REF!)+(#REF!*#REF!)+(#REF!*#REF!)+(#REF!*#REF!)+(#REF!*#REF!)+(#REF!*#REF!)</f>
        <v>#REF!</v>
      </c>
      <c r="W37" s="34" t="e">
        <f>+(#REF!*$P$15)+(#REF!*$P$17)+(#REF!*$P$19)+(#REF!*$P$21)+(#REF!*$P$25)+(#REF!*$P$27)+(#REF!*$P$29)+(#REF!*#REF!)+(#REF!*#REF!)+(#REF!*#REF!)+(#REF!*#REF!)+(#REF!*#REF!)+(#REF!*#REF!)</f>
        <v>#REF!</v>
      </c>
      <c r="X37" s="34" t="e">
        <f>+(#REF!*$P$15)+(#REF!*$P$17)+(#REF!*$P$19)+(#REF!*$P$21)+(#REF!*$P$25)+(#REF!*$P$27)+(#REF!*$P$29)+(#REF!*#REF!)+(#REF!*#REF!)+(#REF!*#REF!)+(#REF!*#REF!)+(#REF!*#REF!)+(#REF!*#REF!)</f>
        <v>#REF!</v>
      </c>
      <c r="Y37" s="34" t="e">
        <f>+(#REF!*$P$15)+(#REF!*$P$17)+(#REF!*$P$19)+(#REF!*$P$21)+(#REF!*$P$25)+(#REF!*$P$27)+(#REF!*$P$29)+(#REF!*#REF!)+(#REF!*#REF!)+(#REF!*#REF!)+(#REF!*#REF!)+(#REF!*#REF!)+(#REF!*#REF!)</f>
        <v>#REF!</v>
      </c>
      <c r="Z37" s="34" t="e">
        <f>+(#REF!*$P$15)+(#REF!*$P$17)+(#REF!*$P$19)+(#REF!*$P$21)+(#REF!*$P$25)+(#REF!*$P$27)+(#REF!*$P$29)+(#REF!*#REF!)+(#REF!*#REF!)+(#REF!*#REF!)+(#REF!*#REF!)+(#REF!*#REF!)+(#REF!*#REF!)</f>
        <v>#REF!</v>
      </c>
      <c r="AA37" s="34" t="e">
        <f>+(#REF!*$P$15)+(#REF!*$P$17)+(#REF!*$P$19)+(#REF!*$P$21)+(#REF!*$P$25)+(#REF!*$P$27)+(#REF!*$P$29)+(#REF!*#REF!)+(#REF!*#REF!)+(#REF!*#REF!)+(#REF!*#REF!)+(#REF!*#REF!)+(#REF!*#REF!)</f>
        <v>#REF!</v>
      </c>
      <c r="AB37" s="37" t="e">
        <f>+(#REF!*$P$15)+(#REF!*$P$17)+(#REF!*$P$19)+(#REF!*$P$21)+(#REF!*$P$25)+(#REF!*$P$27)+(#REF!*$P$29)+(#REF!*#REF!)+(#REF!*#REF!)+(#REF!*#REF!)+(#REF!*#REF!)+(#REF!*#REF!)+(#REF!*#REF!)</f>
        <v>#REF!</v>
      </c>
      <c r="AC37" s="34" t="e">
        <f>+(#REF!*$P$15)+(#REF!*$P$17)+(#REF!*$P$19)+(#REF!*$P$21)+(#REF!*$P$25)+(#REF!*$P$27)+(#REF!*$P$29)+(#REF!*#REF!)+(#REF!*#REF!)+(#REF!*#REF!)+(#REF!*#REF!)+(#REF!*#REF!)+(#REF!*#REF!)</f>
        <v>#REF!</v>
      </c>
      <c r="AD37" s="60"/>
    </row>
    <row r="38" spans="4:30" s="13" customFormat="1" ht="30" hidden="1" customHeight="1" x14ac:dyDescent="0.35">
      <c r="H38" s="15" t="s">
        <v>158</v>
      </c>
      <c r="I38" s="16"/>
      <c r="J38" s="34"/>
      <c r="K38" s="34"/>
      <c r="L38" s="34"/>
      <c r="M38" s="34"/>
      <c r="N38" s="34"/>
      <c r="O38" s="34" t="e">
        <f>SUM(O37:O37)</f>
        <v>#REF!</v>
      </c>
      <c r="P38" s="37"/>
      <c r="Q38" s="34"/>
      <c r="R38" s="34"/>
      <c r="S38" s="34" t="e">
        <f>SUM(P37:S37)</f>
        <v>#REF!</v>
      </c>
      <c r="T38" s="34"/>
      <c r="U38" s="34"/>
      <c r="V38" s="34"/>
      <c r="W38" s="34" t="e">
        <f>SUM(T37:W37)</f>
        <v>#REF!</v>
      </c>
      <c r="X38" s="34"/>
      <c r="Y38" s="34"/>
      <c r="Z38" s="34"/>
      <c r="AA38" s="34" t="e">
        <f>SUM(X37:AA37)</f>
        <v>#REF!</v>
      </c>
      <c r="AB38" s="37"/>
      <c r="AC38" s="34"/>
      <c r="AD38" s="60"/>
    </row>
    <row r="39" spans="4:30" s="13" customFormat="1" ht="30" hidden="1" customHeight="1" x14ac:dyDescent="0.35">
      <c r="H39" s="15" t="s">
        <v>159</v>
      </c>
      <c r="I39" s="14"/>
      <c r="J39" s="34"/>
      <c r="K39" s="34"/>
      <c r="L39" s="34"/>
      <c r="M39" s="34"/>
      <c r="N39" s="34"/>
      <c r="O39" s="34" t="e">
        <f>+#REF!+O38</f>
        <v>#REF!</v>
      </c>
      <c r="P39" s="37"/>
      <c r="Q39" s="34"/>
      <c r="R39" s="34"/>
      <c r="S39" s="26"/>
      <c r="T39" s="27"/>
      <c r="U39" s="27"/>
      <c r="V39" s="27"/>
      <c r="W39" s="27"/>
      <c r="X39" s="27"/>
      <c r="Y39" s="27"/>
      <c r="Z39" s="27"/>
      <c r="AA39" s="27" t="e">
        <f>+S38+W38+AA38</f>
        <v>#REF!</v>
      </c>
      <c r="AB39" s="39"/>
      <c r="AC39" s="27"/>
      <c r="AD39" s="61"/>
    </row>
    <row r="40" spans="4:30" s="13" customFormat="1" ht="30" hidden="1" customHeight="1" thickBot="1" x14ac:dyDescent="0.4">
      <c r="H40" s="20" t="s">
        <v>160</v>
      </c>
      <c r="I40" s="19"/>
      <c r="J40" s="35"/>
      <c r="K40" s="35"/>
      <c r="L40" s="35"/>
      <c r="M40" s="35"/>
      <c r="N40" s="35"/>
      <c r="O40" s="35"/>
      <c r="P40" s="38"/>
      <c r="Q40" s="35"/>
      <c r="R40" s="35"/>
      <c r="S40" s="28"/>
      <c r="T40" s="29"/>
      <c r="U40" s="29"/>
      <c r="V40" s="29"/>
      <c r="W40" s="29"/>
      <c r="X40" s="29"/>
      <c r="Y40" s="29"/>
      <c r="Z40" s="29"/>
      <c r="AA40" s="29" t="e">
        <f>+O39+AA39</f>
        <v>#REF!</v>
      </c>
      <c r="AB40" s="40"/>
      <c r="AC40" s="41"/>
      <c r="AD40" s="61"/>
    </row>
    <row r="41" spans="4:30" ht="30" hidden="1" customHeight="1" x14ac:dyDescent="0.35">
      <c r="H41" s="422" t="s">
        <v>161</v>
      </c>
      <c r="I41" s="422"/>
      <c r="J41" s="46"/>
      <c r="K41" s="46"/>
      <c r="L41" s="46"/>
      <c r="M41" s="46"/>
      <c r="N41" s="46" t="e">
        <f>+N33/N37</f>
        <v>#REF!</v>
      </c>
      <c r="O41" s="47" t="e">
        <f>+(N33+#REF!+#REF!+#REF!+#REF!+#REF!+#REF!+O33)/(N37+#REF!+#REF!+#REF!+#REF!+#REF!+#REF!+O37)</f>
        <v>#REF!</v>
      </c>
      <c r="P41" s="48" t="e">
        <f>+(N33+#REF!+#REF!+#REF!+#REF!+#REF!+#REF!+O33+P33)/(N37+#REF!+#REF!+#REF!+#REF!+#REF!+#REF!+O37+P37)</f>
        <v>#REF!</v>
      </c>
      <c r="Q41" s="46" t="e">
        <f>+(N33+#REF!+#REF!+#REF!+#REF!+#REF!+#REF!+O33+P33+Q33)/(N37+#REF!+#REF!+#REF!+#REF!+#REF!+#REF!+O37+P37+Q37)</f>
        <v>#REF!</v>
      </c>
      <c r="R41" s="46" t="e">
        <f>+(N33+#REF!+#REF!+#REF!+#REF!+#REF!+#REF!+O33+P33+Q33+R33)/(N37+#REF!+#REF!+#REF!+#REF!+#REF!+#REF!+O37+P37+Q37+R37)</f>
        <v>#REF!</v>
      </c>
      <c r="S41" s="47" t="e">
        <f>+(N33+#REF!+#REF!+#REF!+#REF!+#REF!+#REF!+O33+P33+Q33+R33+S33)/(N37+#REF!+#REF!+#REF!+#REF!+#REF!+#REF!+O37+P37+Q37+R37+S37)</f>
        <v>#REF!</v>
      </c>
      <c r="T41" s="46" t="e">
        <f>+(N33+#REF!+#REF!+#REF!+#REF!+#REF!+#REF!+O33+P33+Q33+R33+S33+T33)/(N37+#REF!+#REF!+#REF!+#REF!+#REF!+#REF!+O37+P37+Q37+R37+S37+T37)</f>
        <v>#REF!</v>
      </c>
      <c r="U41" s="46" t="e">
        <f>+(N33+#REF!+#REF!+#REF!+#REF!+#REF!+#REF!+O33+P33+Q33+R33+S33+T33+U33)/(N37+#REF!+#REF!+#REF!+#REF!+#REF!+#REF!+O37+P37+Q37+R37+S37+T37+U37)</f>
        <v>#REF!</v>
      </c>
      <c r="V41" s="46" t="e">
        <f>+(N33+#REF!+#REF!+#REF!+#REF!+#REF!+#REF!+O33+P33+Q33+R33+S33+T33+U33+V33)/(N37+#REF!+#REF!+#REF!+#REF!+#REF!+#REF!+O37+P37+Q37+R37+S37+T37+U37+V37)</f>
        <v>#REF!</v>
      </c>
      <c r="W41" s="47" t="e">
        <f>+(N33+#REF!+#REF!+#REF!+#REF!+#REF!+#REF!+O33+P33+Q33+R33+S33+T33+U33+V33+W33)/(N37+#REF!+#REF!+#REF!+#REF!+#REF!+#REF!+O37+P37+Q37+R37+S37+T37+U37+V37+W37)</f>
        <v>#REF!</v>
      </c>
      <c r="X41" s="46" t="e">
        <f>+(N33+#REF!+#REF!+#REF!+#REF!+#REF!+#REF!+O33+P33+Q33+R33+S33+T33+U33+V33+W33+X33)/(N37+#REF!+#REF!+#REF!+#REF!+#REF!+#REF!+O37+P37+Q37+R37+S37+T37+U37+V37+W37+X37)</f>
        <v>#REF!</v>
      </c>
      <c r="Y41" s="46" t="e">
        <f>+(N33+#REF!+#REF!+#REF!+#REF!+#REF!+#REF!+O33+P33+Q33+R33+S33+T33+U33+V33+W33+X33+Y33)/(N37+#REF!+#REF!+#REF!+#REF!+#REF!+#REF!+O37+P37+Q37+R37+S37+T37+U37+V37+W37+X37+Y37)</f>
        <v>#REF!</v>
      </c>
      <c r="Z41" s="46" t="e">
        <f>+(N33+#REF!+#REF!+#REF!+#REF!+#REF!+#REF!+O33+P33+Q33+R33+S33+T33+U33+V33+W33+X33+Y33+Z33)/(N37+#REF!+#REF!+#REF!+#REF!+#REF!+#REF!+O37+P37+Q37+R37+S37+T37+U37+V37+W37+X37+Y37+Z37)</f>
        <v>#REF!</v>
      </c>
      <c r="AA41" s="47" t="e">
        <f>+(N33+#REF!+#REF!+#REF!+#REF!+#REF!+#REF!+O33+P33+Q33+R33+S33+T33+U33+V33+W33+X33+Y33+Z33+AA33)/(N37+#REF!+#REF!+#REF!+#REF!+#REF!+#REF!+O37+P37+Q37+R37+S37+T37+U37+V37+W37+X37+Y37+Z37+AA37)</f>
        <v>#REF!</v>
      </c>
      <c r="AB41" s="48" t="e">
        <f>+(N33+#REF!+#REF!+#REF!+#REF!+#REF!+#REF!+O33+P33+Q33+R33+S33+T33+U33+V33+W33+X33+Y33+Z33+AA33+AB33)/(N37+#REF!+#REF!+#REF!+#REF!+#REF!+#REF!+O37+P37+Q37+R37+S37+T37+U37+V37+W37+X37+Y37+Z37+AA37+AB37)</f>
        <v>#REF!</v>
      </c>
      <c r="AC41" s="46" t="e">
        <f>+(N33+#REF!+#REF!+#REF!+#REF!+#REF!+#REF!+O33+P33+Q33+R33+S33+T33+U33+V33+W33+X33+Y33+Z33+AA33+AB33+AC33)/(N37+#REF!+#REF!+#REF!+#REF!+#REF!+#REF!+O37+P37+Q37+R37+S37+T37+U37+V37+W37+X37+Y37+Z37+AA37+AB37+AC37)</f>
        <v>#REF!</v>
      </c>
      <c r="AD41" s="62"/>
    </row>
    <row r="42" spans="4:30" ht="30" hidden="1" customHeight="1" x14ac:dyDescent="0.35">
      <c r="H42" s="423" t="s">
        <v>162</v>
      </c>
      <c r="I42" s="423"/>
      <c r="J42" s="47"/>
      <c r="K42" s="47"/>
      <c r="L42" s="47"/>
      <c r="M42" s="47"/>
      <c r="N42" s="47" t="e">
        <f>+N33/$F$33</f>
        <v>#REF!</v>
      </c>
      <c r="O42" s="47" t="e">
        <f>+(N33+#REF!+#REF!+#REF!+#REF!+#REF!+#REF!+O33)/$F$33</f>
        <v>#REF!</v>
      </c>
      <c r="P42" s="49" t="e">
        <f>+(N33+#REF!+#REF!+#REF!+#REF!+#REF!+#REF!+O33+P33)/$F$33</f>
        <v>#REF!</v>
      </c>
      <c r="Q42" s="47" t="e">
        <f>+(N33+#REF!+#REF!+#REF!+#REF!+#REF!+#REF!+O33+P33+Q33)/$F$33</f>
        <v>#REF!</v>
      </c>
      <c r="R42" s="47" t="e">
        <f>+(N33+#REF!+#REF!+#REF!+#REF!+#REF!+#REF!+O33+P33+Q33+R33)/$F$33</f>
        <v>#REF!</v>
      </c>
      <c r="S42" s="47" t="e">
        <f>+(N33+#REF!+#REF!+#REF!+#REF!+#REF!+#REF!+O33+P33+Q33+R33+S33)/$F$33</f>
        <v>#REF!</v>
      </c>
      <c r="T42" s="47" t="e">
        <f>+(N33+#REF!+#REF!+#REF!+#REF!+#REF!+#REF!+O33+P33+Q33+R33+S33+T33)/$F$33</f>
        <v>#REF!</v>
      </c>
      <c r="U42" s="47" t="e">
        <f>+(N33+#REF!+#REF!+#REF!+#REF!+#REF!+#REF!+O33+P33+Q33+R33+S33+T33+U33)/$F$33</f>
        <v>#REF!</v>
      </c>
      <c r="V42" s="47" t="e">
        <f>+(N33+#REF!+#REF!+#REF!+#REF!+#REF!+#REF!+O33+P33+Q33+R33+S33+T33+U33+V33)/$F$33</f>
        <v>#REF!</v>
      </c>
      <c r="W42" s="47" t="e">
        <f>+(N33+#REF!+#REF!+#REF!+#REF!+#REF!+#REF!+O33+P33+Q33+R33+S33+T33+U33+V33+W33)/$F$33</f>
        <v>#REF!</v>
      </c>
      <c r="X42" s="47" t="e">
        <f>+(N33+#REF!+#REF!+#REF!+#REF!+#REF!+#REF!+O33+P33+Q33+R33+S33+T33+U33+V33+W33+X33)/$F$33</f>
        <v>#REF!</v>
      </c>
      <c r="Y42" s="47" t="e">
        <f>+(N33+#REF!+#REF!+#REF!+#REF!+#REF!+#REF!+O33+P33+Q33+R33+S33+T33+U33+V33+W33+X33+Y33)/$F$33</f>
        <v>#REF!</v>
      </c>
      <c r="Z42" s="47" t="e">
        <f>+(N33+#REF!+#REF!+#REF!+#REF!+#REF!+#REF!+O33+P33+Q33+R33+S33+T33+U33+V33+W33+X33+Y33+Z33)/$F$33</f>
        <v>#REF!</v>
      </c>
      <c r="AA42" s="47" t="e">
        <f>+(N33+#REF!+#REF!+#REF!+#REF!+#REF!+#REF!+O33+P33+Q33+R33+S33+T33+U33+V33+W33+X33+Y33+Z33+AA33)/$F$33</f>
        <v>#REF!</v>
      </c>
      <c r="AB42" s="49" t="e">
        <f>+(N33+#REF!+#REF!+#REF!+#REF!+#REF!+#REF!+O33+P33+Q33+R33+S33+T33+U33+V33+W33+X33+Y33+Z33+AA33+AB33)/$F$33</f>
        <v>#REF!</v>
      </c>
      <c r="AC42" s="47" t="e">
        <f>+(N33+#REF!+#REF!+#REF!+#REF!+#REF!+#REF!+O33+P33+Q33+R33+S33+T33+U33+V33+W33+X33+Y33+Z33+AA33+AB33+AC33)/$F$33</f>
        <v>#REF!</v>
      </c>
      <c r="AD42" s="63"/>
    </row>
    <row r="43" spans="4:30" ht="30" hidden="1" customHeight="1" x14ac:dyDescent="0.35">
      <c r="H43" s="422" t="s">
        <v>163</v>
      </c>
      <c r="I43" s="422"/>
      <c r="J43" s="50"/>
      <c r="K43" s="50"/>
      <c r="L43" s="50"/>
      <c r="M43" s="50"/>
      <c r="N43" s="50"/>
      <c r="O43" s="47" t="e">
        <f>+O34/O38</f>
        <v>#REF!</v>
      </c>
      <c r="P43" s="51"/>
      <c r="Q43" s="50"/>
      <c r="R43" s="50"/>
      <c r="S43" s="47" t="e">
        <f>+S34/S38</f>
        <v>#REF!</v>
      </c>
      <c r="T43" s="50"/>
      <c r="U43" s="50"/>
      <c r="V43" s="50"/>
      <c r="W43" s="47" t="e">
        <f>+W34/W38</f>
        <v>#REF!</v>
      </c>
      <c r="X43" s="50"/>
      <c r="Y43" s="50"/>
      <c r="Z43" s="50"/>
      <c r="AA43" s="47" t="e">
        <f>+AA34/AA38</f>
        <v>#REF!</v>
      </c>
      <c r="AB43" s="51"/>
      <c r="AC43" s="50"/>
      <c r="AD43" s="64"/>
    </row>
    <row r="44" spans="4:30" ht="30" hidden="1" customHeight="1" x14ac:dyDescent="0.35">
      <c r="H44" s="423" t="s">
        <v>164</v>
      </c>
      <c r="I44" s="423"/>
      <c r="J44" s="50"/>
      <c r="K44" s="50"/>
      <c r="L44" s="50"/>
      <c r="M44" s="50"/>
      <c r="N44" s="50"/>
      <c r="O44" s="47" t="e">
        <f>+(#REF!+O34)/$F$33</f>
        <v>#REF!</v>
      </c>
      <c r="P44" s="51"/>
      <c r="Q44" s="50"/>
      <c r="R44" s="50"/>
      <c r="S44" s="47" t="e">
        <f>+(#REF!+O34+S34)/$F$33</f>
        <v>#REF!</v>
      </c>
      <c r="T44" s="50"/>
      <c r="U44" s="50"/>
      <c r="V44" s="50"/>
      <c r="W44" s="47" t="e">
        <f>+(#REF!+O34+S34+W34)/$F$33</f>
        <v>#REF!</v>
      </c>
      <c r="X44" s="50"/>
      <c r="Y44" s="50"/>
      <c r="Z44" s="50"/>
      <c r="AA44" s="47" t="e">
        <f>+(#REF!+O34+S34+W34+AA34)/$F$33</f>
        <v>#REF!</v>
      </c>
      <c r="AB44" s="51"/>
      <c r="AC44" s="50"/>
      <c r="AD44" s="64"/>
    </row>
    <row r="45" spans="4:30" ht="30" hidden="1" customHeight="1" x14ac:dyDescent="0.35">
      <c r="H45" s="422" t="s">
        <v>165</v>
      </c>
      <c r="I45" s="422"/>
      <c r="J45" s="50"/>
      <c r="K45" s="50"/>
      <c r="L45" s="50"/>
      <c r="M45" s="50"/>
      <c r="N45" s="50"/>
      <c r="O45" s="47" t="e">
        <f>+(#REF!+O34)/(#REF!+O38)</f>
        <v>#REF!</v>
      </c>
      <c r="P45" s="51"/>
      <c r="Q45" s="50"/>
      <c r="R45" s="50"/>
      <c r="S45" s="50"/>
      <c r="T45" s="50"/>
      <c r="U45" s="50"/>
      <c r="V45" s="50"/>
      <c r="W45" s="50"/>
      <c r="X45" s="50"/>
      <c r="Y45" s="50"/>
      <c r="Z45" s="50"/>
      <c r="AA45" s="47" t="e">
        <f>+(#REF!+O34+S34+W34+AA34)/(#REF!+O38+S38+W38+AA38)</f>
        <v>#REF!</v>
      </c>
      <c r="AB45" s="51"/>
      <c r="AC45" s="50"/>
      <c r="AD45" s="64"/>
    </row>
    <row r="46" spans="4:30" ht="30" hidden="1" customHeight="1" x14ac:dyDescent="0.35">
      <c r="H46" s="422" t="s">
        <v>166</v>
      </c>
      <c r="I46" s="422"/>
      <c r="J46" s="50"/>
      <c r="K46" s="50"/>
      <c r="L46" s="50"/>
      <c r="M46" s="50"/>
      <c r="N46" s="50"/>
      <c r="O46" s="47" t="e">
        <f>+(#REF!+O34)/$F$33</f>
        <v>#REF!</v>
      </c>
      <c r="P46" s="51"/>
      <c r="Q46" s="50"/>
      <c r="R46" s="50"/>
      <c r="S46" s="50"/>
      <c r="T46" s="50"/>
      <c r="U46" s="50"/>
      <c r="V46" s="50"/>
      <c r="W46" s="50"/>
      <c r="X46" s="50"/>
      <c r="Y46" s="50"/>
      <c r="Z46" s="50"/>
      <c r="AA46" s="47" t="e">
        <f>+(+#REF!+O34+S34+W34+AA34)/$F$33</f>
        <v>#REF!</v>
      </c>
      <c r="AB46" s="51"/>
      <c r="AC46" s="50"/>
      <c r="AD46" s="64"/>
    </row>
    <row r="47" spans="4:30" ht="15" hidden="1" customHeight="1" x14ac:dyDescent="0.35"/>
    <row r="48" spans="4:30" ht="35.15" hidden="1" customHeight="1" x14ac:dyDescent="0.35">
      <c r="H48" s="151"/>
      <c r="I48" s="30" t="e">
        <f>+#REF!</f>
        <v>#REF!</v>
      </c>
      <c r="J48" s="32"/>
      <c r="K48" s="32"/>
      <c r="L48" s="32"/>
      <c r="M48" s="32"/>
      <c r="N48" s="32"/>
    </row>
    <row r="49" spans="2:14" ht="35.15" hidden="1" customHeight="1" thickBot="1" x14ac:dyDescent="0.4">
      <c r="H49" s="151"/>
      <c r="I49" s="25">
        <f>+F33</f>
        <v>1</v>
      </c>
      <c r="J49" s="32"/>
      <c r="K49" s="32"/>
      <c r="L49" s="32"/>
      <c r="M49" s="32"/>
      <c r="N49" s="32"/>
    </row>
    <row r="50" spans="2:14" ht="35.15" hidden="1" customHeight="1" thickBot="1" x14ac:dyDescent="0.4">
      <c r="H50" s="151"/>
      <c r="I50" s="31" t="e">
        <f>+I48/I49</f>
        <v>#REF!</v>
      </c>
      <c r="J50" s="32"/>
      <c r="K50" s="32"/>
      <c r="L50" s="32"/>
      <c r="M50" s="32"/>
      <c r="N50" s="32"/>
    </row>
    <row r="51" spans="2:14" ht="15" hidden="1" customHeight="1" x14ac:dyDescent="0.35">
      <c r="J51" s="32"/>
      <c r="K51" s="32"/>
      <c r="L51" s="32"/>
      <c r="M51" s="32"/>
      <c r="N51" s="32"/>
    </row>
    <row r="52" spans="2:14" ht="15" hidden="1" customHeight="1" x14ac:dyDescent="0.35">
      <c r="B52" s="413" t="s">
        <v>51</v>
      </c>
      <c r="C52" s="413" t="s">
        <v>52</v>
      </c>
      <c r="D52" s="413" t="s">
        <v>53</v>
      </c>
      <c r="E52" s="413" t="s">
        <v>54</v>
      </c>
      <c r="F52" s="413" t="s">
        <v>29</v>
      </c>
      <c r="G52" s="415" t="s">
        <v>55</v>
      </c>
      <c r="M52" s="415" t="s">
        <v>167</v>
      </c>
    </row>
    <row r="53" spans="2:14" ht="15" hidden="1" customHeight="1" x14ac:dyDescent="0.35">
      <c r="B53" s="414"/>
      <c r="C53" s="414"/>
      <c r="D53" s="414"/>
      <c r="E53" s="414"/>
      <c r="F53" s="414"/>
      <c r="G53" s="414"/>
      <c r="M53" s="414"/>
    </row>
    <row r="54" spans="2:14" ht="15" hidden="1" customHeight="1" x14ac:dyDescent="0.35">
      <c r="B54" s="1" t="s">
        <v>99</v>
      </c>
      <c r="C54" s="13" t="s">
        <v>168</v>
      </c>
      <c r="D54" s="1" t="s">
        <v>130</v>
      </c>
      <c r="E54" s="1" t="s">
        <v>131</v>
      </c>
      <c r="F54" s="1" t="s">
        <v>169</v>
      </c>
      <c r="G54" s="1" t="s">
        <v>170</v>
      </c>
      <c r="M54" s="13" t="s">
        <v>171</v>
      </c>
    </row>
    <row r="55" spans="2:14" ht="15" hidden="1" customHeight="1" x14ac:dyDescent="0.35">
      <c r="B55" s="1" t="s">
        <v>116</v>
      </c>
      <c r="C55" s="13" t="s">
        <v>129</v>
      </c>
      <c r="D55" s="1" t="s">
        <v>172</v>
      </c>
      <c r="E55" s="1" t="s">
        <v>173</v>
      </c>
      <c r="F55" s="1" t="s">
        <v>174</v>
      </c>
      <c r="G55" s="1" t="s">
        <v>175</v>
      </c>
      <c r="M55" s="13" t="s">
        <v>92</v>
      </c>
    </row>
    <row r="56" spans="2:14" ht="15" hidden="1" customHeight="1" x14ac:dyDescent="0.35">
      <c r="B56" s="1" t="s">
        <v>83</v>
      </c>
      <c r="C56" s="13" t="s">
        <v>110</v>
      </c>
      <c r="D56" s="1" t="s">
        <v>85</v>
      </c>
      <c r="E56" s="1" t="s">
        <v>176</v>
      </c>
      <c r="F56" s="1" t="s">
        <v>177</v>
      </c>
      <c r="G56" s="1" t="s">
        <v>178</v>
      </c>
      <c r="M56" s="13" t="s">
        <v>179</v>
      </c>
    </row>
    <row r="57" spans="2:14" ht="15" hidden="1" customHeight="1" x14ac:dyDescent="0.35">
      <c r="B57" s="1" t="s">
        <v>109</v>
      </c>
      <c r="C57" s="13" t="s">
        <v>125</v>
      </c>
      <c r="D57" s="1" t="s">
        <v>180</v>
      </c>
      <c r="E57" s="1" t="s">
        <v>181</v>
      </c>
      <c r="F57" s="1" t="s">
        <v>182</v>
      </c>
      <c r="G57" s="1" t="s">
        <v>183</v>
      </c>
    </row>
    <row r="58" spans="2:14" ht="15" hidden="1" customHeight="1" x14ac:dyDescent="0.35">
      <c r="B58" s="1" t="s">
        <v>124</v>
      </c>
      <c r="C58" s="13" t="s">
        <v>142</v>
      </c>
      <c r="D58" s="1" t="s">
        <v>100</v>
      </c>
      <c r="E58" s="1" t="s">
        <v>184</v>
      </c>
      <c r="F58" s="1" t="s">
        <v>185</v>
      </c>
      <c r="G58" s="1" t="s">
        <v>186</v>
      </c>
    </row>
    <row r="59" spans="2:14" ht="15" hidden="1" customHeight="1" x14ac:dyDescent="0.35">
      <c r="B59" s="1" t="s">
        <v>187</v>
      </c>
      <c r="C59" s="13" t="s">
        <v>188</v>
      </c>
      <c r="D59" s="1" t="s">
        <v>111</v>
      </c>
      <c r="E59" s="1" t="s">
        <v>149</v>
      </c>
      <c r="F59" s="1" t="s">
        <v>189</v>
      </c>
      <c r="G59" s="1" t="s">
        <v>127</v>
      </c>
    </row>
    <row r="60" spans="2:14" ht="15" hidden="1" customHeight="1" x14ac:dyDescent="0.35">
      <c r="B60" s="1" t="s">
        <v>190</v>
      </c>
      <c r="C60" s="13" t="s">
        <v>191</v>
      </c>
      <c r="D60" s="1" t="s">
        <v>192</v>
      </c>
      <c r="E60" s="1" t="s">
        <v>193</v>
      </c>
      <c r="F60" s="1" t="s">
        <v>194</v>
      </c>
      <c r="G60" s="1" t="s">
        <v>195</v>
      </c>
    </row>
    <row r="61" spans="2:14" ht="15" hidden="1" customHeight="1" x14ac:dyDescent="0.35">
      <c r="B61" s="1" t="s">
        <v>196</v>
      </c>
      <c r="C61" s="13" t="s">
        <v>197</v>
      </c>
      <c r="E61" s="1" t="s">
        <v>126</v>
      </c>
      <c r="F61" s="1" t="s">
        <v>198</v>
      </c>
      <c r="G61" s="1" t="s">
        <v>150</v>
      </c>
    </row>
    <row r="62" spans="2:14" ht="15" hidden="1" customHeight="1" x14ac:dyDescent="0.35">
      <c r="C62" s="13" t="s">
        <v>117</v>
      </c>
      <c r="E62" s="1" t="s">
        <v>118</v>
      </c>
      <c r="F62" s="1" t="s">
        <v>199</v>
      </c>
      <c r="G62" s="1" t="s">
        <v>102</v>
      </c>
    </row>
    <row r="63" spans="2:14" ht="15" hidden="1" customHeight="1" x14ac:dyDescent="0.35">
      <c r="C63" s="13" t="s">
        <v>84</v>
      </c>
      <c r="E63" s="1" t="s">
        <v>200</v>
      </c>
      <c r="F63" s="1" t="s">
        <v>201</v>
      </c>
      <c r="G63" s="1" t="s">
        <v>132</v>
      </c>
    </row>
    <row r="64" spans="2:14" ht="15" hidden="1" customHeight="1" x14ac:dyDescent="0.35">
      <c r="E64" s="1" t="s">
        <v>202</v>
      </c>
      <c r="F64" s="1" t="s">
        <v>203</v>
      </c>
      <c r="G64" s="1" t="s">
        <v>144</v>
      </c>
    </row>
    <row r="65" spans="5:7" ht="15" hidden="1" customHeight="1" x14ac:dyDescent="0.35">
      <c r="E65" s="1" t="s">
        <v>204</v>
      </c>
      <c r="F65" s="1" t="s">
        <v>205</v>
      </c>
      <c r="G65" s="1" t="s">
        <v>206</v>
      </c>
    </row>
    <row r="66" spans="5:7" ht="15" hidden="1" customHeight="1" x14ac:dyDescent="0.35">
      <c r="E66" s="1" t="s">
        <v>86</v>
      </c>
      <c r="G66" s="1" t="s">
        <v>207</v>
      </c>
    </row>
    <row r="67" spans="5:7" ht="15" hidden="1" customHeight="1" x14ac:dyDescent="0.35">
      <c r="E67" s="1" t="s">
        <v>208</v>
      </c>
      <c r="G67" s="1" t="s">
        <v>209</v>
      </c>
    </row>
    <row r="68" spans="5:7" ht="15" hidden="1" customHeight="1" x14ac:dyDescent="0.35">
      <c r="E68" s="1" t="s">
        <v>101</v>
      </c>
      <c r="G68" s="1" t="s">
        <v>210</v>
      </c>
    </row>
    <row r="69" spans="5:7" ht="15" hidden="1" customHeight="1" x14ac:dyDescent="0.35">
      <c r="E69" s="1" t="s">
        <v>143</v>
      </c>
      <c r="G69" s="1" t="s">
        <v>211</v>
      </c>
    </row>
    <row r="70" spans="5:7" ht="15" hidden="1" customHeight="1" x14ac:dyDescent="0.35">
      <c r="E70" s="1" t="s">
        <v>212</v>
      </c>
      <c r="G70" s="1" t="s">
        <v>213</v>
      </c>
    </row>
    <row r="71" spans="5:7" ht="15" hidden="1" customHeight="1" x14ac:dyDescent="0.35">
      <c r="E71" s="1" t="s">
        <v>112</v>
      </c>
      <c r="G71" s="1" t="s">
        <v>214</v>
      </c>
    </row>
    <row r="72" spans="5:7" ht="15" hidden="1" customHeight="1" x14ac:dyDescent="0.35">
      <c r="E72" s="1" t="s">
        <v>215</v>
      </c>
      <c r="G72" s="1" t="s">
        <v>216</v>
      </c>
    </row>
    <row r="73" spans="5:7" ht="15" hidden="1" customHeight="1" x14ac:dyDescent="0.35">
      <c r="G73" s="1" t="s">
        <v>217</v>
      </c>
    </row>
    <row r="74" spans="5:7" ht="15" hidden="1" customHeight="1" x14ac:dyDescent="0.35">
      <c r="G74" s="1" t="s">
        <v>218</v>
      </c>
    </row>
    <row r="75" spans="5:7" ht="15" hidden="1" customHeight="1" x14ac:dyDescent="0.35">
      <c r="G75" s="1" t="s">
        <v>219</v>
      </c>
    </row>
    <row r="76" spans="5:7" ht="15" hidden="1" customHeight="1" x14ac:dyDescent="0.35">
      <c r="G76" s="1" t="s">
        <v>220</v>
      </c>
    </row>
    <row r="77" spans="5:7" ht="15" hidden="1" customHeight="1" x14ac:dyDescent="0.35">
      <c r="G77" s="1" t="s">
        <v>221</v>
      </c>
    </row>
    <row r="78" spans="5:7" ht="15" hidden="1" customHeight="1" x14ac:dyDescent="0.35">
      <c r="G78" s="1" t="s">
        <v>222</v>
      </c>
    </row>
    <row r="79" spans="5:7" ht="15" hidden="1" customHeight="1" x14ac:dyDescent="0.35">
      <c r="G79" s="1" t="s">
        <v>223</v>
      </c>
    </row>
    <row r="80" spans="5:7" ht="15" hidden="1" customHeight="1" x14ac:dyDescent="0.35">
      <c r="G80" s="1" t="s">
        <v>224</v>
      </c>
    </row>
    <row r="81" spans="7:7" ht="15" hidden="1" customHeight="1" x14ac:dyDescent="0.35">
      <c r="G81" s="1" t="s">
        <v>225</v>
      </c>
    </row>
    <row r="82" spans="7:7" ht="15" hidden="1" customHeight="1" x14ac:dyDescent="0.35">
      <c r="G82" s="1" t="s">
        <v>226</v>
      </c>
    </row>
    <row r="83" spans="7:7" ht="15" hidden="1" customHeight="1" x14ac:dyDescent="0.35">
      <c r="G83" s="1" t="s">
        <v>227</v>
      </c>
    </row>
    <row r="84" spans="7:7" ht="15" hidden="1" customHeight="1" x14ac:dyDescent="0.35">
      <c r="G84" s="1" t="s">
        <v>228</v>
      </c>
    </row>
    <row r="85" spans="7:7" ht="15" hidden="1" customHeight="1" x14ac:dyDescent="0.35">
      <c r="G85" s="1" t="s">
        <v>229</v>
      </c>
    </row>
    <row r="86" spans="7:7" ht="15" hidden="1" customHeight="1" x14ac:dyDescent="0.35">
      <c r="G86" s="1" t="s">
        <v>230</v>
      </c>
    </row>
    <row r="87" spans="7:7" ht="15" hidden="1" customHeight="1" x14ac:dyDescent="0.35">
      <c r="G87" s="1" t="s">
        <v>119</v>
      </c>
    </row>
    <row r="88" spans="7:7" ht="15" hidden="1" customHeight="1" x14ac:dyDescent="0.35">
      <c r="G88" s="1" t="s">
        <v>138</v>
      </c>
    </row>
    <row r="89" spans="7:7" ht="15" hidden="1" customHeight="1" x14ac:dyDescent="0.35">
      <c r="G89" s="1" t="s">
        <v>231</v>
      </c>
    </row>
    <row r="90" spans="7:7" ht="15" hidden="1" customHeight="1" x14ac:dyDescent="0.35">
      <c r="G90" s="1" t="s">
        <v>232</v>
      </c>
    </row>
    <row r="91" spans="7:7" ht="15" hidden="1" customHeight="1" x14ac:dyDescent="0.35">
      <c r="G91" s="1" t="s">
        <v>233</v>
      </c>
    </row>
    <row r="92" spans="7:7" ht="15" hidden="1" customHeight="1" x14ac:dyDescent="0.35">
      <c r="G92" s="1" t="s">
        <v>87</v>
      </c>
    </row>
    <row r="93" spans="7:7" ht="15" hidden="1" customHeight="1" x14ac:dyDescent="0.35">
      <c r="G93" s="1" t="s">
        <v>234</v>
      </c>
    </row>
    <row r="94" spans="7:7" ht="15" hidden="1" customHeight="1" x14ac:dyDescent="0.35">
      <c r="G94" s="1" t="s">
        <v>235</v>
      </c>
    </row>
    <row r="95" spans="7:7" ht="15" hidden="1" customHeight="1" x14ac:dyDescent="0.35">
      <c r="G95" s="1" t="s">
        <v>236</v>
      </c>
    </row>
    <row r="96" spans="7:7" ht="15" hidden="1" customHeight="1" x14ac:dyDescent="0.35">
      <c r="G96" s="1" t="s">
        <v>237</v>
      </c>
    </row>
    <row r="97" spans="7:7" ht="15" hidden="1" customHeight="1" x14ac:dyDescent="0.35">
      <c r="G97" s="1" t="s">
        <v>238</v>
      </c>
    </row>
    <row r="98" spans="7:7" ht="15" hidden="1" customHeight="1" x14ac:dyDescent="0.35">
      <c r="G98" s="1" t="s">
        <v>239</v>
      </c>
    </row>
    <row r="99" spans="7:7" ht="15" hidden="1" customHeight="1" x14ac:dyDescent="0.35">
      <c r="G99" s="1" t="s">
        <v>240</v>
      </c>
    </row>
    <row r="100" spans="7:7" ht="15" hidden="1" customHeight="1" x14ac:dyDescent="0.35">
      <c r="G100" s="1" t="s">
        <v>241</v>
      </c>
    </row>
    <row r="101" spans="7:7" ht="15" hidden="1" customHeight="1" x14ac:dyDescent="0.35">
      <c r="G101" s="1" t="s">
        <v>242</v>
      </c>
    </row>
    <row r="102" spans="7:7" ht="15" hidden="1" customHeight="1" x14ac:dyDescent="0.35">
      <c r="G102" s="1" t="s">
        <v>243</v>
      </c>
    </row>
    <row r="103" spans="7:7" ht="15" hidden="1" customHeight="1" x14ac:dyDescent="0.35">
      <c r="G103" s="1" t="s">
        <v>244</v>
      </c>
    </row>
    <row r="104" spans="7:7" ht="15" hidden="1" customHeight="1" x14ac:dyDescent="0.35">
      <c r="G104" s="1" t="s">
        <v>245</v>
      </c>
    </row>
    <row r="105" spans="7:7" ht="15" hidden="1" customHeight="1" x14ac:dyDescent="0.35">
      <c r="G105" s="1" t="s">
        <v>246</v>
      </c>
    </row>
    <row r="106" spans="7:7" ht="15" hidden="1" customHeight="1" x14ac:dyDescent="0.35">
      <c r="G106" s="1" t="s">
        <v>39</v>
      </c>
    </row>
    <row r="107" spans="7:7" ht="15" hidden="1" customHeight="1" x14ac:dyDescent="0.35">
      <c r="G107" s="1" t="s">
        <v>247</v>
      </c>
    </row>
    <row r="108" spans="7:7" ht="15" hidden="1" customHeight="1" x14ac:dyDescent="0.35">
      <c r="G108" s="1" t="s">
        <v>248</v>
      </c>
    </row>
    <row r="109" spans="7:7" ht="15" hidden="1" customHeight="1" x14ac:dyDescent="0.35">
      <c r="G109" s="1" t="s">
        <v>249</v>
      </c>
    </row>
    <row r="110" spans="7:7" ht="15" hidden="1" customHeight="1" x14ac:dyDescent="0.35">
      <c r="G110" s="1" t="s">
        <v>250</v>
      </c>
    </row>
    <row r="111" spans="7:7" ht="15" hidden="1" customHeight="1" x14ac:dyDescent="0.35">
      <c r="G111" s="1" t="s">
        <v>251</v>
      </c>
    </row>
    <row r="112" spans="7:7" ht="15" hidden="1" customHeight="1" x14ac:dyDescent="0.35">
      <c r="G112" s="1" t="s">
        <v>252</v>
      </c>
    </row>
    <row r="113" spans="7:7" ht="15" hidden="1" customHeight="1" x14ac:dyDescent="0.35">
      <c r="G113" s="1" t="s">
        <v>253</v>
      </c>
    </row>
  </sheetData>
  <sheetProtection formatCells="0" formatColumns="0" formatRows="0" insertColumns="0" insertRows="0" insertHyperlinks="0" deleteColumns="0" deleteRows="0" sort="0" autoFilter="0" pivotTables="0"/>
  <autoFilter ref="A12:AH31" xr:uid="{00000000-0001-0000-0100-000000000000}"/>
  <mergeCells count="235">
    <mergeCell ref="A30:A31"/>
    <mergeCell ref="B30:B31"/>
    <mergeCell ref="C30:C31"/>
    <mergeCell ref="D30:D31"/>
    <mergeCell ref="E30:E31"/>
    <mergeCell ref="F30:F31"/>
    <mergeCell ref="G30:G31"/>
    <mergeCell ref="H30:H31"/>
    <mergeCell ref="AH30:AH31"/>
    <mergeCell ref="I30:I31"/>
    <mergeCell ref="J30:J31"/>
    <mergeCell ref="K30:K31"/>
    <mergeCell ref="L30:L31"/>
    <mergeCell ref="M30:M31"/>
    <mergeCell ref="N30:N31"/>
    <mergeCell ref="AE30:AE31"/>
    <mergeCell ref="AF30:AF31"/>
    <mergeCell ref="AG30:AG31"/>
    <mergeCell ref="D1:AH3"/>
    <mergeCell ref="AD6:AE10"/>
    <mergeCell ref="AF6:AF10"/>
    <mergeCell ref="AG6:AG10"/>
    <mergeCell ref="AG14:AG15"/>
    <mergeCell ref="AH14:AH15"/>
    <mergeCell ref="AE14:AE15"/>
    <mergeCell ref="AE26:AE27"/>
    <mergeCell ref="AE28:AE29"/>
    <mergeCell ref="AF16:AF17"/>
    <mergeCell ref="AF18:AF19"/>
    <mergeCell ref="AF20:AF21"/>
    <mergeCell ref="AF24:AF25"/>
    <mergeCell ref="AF26:AF27"/>
    <mergeCell ref="AF28:AF29"/>
    <mergeCell ref="AG16:AG17"/>
    <mergeCell ref="AG18:AG19"/>
    <mergeCell ref="AG20:AG21"/>
    <mergeCell ref="AG24:AG25"/>
    <mergeCell ref="AG26:AG27"/>
    <mergeCell ref="AG28:AG29"/>
    <mergeCell ref="AH16:AH17"/>
    <mergeCell ref="AH18:AH19"/>
    <mergeCell ref="AH20:AH21"/>
    <mergeCell ref="AH24:AH25"/>
    <mergeCell ref="AH26:AH27"/>
    <mergeCell ref="AH28:AH29"/>
    <mergeCell ref="AG12:AG13"/>
    <mergeCell ref="AH12:AH13"/>
    <mergeCell ref="O11:AD11"/>
    <mergeCell ref="AE11:AH11"/>
    <mergeCell ref="AD12:AD13"/>
    <mergeCell ref="AE12:AE13"/>
    <mergeCell ref="AF12:AF13"/>
    <mergeCell ref="X12:X13"/>
    <mergeCell ref="Y12:Y13"/>
    <mergeCell ref="Z12:Z13"/>
    <mergeCell ref="AA12:AA13"/>
    <mergeCell ref="AB12:AB13"/>
    <mergeCell ref="AC12:AC13"/>
    <mergeCell ref="O12:O13"/>
    <mergeCell ref="P12:P13"/>
    <mergeCell ref="Q12:Q13"/>
    <mergeCell ref="R12:R13"/>
    <mergeCell ref="S12:S13"/>
    <mergeCell ref="T12:T13"/>
    <mergeCell ref="U12:U13"/>
    <mergeCell ref="V12:V13"/>
    <mergeCell ref="W12:W13"/>
    <mergeCell ref="R6:U10"/>
    <mergeCell ref="V6:Y10"/>
    <mergeCell ref="Z6:AC10"/>
    <mergeCell ref="G6:G10"/>
    <mergeCell ref="H6:H10"/>
    <mergeCell ref="I6:I10"/>
    <mergeCell ref="L6:L10"/>
    <mergeCell ref="O6:Q10"/>
    <mergeCell ref="G4:G5"/>
    <mergeCell ref="J6:K10"/>
    <mergeCell ref="A4:A5"/>
    <mergeCell ref="M6:N10"/>
    <mergeCell ref="A1:C3"/>
    <mergeCell ref="A6:B10"/>
    <mergeCell ref="C6:D10"/>
    <mergeCell ref="E6:F10"/>
    <mergeCell ref="I26:I27"/>
    <mergeCell ref="J26:J27"/>
    <mergeCell ref="K26:K27"/>
    <mergeCell ref="L26:L27"/>
    <mergeCell ref="M26:M27"/>
    <mergeCell ref="N26:N27"/>
    <mergeCell ref="I20:I21"/>
    <mergeCell ref="J20:J21"/>
    <mergeCell ref="K20:K21"/>
    <mergeCell ref="L20:L21"/>
    <mergeCell ref="M20:M21"/>
    <mergeCell ref="N20:N21"/>
    <mergeCell ref="A24:A25"/>
    <mergeCell ref="B24:B25"/>
    <mergeCell ref="C24:C25"/>
    <mergeCell ref="D24:D25"/>
    <mergeCell ref="I28:I29"/>
    <mergeCell ref="J28:J29"/>
    <mergeCell ref="K28:K29"/>
    <mergeCell ref="L28:L29"/>
    <mergeCell ref="M28:M29"/>
    <mergeCell ref="N28:N29"/>
    <mergeCell ref="A26:A27"/>
    <mergeCell ref="B26:B27"/>
    <mergeCell ref="C26:C27"/>
    <mergeCell ref="D26:D27"/>
    <mergeCell ref="E26:E27"/>
    <mergeCell ref="F26:F27"/>
    <mergeCell ref="G26:G27"/>
    <mergeCell ref="H26:H27"/>
    <mergeCell ref="A28:A29"/>
    <mergeCell ref="B28:B29"/>
    <mergeCell ref="C28:C29"/>
    <mergeCell ref="D28:D29"/>
    <mergeCell ref="E28:E29"/>
    <mergeCell ref="F28:F29"/>
    <mergeCell ref="G28:G29"/>
    <mergeCell ref="H28:H29"/>
    <mergeCell ref="M24:M25"/>
    <mergeCell ref="N24:N25"/>
    <mergeCell ref="A20:A21"/>
    <mergeCell ref="B20:B21"/>
    <mergeCell ref="C20:C21"/>
    <mergeCell ref="D20:D21"/>
    <mergeCell ref="E20:E21"/>
    <mergeCell ref="F20:F21"/>
    <mergeCell ref="G20:G21"/>
    <mergeCell ref="H20:H21"/>
    <mergeCell ref="E24:E25"/>
    <mergeCell ref="F24:F25"/>
    <mergeCell ref="G24:G25"/>
    <mergeCell ref="H22:H23"/>
    <mergeCell ref="H24:H25"/>
    <mergeCell ref="I24:I25"/>
    <mergeCell ref="J24:J25"/>
    <mergeCell ref="K24:K25"/>
    <mergeCell ref="L24:L25"/>
    <mergeCell ref="A22:A23"/>
    <mergeCell ref="B22:B23"/>
    <mergeCell ref="C22:C23"/>
    <mergeCell ref="D22:D23"/>
    <mergeCell ref="E22:E23"/>
    <mergeCell ref="A18:A19"/>
    <mergeCell ref="B18:B19"/>
    <mergeCell ref="C18:C19"/>
    <mergeCell ref="D18:D19"/>
    <mergeCell ref="E18:E19"/>
    <mergeCell ref="F18:F19"/>
    <mergeCell ref="G18:G19"/>
    <mergeCell ref="H18:H19"/>
    <mergeCell ref="L18:L19"/>
    <mergeCell ref="D14:D15"/>
    <mergeCell ref="E14:E15"/>
    <mergeCell ref="F14:F15"/>
    <mergeCell ref="G14:G15"/>
    <mergeCell ref="H14:H15"/>
    <mergeCell ref="A16:A17"/>
    <mergeCell ref="B16:B17"/>
    <mergeCell ref="C16:C17"/>
    <mergeCell ref="D16:D17"/>
    <mergeCell ref="N18:N19"/>
    <mergeCell ref="A11:F11"/>
    <mergeCell ref="G11:N11"/>
    <mergeCell ref="A12:A13"/>
    <mergeCell ref="B12:B13"/>
    <mergeCell ref="C12:C13"/>
    <mergeCell ref="D12:D13"/>
    <mergeCell ref="E12:E13"/>
    <mergeCell ref="F12:F13"/>
    <mergeCell ref="G12:G13"/>
    <mergeCell ref="H12:H13"/>
    <mergeCell ref="I12:I13"/>
    <mergeCell ref="J12:J13"/>
    <mergeCell ref="K12:K13"/>
    <mergeCell ref="L12:L13"/>
    <mergeCell ref="M12:M13"/>
    <mergeCell ref="N12:N13"/>
    <mergeCell ref="E16:E17"/>
    <mergeCell ref="F16:F17"/>
    <mergeCell ref="G16:G17"/>
    <mergeCell ref="H16:H17"/>
    <mergeCell ref="A14:A15"/>
    <mergeCell ref="B14:B15"/>
    <mergeCell ref="C14:C15"/>
    <mergeCell ref="AE22:AE23"/>
    <mergeCell ref="AF22:AF23"/>
    <mergeCell ref="AG22:AG23"/>
    <mergeCell ref="AH22:AH23"/>
    <mergeCell ref="AE20:AE21"/>
    <mergeCell ref="AE18:AE19"/>
    <mergeCell ref="AF14:AF15"/>
    <mergeCell ref="I14:I15"/>
    <mergeCell ref="J14:J15"/>
    <mergeCell ref="K14:K15"/>
    <mergeCell ref="L14:L15"/>
    <mergeCell ref="M14:M15"/>
    <mergeCell ref="N14:N15"/>
    <mergeCell ref="I16:I17"/>
    <mergeCell ref="AE16:AE17"/>
    <mergeCell ref="J16:J17"/>
    <mergeCell ref="K16:K17"/>
    <mergeCell ref="L16:L17"/>
    <mergeCell ref="M16:M17"/>
    <mergeCell ref="N16:N17"/>
    <mergeCell ref="I18:I19"/>
    <mergeCell ref="J18:J19"/>
    <mergeCell ref="K18:K19"/>
    <mergeCell ref="M18:M19"/>
    <mergeCell ref="AE24:AE25"/>
    <mergeCell ref="B52:B53"/>
    <mergeCell ref="C52:C53"/>
    <mergeCell ref="D52:D53"/>
    <mergeCell ref="E52:E53"/>
    <mergeCell ref="F52:F53"/>
    <mergeCell ref="G52:G53"/>
    <mergeCell ref="M52:M53"/>
    <mergeCell ref="K22:K23"/>
    <mergeCell ref="L22:L23"/>
    <mergeCell ref="M22:M23"/>
    <mergeCell ref="D34:E34"/>
    <mergeCell ref="D33:E33"/>
    <mergeCell ref="H46:I46"/>
    <mergeCell ref="H45:I45"/>
    <mergeCell ref="H42:I42"/>
    <mergeCell ref="H43:I43"/>
    <mergeCell ref="H44:I44"/>
    <mergeCell ref="H41:I41"/>
    <mergeCell ref="F22:F23"/>
    <mergeCell ref="G22:G23"/>
    <mergeCell ref="I22:I23"/>
    <mergeCell ref="J22:J23"/>
    <mergeCell ref="N22:N23"/>
  </mergeCells>
  <phoneticPr fontId="15" type="noConversion"/>
  <conditionalFormatting sqref="H4">
    <cfRule type="cellIs" dxfId="181" priority="97" operator="lessThanOrEqual">
      <formula>$C$4</formula>
    </cfRule>
  </conditionalFormatting>
  <conditionalFormatting sqref="I6">
    <cfRule type="cellIs" dxfId="180" priority="105" operator="greaterThanOrEqual">
      <formula>$C$5</formula>
    </cfRule>
    <cfRule type="cellIs" dxfId="179" priority="106" operator="lessThanOrEqual">
      <formula>$C$4</formula>
    </cfRule>
    <cfRule type="cellIs" dxfId="178" priority="107" operator="between">
      <formula>$C$5</formula>
      <formula>$C$4</formula>
    </cfRule>
  </conditionalFormatting>
  <conditionalFormatting sqref="O6">
    <cfRule type="cellIs" dxfId="177" priority="93" operator="greaterThanOrEqual">
      <formula>$H$5</formula>
    </cfRule>
    <cfRule type="cellIs" dxfId="176" priority="94" operator="lessThanOrEqual">
      <formula>$H$4</formula>
    </cfRule>
    <cfRule type="cellIs" dxfId="175" priority="95" operator="between">
      <formula>$H$5</formula>
      <formula>$H$4</formula>
    </cfRule>
  </conditionalFormatting>
  <conditionalFormatting sqref="Q14:Q31">
    <cfRule type="cellIs" dxfId="174" priority="10" operator="greaterThanOrEqual">
      <formula>$C$5</formula>
    </cfRule>
    <cfRule type="cellIs" dxfId="173" priority="11" operator="lessThanOrEqual">
      <formula>$C$4</formula>
    </cfRule>
    <cfRule type="cellIs" dxfId="172" priority="12" operator="between">
      <formula>$C$5</formula>
      <formula>$C$4</formula>
    </cfRule>
  </conditionalFormatting>
  <conditionalFormatting sqref="S41:S44 W41:W44 O41:O46 AA41:AA46 J42:AD42 I50">
    <cfRule type="cellIs" dxfId="171" priority="619" operator="greaterThanOrEqual">
      <formula>$D$9</formula>
    </cfRule>
    <cfRule type="cellIs" dxfId="170" priority="620" operator="lessThanOrEqual">
      <formula>$C$6</formula>
    </cfRule>
    <cfRule type="cellIs" dxfId="169" priority="621" operator="between">
      <formula>$C$6</formula>
      <formula>$D$9</formula>
    </cfRule>
  </conditionalFormatting>
  <conditionalFormatting sqref="V6">
    <cfRule type="cellIs" dxfId="168" priority="7" operator="greaterThanOrEqual">
      <formula>$H$5</formula>
    </cfRule>
    <cfRule type="cellIs" dxfId="167" priority="8" operator="lessThanOrEqual">
      <formula>$H$4</formula>
    </cfRule>
    <cfRule type="cellIs" dxfId="166" priority="9" operator="between">
      <formula>$H$5</formula>
      <formula>$H$4</formula>
    </cfRule>
  </conditionalFormatting>
  <conditionalFormatting sqref="AD6">
    <cfRule type="cellIs" dxfId="165" priority="4" operator="greaterThanOrEqual">
      <formula>$H$5</formula>
    </cfRule>
    <cfRule type="cellIs" dxfId="164" priority="5" operator="lessThanOrEqual">
      <formula>$H$4</formula>
    </cfRule>
    <cfRule type="cellIs" dxfId="163" priority="6" operator="between">
      <formula>$H$5</formula>
      <formula>$H$4</formula>
    </cfRule>
  </conditionalFormatting>
  <conditionalFormatting sqref="AG6">
    <cfRule type="cellIs" dxfId="162" priority="1" operator="greaterThanOrEqual">
      <formula>$H$5</formula>
    </cfRule>
    <cfRule type="cellIs" dxfId="161" priority="2" operator="lessThanOrEqual">
      <formula>$H$4</formula>
    </cfRule>
    <cfRule type="cellIs" dxfId="160" priority="3" operator="between">
      <formula>$H$5</formula>
      <formula>$H$4</formula>
    </cfRule>
  </conditionalFormatting>
  <dataValidations xWindow="1526" yWindow="674" count="10">
    <dataValidation type="decimal" allowBlank="1" showInputMessage="1" showErrorMessage="1" prompt="valor porcentual de la activida - Indique el peso porcentual de la actividad dentro del proyecto" sqref="P14 P26 P20 P18 P24 P16 P28 P30 P22" xr:uid="{00000000-0002-0000-0100-000003000000}">
      <formula1>0</formula1>
      <formula2>1</formula2>
    </dataValidation>
    <dataValidation type="decimal" allowBlank="1" showInputMessage="1" showErrorMessage="1" prompt="campo calculado  - indica el % de avance  que aporta la activadad a todo el proyecto" sqref="P27 P25 P31 P15 P19 P17 P29 P21 P23" xr:uid="{00000000-0002-0000-0100-000006000000}">
      <formula1>0</formula1>
      <formula2>1</formula2>
    </dataValidation>
    <dataValidation type="decimal" allowBlank="1" showInputMessage="1" showErrorMessage="1" prompt="% de avance en la actividad - indique el % programado de avance durante esta semana_x000a_" sqref="R27:T31 U14:AD31 R14:T25" xr:uid="{00000000-0002-0000-0100-000007000000}">
      <formula1>0</formula1>
      <formula2>1</formula2>
    </dataValidation>
    <dataValidation allowBlank="1" showErrorMessage="1" sqref="Q14:Q31" xr:uid="{EC83102E-B98D-4DA6-8816-AD063C239582}"/>
    <dataValidation type="list" allowBlank="1" showInputMessage="1" showErrorMessage="1" sqref="B14:B31" xr:uid="{36C7D9C6-1496-4AF3-80BA-381CB1FADA19}">
      <formula1>$B$54:$B$61</formula1>
    </dataValidation>
    <dataValidation type="list" allowBlank="1" showInputMessage="1" showErrorMessage="1" sqref="C14:C31" xr:uid="{9D0FBB9D-5134-4E46-A284-E90EC66F1590}">
      <formula1>$C$54:$C$63</formula1>
    </dataValidation>
    <dataValidation type="list" allowBlank="1" showInputMessage="1" showErrorMessage="1" sqref="D14:D31" xr:uid="{7C44A76E-B132-4C0C-8DDE-B326A56979CC}">
      <formula1>$D$54:$D$60</formula1>
    </dataValidation>
    <dataValidation type="list" allowBlank="1" showInputMessage="1" showErrorMessage="1" sqref="E14:E31" xr:uid="{A5014C1E-5B40-45D1-8213-330C9CC867E6}">
      <formula1>$E$54:$E$72</formula1>
    </dataValidation>
    <dataValidation type="list" allowBlank="1" showInputMessage="1" showErrorMessage="1" sqref="G14:G31" xr:uid="{938B7091-B5CA-49EC-93DE-1826C5877314}">
      <formula1>$G$54:$G$113</formula1>
    </dataValidation>
    <dataValidation type="list" allowBlank="1" showInputMessage="1" showErrorMessage="1" sqref="L14:L31" xr:uid="{3EE73124-3A5C-438F-BBA5-2766222AC12B}">
      <formula1>$M$54:$M$56</formula1>
    </dataValidation>
  </dataValidations>
  <pageMargins left="0.7" right="0.7" top="0.75" bottom="0.75" header="0.3" footer="0.3"/>
  <pageSetup scale="13" orientation="portrait" r:id="rId1"/>
  <headerFooter>
    <oddFooter>&amp;C_x000D_&amp;1#&amp;"Calibri"&amp;10&amp;K008000 DOCUMENTO PÚBLICO</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30F22-B3B3-4045-8856-ACFFB1302C97}">
  <sheetPr filterMode="1"/>
  <dimension ref="A1:AJ102"/>
  <sheetViews>
    <sheetView showGridLines="0" zoomScale="80" zoomScaleNormal="80" zoomScaleSheetLayoutView="50" zoomScalePageLayoutView="48" workbookViewId="0">
      <selection activeCell="H16" sqref="H16:H17"/>
    </sheetView>
  </sheetViews>
  <sheetFormatPr baseColWidth="10" defaultColWidth="12.54296875" defaultRowHeight="15" customHeight="1" x14ac:dyDescent="0.35"/>
  <cols>
    <col min="1" max="1" width="7.36328125" style="1" customWidth="1"/>
    <col min="2" max="2" width="28.54296875" style="1" customWidth="1"/>
    <col min="3" max="3" width="42.6328125" style="1" customWidth="1"/>
    <col min="4" max="4" width="23.54296875" style="1" customWidth="1"/>
    <col min="5" max="5" width="20" style="1" customWidth="1"/>
    <col min="6" max="6" width="28.54296875" style="1" hidden="1" customWidth="1"/>
    <col min="7" max="7" width="19.1796875" style="1" customWidth="1"/>
    <col min="8" max="11" width="28.54296875" style="1" customWidth="1"/>
    <col min="12" max="12" width="19.54296875" style="1" hidden="1" customWidth="1"/>
    <col min="13" max="13" width="15.36328125" style="1" customWidth="1"/>
    <col min="14" max="14" width="16.36328125" style="1" customWidth="1"/>
    <col min="15" max="16" width="18.36328125" style="1" customWidth="1"/>
    <col min="17" max="17" width="17.54296875" style="1" hidden="1" customWidth="1"/>
    <col min="18" max="19" width="13.6328125" style="1" hidden="1" customWidth="1"/>
    <col min="20" max="32" width="9.54296875" style="1" hidden="1" customWidth="1"/>
    <col min="33" max="36" width="56.54296875" style="1" hidden="1" customWidth="1"/>
    <col min="37" max="37" width="2.54296875" style="1" customWidth="1"/>
    <col min="38" max="16384" width="12.54296875" style="1"/>
  </cols>
  <sheetData>
    <row r="1" spans="1:36" s="55" customFormat="1" ht="15" customHeight="1" x14ac:dyDescent="0.35">
      <c r="A1" s="449"/>
      <c r="B1" s="450"/>
      <c r="C1" s="451"/>
      <c r="D1" s="505" t="s">
        <v>254</v>
      </c>
      <c r="E1" s="505"/>
      <c r="F1" s="505"/>
      <c r="G1" s="505"/>
      <c r="H1" s="505"/>
      <c r="I1" s="505"/>
      <c r="J1" s="505"/>
      <c r="K1" s="505"/>
      <c r="L1" s="505"/>
      <c r="M1" s="505"/>
      <c r="N1" s="505"/>
      <c r="O1" s="505"/>
      <c r="P1" s="505"/>
      <c r="Q1" s="505"/>
      <c r="R1" s="505"/>
      <c r="S1" s="505"/>
      <c r="T1" s="505"/>
      <c r="U1" s="505"/>
      <c r="V1" s="505"/>
      <c r="W1" s="505"/>
      <c r="X1" s="505"/>
      <c r="Y1" s="505"/>
      <c r="Z1" s="505"/>
      <c r="AA1" s="505"/>
      <c r="AB1" s="505"/>
      <c r="AC1" s="505"/>
      <c r="AD1" s="505"/>
      <c r="AE1" s="505"/>
      <c r="AF1" s="505"/>
      <c r="AG1" s="505"/>
      <c r="AH1" s="505"/>
      <c r="AI1" s="505"/>
      <c r="AJ1" s="505"/>
    </row>
    <row r="2" spans="1:36" s="55" customFormat="1" ht="20.149999999999999" customHeight="1" x14ac:dyDescent="0.35">
      <c r="A2" s="452"/>
      <c r="B2" s="453"/>
      <c r="C2" s="454"/>
      <c r="D2" s="505"/>
      <c r="E2" s="505"/>
      <c r="F2" s="505"/>
      <c r="G2" s="505"/>
      <c r="H2" s="505"/>
      <c r="I2" s="505"/>
      <c r="J2" s="505"/>
      <c r="K2" s="505"/>
      <c r="L2" s="505"/>
      <c r="M2" s="505"/>
      <c r="N2" s="505"/>
      <c r="O2" s="505"/>
      <c r="P2" s="505"/>
      <c r="Q2" s="505"/>
      <c r="R2" s="505"/>
      <c r="S2" s="505"/>
      <c r="T2" s="505"/>
      <c r="U2" s="505"/>
      <c r="V2" s="505"/>
      <c r="W2" s="505"/>
      <c r="X2" s="505"/>
      <c r="Y2" s="505"/>
      <c r="Z2" s="505"/>
      <c r="AA2" s="505"/>
      <c r="AB2" s="505"/>
      <c r="AC2" s="505"/>
      <c r="AD2" s="505"/>
      <c r="AE2" s="505"/>
      <c r="AF2" s="505"/>
      <c r="AG2" s="505"/>
      <c r="AH2" s="505"/>
      <c r="AI2" s="505"/>
      <c r="AJ2" s="505"/>
    </row>
    <row r="3" spans="1:36" s="55" customFormat="1" ht="60" customHeight="1" thickBot="1" x14ac:dyDescent="0.4">
      <c r="A3" s="455"/>
      <c r="B3" s="456"/>
      <c r="C3" s="457"/>
      <c r="D3" s="505"/>
      <c r="E3" s="505"/>
      <c r="F3" s="505"/>
      <c r="G3" s="505"/>
      <c r="H3" s="505"/>
      <c r="I3" s="505"/>
      <c r="J3" s="505"/>
      <c r="K3" s="505"/>
      <c r="L3" s="505"/>
      <c r="M3" s="505"/>
      <c r="N3" s="505"/>
      <c r="O3" s="505"/>
      <c r="P3" s="505"/>
      <c r="Q3" s="505"/>
      <c r="R3" s="505"/>
      <c r="S3" s="505"/>
      <c r="T3" s="505"/>
      <c r="U3" s="505"/>
      <c r="V3" s="505"/>
      <c r="W3" s="505"/>
      <c r="X3" s="505"/>
      <c r="Y3" s="505"/>
      <c r="Z3" s="505"/>
      <c r="AA3" s="505"/>
      <c r="AB3" s="505"/>
      <c r="AC3" s="505"/>
      <c r="AD3" s="505"/>
      <c r="AE3" s="505"/>
      <c r="AF3" s="505"/>
      <c r="AG3" s="505"/>
      <c r="AH3" s="505"/>
      <c r="AI3" s="505"/>
      <c r="AJ3" s="505"/>
    </row>
    <row r="4" spans="1:36" s="55" customFormat="1" ht="60" hidden="1" customHeight="1" x14ac:dyDescent="0.35">
      <c r="A4" s="447" t="s">
        <v>34</v>
      </c>
      <c r="B4" s="8" t="s">
        <v>35</v>
      </c>
      <c r="C4" s="10">
        <v>0.7</v>
      </c>
      <c r="D4" s="10"/>
      <c r="E4" s="10"/>
      <c r="F4" s="9"/>
      <c r="G4" s="447" t="s">
        <v>36</v>
      </c>
      <c r="H4" s="153"/>
      <c r="I4" s="8" t="s">
        <v>35</v>
      </c>
      <c r="J4" s="10">
        <v>0.7</v>
      </c>
      <c r="K4" s="56"/>
      <c r="L4" s="57"/>
      <c r="M4" s="57"/>
      <c r="N4" s="57"/>
      <c r="O4" s="57"/>
      <c r="P4" s="57"/>
      <c r="Q4" s="57"/>
      <c r="R4" s="57"/>
      <c r="S4" s="57"/>
      <c r="T4" s="57"/>
      <c r="U4" s="57"/>
      <c r="V4" s="57"/>
      <c r="W4" s="57"/>
      <c r="X4" s="57"/>
      <c r="Y4" s="57"/>
      <c r="Z4" s="57"/>
      <c r="AA4" s="57"/>
      <c r="AB4" s="57"/>
      <c r="AC4" s="57"/>
      <c r="AD4" s="57"/>
      <c r="AE4" s="57"/>
      <c r="AF4" s="57"/>
      <c r="AG4" s="57"/>
      <c r="AH4" s="57"/>
    </row>
    <row r="5" spans="1:36" s="55" customFormat="1" ht="60" hidden="1" customHeight="1" thickBot="1" x14ac:dyDescent="0.4">
      <c r="A5" s="447"/>
      <c r="B5" s="8" t="s">
        <v>37</v>
      </c>
      <c r="C5" s="11">
        <v>0.9</v>
      </c>
      <c r="D5" s="11"/>
      <c r="E5" s="11"/>
      <c r="F5" s="11">
        <v>1</v>
      </c>
      <c r="G5" s="447"/>
      <c r="H5" s="153"/>
      <c r="I5" s="8" t="s">
        <v>37</v>
      </c>
      <c r="J5" s="11">
        <v>0.95</v>
      </c>
      <c r="K5" s="56"/>
      <c r="L5" s="57"/>
      <c r="M5" s="57"/>
      <c r="N5" s="57"/>
      <c r="O5" s="57"/>
      <c r="P5" s="57"/>
      <c r="Q5" s="57"/>
      <c r="R5" s="57"/>
      <c r="S5" s="57"/>
      <c r="T5" s="57"/>
      <c r="U5" s="57"/>
      <c r="V5" s="57"/>
      <c r="W5" s="57"/>
      <c r="X5" s="57"/>
      <c r="Y5" s="57"/>
      <c r="Z5" s="57"/>
      <c r="AA5" s="57"/>
      <c r="AB5" s="57"/>
      <c r="AC5" s="57"/>
      <c r="AD5" s="57"/>
      <c r="AE5" s="57"/>
      <c r="AF5" s="57"/>
      <c r="AG5" s="57"/>
      <c r="AH5" s="57"/>
    </row>
    <row r="6" spans="1:36" ht="20.149999999999999" hidden="1" customHeight="1" x14ac:dyDescent="0.35">
      <c r="A6" s="448" t="s">
        <v>38</v>
      </c>
      <c r="B6" s="448"/>
      <c r="C6" s="533" t="s">
        <v>255</v>
      </c>
      <c r="D6" s="534"/>
      <c r="E6" s="535" t="s">
        <v>40</v>
      </c>
      <c r="F6" s="535"/>
      <c r="G6" s="536" t="e">
        <f>+R15+R35+R37+R39+#REF!+#REF!+#REF!+#REF!+#REF!+#REF!+#REF!</f>
        <v>#REF!</v>
      </c>
      <c r="H6" s="154"/>
      <c r="I6" s="535" t="s">
        <v>256</v>
      </c>
      <c r="J6" s="535"/>
      <c r="K6" s="482" t="e">
        <f>(R14+R34+R36+R38+#REF!+#REF!+#REF!+#REF!+#REF!+#REF!+#REF!)/N6</f>
        <v>#REF!</v>
      </c>
      <c r="L6" s="546" t="s">
        <v>41</v>
      </c>
      <c r="M6" s="547"/>
      <c r="N6" s="485">
        <v>0.95</v>
      </c>
      <c r="O6" s="448" t="s">
        <v>42</v>
      </c>
      <c r="P6" s="448"/>
      <c r="Q6" s="470" t="e">
        <f>(SUM(W14,W34,W36,W38,#REF!,#REF!,#REF!,#REF!)/SUM(W15,W35,W37,W39,#REF!,#REF!,#REF!,#REF!))/N6</f>
        <v>#REF!</v>
      </c>
      <c r="R6" s="471"/>
      <c r="S6" s="472"/>
      <c r="T6" s="461" t="s">
        <v>43</v>
      </c>
      <c r="U6" s="462"/>
      <c r="V6" s="462"/>
      <c r="W6" s="463"/>
      <c r="X6" s="470" t="e">
        <f>SUM(X14:Z14,X34:Z34,X36:Z36,X38:Z38,#REF!,#REF!,#REF!,#REF!,#REF!,#REF!,#REF!)/SUM(X15:Z15,X35:Z35,W37:Z37,X39:Z39,#REF!,#REF!,#REF!,#REF!,#REF!,#REF!,#REF!)/N6</f>
        <v>#REF!</v>
      </c>
      <c r="Y6" s="471"/>
      <c r="Z6" s="471"/>
      <c r="AA6" s="472"/>
      <c r="AB6" s="461" t="s">
        <v>44</v>
      </c>
      <c r="AC6" s="462"/>
      <c r="AD6" s="462"/>
      <c r="AE6" s="463"/>
      <c r="AF6" s="470" t="e">
        <f>SUM(AC14,AC34,AC36,AC38,#REF!,#REF!,#REF!,#REF!,#REF!)/SUM(AC15,AC35,AC37,AC39,#REF!,#REF!,#REF!,#REF!,#REF!)/N6</f>
        <v>#REF!</v>
      </c>
      <c r="AG6" s="472"/>
      <c r="AH6" s="461" t="s">
        <v>45</v>
      </c>
      <c r="AI6" s="470" t="e">
        <f>SUM(AF14,AF34,AF36,AF38,#REF!,#REF!,#REF!,#REF!,#REF!,#REF!,#REF!)/SUM(AF15,AF35,AF37,AF39,#REF!,#REF!,#REF!,#REF!,#REF!,#REF!,#REF!)/N6</f>
        <v>#REF!</v>
      </c>
    </row>
    <row r="7" spans="1:36" ht="15" hidden="1" customHeight="1" x14ac:dyDescent="0.35">
      <c r="A7" s="448"/>
      <c r="B7" s="448"/>
      <c r="C7" s="534"/>
      <c r="D7" s="534"/>
      <c r="E7" s="535"/>
      <c r="F7" s="535"/>
      <c r="G7" s="537"/>
      <c r="H7" s="155"/>
      <c r="I7" s="535"/>
      <c r="J7" s="535"/>
      <c r="K7" s="483"/>
      <c r="L7" s="548"/>
      <c r="M7" s="549"/>
      <c r="N7" s="486"/>
      <c r="O7" s="448"/>
      <c r="P7" s="448"/>
      <c r="Q7" s="473"/>
      <c r="R7" s="474"/>
      <c r="S7" s="475"/>
      <c r="T7" s="464"/>
      <c r="U7" s="465"/>
      <c r="V7" s="465"/>
      <c r="W7" s="466"/>
      <c r="X7" s="473"/>
      <c r="Y7" s="474"/>
      <c r="Z7" s="474"/>
      <c r="AA7" s="475"/>
      <c r="AB7" s="464"/>
      <c r="AC7" s="465"/>
      <c r="AD7" s="465"/>
      <c r="AE7" s="466"/>
      <c r="AF7" s="473"/>
      <c r="AG7" s="475"/>
      <c r="AH7" s="464"/>
      <c r="AI7" s="473"/>
    </row>
    <row r="8" spans="1:36" ht="25.4" hidden="1" customHeight="1" x14ac:dyDescent="0.35">
      <c r="A8" s="448"/>
      <c r="B8" s="448"/>
      <c r="C8" s="534"/>
      <c r="D8" s="534"/>
      <c r="E8" s="535"/>
      <c r="F8" s="535"/>
      <c r="G8" s="537"/>
      <c r="H8" s="155"/>
      <c r="I8" s="535"/>
      <c r="J8" s="535"/>
      <c r="K8" s="483"/>
      <c r="L8" s="548"/>
      <c r="M8" s="549"/>
      <c r="N8" s="486"/>
      <c r="O8" s="448"/>
      <c r="P8" s="448"/>
      <c r="Q8" s="473"/>
      <c r="R8" s="474"/>
      <c r="S8" s="475"/>
      <c r="T8" s="464"/>
      <c r="U8" s="465"/>
      <c r="V8" s="465"/>
      <c r="W8" s="466"/>
      <c r="X8" s="473"/>
      <c r="Y8" s="474"/>
      <c r="Z8" s="474"/>
      <c r="AA8" s="475"/>
      <c r="AB8" s="464"/>
      <c r="AC8" s="465"/>
      <c r="AD8" s="465"/>
      <c r="AE8" s="466"/>
      <c r="AF8" s="473"/>
      <c r="AG8" s="475"/>
      <c r="AH8" s="464"/>
      <c r="AI8" s="473"/>
    </row>
    <row r="9" spans="1:36" ht="25.4" hidden="1" customHeight="1" x14ac:dyDescent="0.35">
      <c r="A9" s="448"/>
      <c r="B9" s="448"/>
      <c r="C9" s="534"/>
      <c r="D9" s="534"/>
      <c r="E9" s="535"/>
      <c r="F9" s="535"/>
      <c r="G9" s="537"/>
      <c r="H9" s="155"/>
      <c r="I9" s="535"/>
      <c r="J9" s="535"/>
      <c r="K9" s="483"/>
      <c r="L9" s="548"/>
      <c r="M9" s="549"/>
      <c r="N9" s="486"/>
      <c r="O9" s="448"/>
      <c r="P9" s="448"/>
      <c r="Q9" s="473"/>
      <c r="R9" s="474"/>
      <c r="S9" s="475"/>
      <c r="T9" s="464"/>
      <c r="U9" s="465"/>
      <c r="V9" s="465"/>
      <c r="W9" s="466"/>
      <c r="X9" s="473"/>
      <c r="Y9" s="474"/>
      <c r="Z9" s="474"/>
      <c r="AA9" s="475"/>
      <c r="AB9" s="464"/>
      <c r="AC9" s="465"/>
      <c r="AD9" s="465"/>
      <c r="AE9" s="466"/>
      <c r="AF9" s="473"/>
      <c r="AG9" s="475"/>
      <c r="AH9" s="464"/>
      <c r="AI9" s="473"/>
    </row>
    <row r="10" spans="1:36" ht="15" hidden="1" customHeight="1" thickBot="1" x14ac:dyDescent="0.4">
      <c r="A10" s="448"/>
      <c r="B10" s="448"/>
      <c r="C10" s="534"/>
      <c r="D10" s="534"/>
      <c r="E10" s="535"/>
      <c r="F10" s="535"/>
      <c r="G10" s="537"/>
      <c r="H10" s="155"/>
      <c r="I10" s="538"/>
      <c r="J10" s="538"/>
      <c r="K10" s="484"/>
      <c r="L10" s="548"/>
      <c r="M10" s="549"/>
      <c r="N10" s="486"/>
      <c r="O10" s="541"/>
      <c r="P10" s="541"/>
      <c r="Q10" s="539"/>
      <c r="R10" s="542"/>
      <c r="S10" s="540"/>
      <c r="T10" s="464"/>
      <c r="U10" s="465"/>
      <c r="V10" s="465"/>
      <c r="W10" s="466"/>
      <c r="X10" s="539"/>
      <c r="Y10" s="542"/>
      <c r="Z10" s="542"/>
      <c r="AA10" s="540"/>
      <c r="AB10" s="464"/>
      <c r="AC10" s="465"/>
      <c r="AD10" s="465"/>
      <c r="AE10" s="466"/>
      <c r="AF10" s="539"/>
      <c r="AG10" s="540"/>
      <c r="AH10" s="464"/>
      <c r="AI10" s="539"/>
    </row>
    <row r="11" spans="1:36" s="12" customFormat="1" ht="40.4" customHeight="1" thickBot="1" x14ac:dyDescent="0.4">
      <c r="A11" s="522" t="s">
        <v>46</v>
      </c>
      <c r="B11" s="522"/>
      <c r="C11" s="522"/>
      <c r="D11" s="522"/>
      <c r="E11" s="522"/>
      <c r="F11" s="522"/>
      <c r="G11" s="523" t="s">
        <v>47</v>
      </c>
      <c r="H11" s="524"/>
      <c r="I11" s="524"/>
      <c r="J11" s="524"/>
      <c r="K11" s="524"/>
      <c r="L11" s="524"/>
      <c r="M11" s="524"/>
      <c r="N11" s="524"/>
      <c r="O11" s="525"/>
      <c r="P11" s="526"/>
      <c r="Q11" s="543" t="s">
        <v>48</v>
      </c>
      <c r="R11" s="544"/>
      <c r="S11" s="544"/>
      <c r="T11" s="544"/>
      <c r="U11" s="544"/>
      <c r="V11" s="544"/>
      <c r="W11" s="544"/>
      <c r="X11" s="544"/>
      <c r="Y11" s="544"/>
      <c r="Z11" s="544"/>
      <c r="AA11" s="544"/>
      <c r="AB11" s="544"/>
      <c r="AC11" s="544"/>
      <c r="AD11" s="544"/>
      <c r="AE11" s="544"/>
      <c r="AF11" s="545"/>
      <c r="AG11" s="543" t="s">
        <v>49</v>
      </c>
      <c r="AH11" s="544"/>
      <c r="AI11" s="544"/>
      <c r="AJ11" s="545"/>
    </row>
    <row r="12" spans="1:36" ht="39" customHeight="1" x14ac:dyDescent="0.35">
      <c r="A12" s="527" t="s">
        <v>50</v>
      </c>
      <c r="B12" s="532" t="s">
        <v>51</v>
      </c>
      <c r="C12" s="532" t="s">
        <v>52</v>
      </c>
      <c r="D12" s="532" t="s">
        <v>53</v>
      </c>
      <c r="E12" s="532" t="s">
        <v>54</v>
      </c>
      <c r="F12" s="532" t="s">
        <v>29</v>
      </c>
      <c r="G12" s="554" t="s">
        <v>55</v>
      </c>
      <c r="H12" s="527" t="s">
        <v>257</v>
      </c>
      <c r="I12" s="528" t="s">
        <v>258</v>
      </c>
      <c r="J12" s="554" t="s">
        <v>56</v>
      </c>
      <c r="K12" s="554" t="s">
        <v>57</v>
      </c>
      <c r="L12" s="554" t="s">
        <v>58</v>
      </c>
      <c r="M12" s="554" t="s">
        <v>59</v>
      </c>
      <c r="N12" s="554" t="s">
        <v>60</v>
      </c>
      <c r="O12" s="531" t="s">
        <v>61</v>
      </c>
      <c r="P12" s="531" t="s">
        <v>62</v>
      </c>
      <c r="Q12" s="562" t="s">
        <v>63</v>
      </c>
      <c r="R12" s="564" t="s">
        <v>64</v>
      </c>
      <c r="S12" s="566" t="s">
        <v>65</v>
      </c>
      <c r="T12" s="552" t="s">
        <v>66</v>
      </c>
      <c r="U12" s="552" t="s">
        <v>67</v>
      </c>
      <c r="V12" s="552" t="s">
        <v>68</v>
      </c>
      <c r="W12" s="552" t="s">
        <v>69</v>
      </c>
      <c r="X12" s="552" t="s">
        <v>70</v>
      </c>
      <c r="Y12" s="552" t="s">
        <v>71</v>
      </c>
      <c r="Z12" s="552" t="s">
        <v>72</v>
      </c>
      <c r="AA12" s="552" t="s">
        <v>73</v>
      </c>
      <c r="AB12" s="552" t="s">
        <v>74</v>
      </c>
      <c r="AC12" s="552" t="s">
        <v>75</v>
      </c>
      <c r="AD12" s="552" t="s">
        <v>76</v>
      </c>
      <c r="AE12" s="552" t="s">
        <v>77</v>
      </c>
      <c r="AF12" s="568" t="s">
        <v>78</v>
      </c>
      <c r="AG12" s="570" t="s">
        <v>79</v>
      </c>
      <c r="AH12" s="550" t="s">
        <v>80</v>
      </c>
      <c r="AI12" s="550" t="s">
        <v>81</v>
      </c>
      <c r="AJ12" s="550" t="s">
        <v>82</v>
      </c>
    </row>
    <row r="13" spans="1:36" ht="60" customHeight="1" x14ac:dyDescent="0.35">
      <c r="A13" s="528"/>
      <c r="B13" s="528"/>
      <c r="C13" s="528"/>
      <c r="D13" s="528"/>
      <c r="E13" s="528"/>
      <c r="F13" s="528"/>
      <c r="G13" s="528"/>
      <c r="H13" s="528"/>
      <c r="I13" s="531"/>
      <c r="J13" s="528"/>
      <c r="K13" s="528"/>
      <c r="L13" s="528"/>
      <c r="M13" s="528"/>
      <c r="N13" s="528"/>
      <c r="O13" s="531"/>
      <c r="P13" s="531"/>
      <c r="Q13" s="563"/>
      <c r="R13" s="565"/>
      <c r="S13" s="567"/>
      <c r="T13" s="553"/>
      <c r="U13" s="553"/>
      <c r="V13" s="553"/>
      <c r="W13" s="553"/>
      <c r="X13" s="553"/>
      <c r="Y13" s="553"/>
      <c r="Z13" s="553"/>
      <c r="AA13" s="553"/>
      <c r="AB13" s="553"/>
      <c r="AC13" s="553"/>
      <c r="AD13" s="553"/>
      <c r="AE13" s="553"/>
      <c r="AF13" s="569"/>
      <c r="AG13" s="571"/>
      <c r="AH13" s="551"/>
      <c r="AI13" s="551"/>
      <c r="AJ13" s="551"/>
    </row>
    <row r="14" spans="1:36" ht="88.5" customHeight="1" x14ac:dyDescent="0.35">
      <c r="A14" s="426">
        <v>1</v>
      </c>
      <c r="B14" s="445" t="s">
        <v>116</v>
      </c>
      <c r="C14" s="445" t="s">
        <v>259</v>
      </c>
      <c r="D14" s="445" t="s">
        <v>100</v>
      </c>
      <c r="E14" s="445" t="s">
        <v>101</v>
      </c>
      <c r="F14" s="444" t="s">
        <v>236</v>
      </c>
      <c r="G14" s="416" t="s">
        <v>236</v>
      </c>
      <c r="H14" s="515" t="s">
        <v>91</v>
      </c>
      <c r="I14" s="515" t="s">
        <v>260</v>
      </c>
      <c r="J14" s="516" t="s">
        <v>261</v>
      </c>
      <c r="K14" s="516" t="s">
        <v>262</v>
      </c>
      <c r="L14" s="416" t="s">
        <v>263</v>
      </c>
      <c r="M14" s="416" t="s">
        <v>264</v>
      </c>
      <c r="N14" s="416" t="s">
        <v>92</v>
      </c>
      <c r="O14" s="419">
        <v>46023</v>
      </c>
      <c r="P14" s="419">
        <v>46387</v>
      </c>
      <c r="Q14" s="59" t="s">
        <v>93</v>
      </c>
      <c r="R14" s="53">
        <f>+(R15*S14)</f>
        <v>0</v>
      </c>
      <c r="S14" s="130">
        <f t="shared" ref="S14:S39" si="0">SUM(T14:AF14)</f>
        <v>0</v>
      </c>
      <c r="T14" s="43"/>
      <c r="U14" s="43"/>
      <c r="V14" s="43"/>
      <c r="W14" s="88"/>
      <c r="X14" s="43"/>
      <c r="Y14" s="142"/>
      <c r="Z14" s="43"/>
      <c r="AA14" s="43"/>
      <c r="AB14" s="44"/>
      <c r="AC14" s="147"/>
      <c r="AD14" s="44"/>
      <c r="AE14" s="44"/>
      <c r="AF14" s="147"/>
      <c r="AG14" s="573"/>
      <c r="AH14" s="573"/>
      <c r="AI14" s="558"/>
      <c r="AJ14" s="558"/>
    </row>
    <row r="15" spans="1:36" ht="88.5" customHeight="1" x14ac:dyDescent="0.35">
      <c r="A15" s="440"/>
      <c r="B15" s="445"/>
      <c r="C15" s="445"/>
      <c r="D15" s="445"/>
      <c r="E15" s="445"/>
      <c r="F15" s="444"/>
      <c r="G15" s="417"/>
      <c r="H15" s="515"/>
      <c r="I15" s="515"/>
      <c r="J15" s="517"/>
      <c r="K15" s="517"/>
      <c r="L15" s="417"/>
      <c r="M15" s="417"/>
      <c r="N15" s="417"/>
      <c r="O15" s="572"/>
      <c r="P15" s="572"/>
      <c r="Q15" s="59" t="s">
        <v>98</v>
      </c>
      <c r="R15" s="52">
        <f>100%/11</f>
        <v>9.0909090909090912E-2</v>
      </c>
      <c r="S15" s="130">
        <f t="shared" si="0"/>
        <v>0</v>
      </c>
      <c r="T15" s="42"/>
      <c r="U15" s="42"/>
      <c r="V15" s="42"/>
      <c r="W15" s="42"/>
      <c r="X15" s="42"/>
      <c r="Y15" s="42"/>
      <c r="Z15" s="42"/>
      <c r="AA15" s="42"/>
      <c r="AB15" s="42"/>
      <c r="AC15" s="42"/>
      <c r="AD15" s="42"/>
      <c r="AE15" s="42"/>
      <c r="AF15" s="42"/>
      <c r="AG15" s="574"/>
      <c r="AH15" s="574"/>
      <c r="AI15" s="559"/>
      <c r="AJ15" s="559"/>
    </row>
    <row r="16" spans="1:36" ht="88.5" customHeight="1" x14ac:dyDescent="0.35">
      <c r="A16" s="426">
        <v>2</v>
      </c>
      <c r="B16" s="518" t="s">
        <v>116</v>
      </c>
      <c r="C16" s="518" t="s">
        <v>197</v>
      </c>
      <c r="D16" s="518" t="s">
        <v>172</v>
      </c>
      <c r="E16" s="518" t="s">
        <v>181</v>
      </c>
      <c r="F16" s="518" t="s">
        <v>227</v>
      </c>
      <c r="G16" s="518" t="s">
        <v>227</v>
      </c>
      <c r="H16" s="515" t="s">
        <v>91</v>
      </c>
      <c r="I16" s="518" t="s">
        <v>265</v>
      </c>
      <c r="J16" s="518" t="s">
        <v>266</v>
      </c>
      <c r="K16" s="518" t="s">
        <v>267</v>
      </c>
      <c r="L16" s="518" t="s">
        <v>268</v>
      </c>
      <c r="M16" s="516" t="s">
        <v>264</v>
      </c>
      <c r="N16" s="518" t="s">
        <v>92</v>
      </c>
      <c r="O16" s="575">
        <v>46023</v>
      </c>
      <c r="P16" s="575">
        <v>46387</v>
      </c>
      <c r="Q16" s="59" t="s">
        <v>93</v>
      </c>
      <c r="R16" s="53">
        <f>+(R17*S16)</f>
        <v>0</v>
      </c>
      <c r="S16" s="130">
        <f t="shared" ref="S16:S17" si="1">SUM(T16:AF16)</f>
        <v>0</v>
      </c>
      <c r="T16" s="43"/>
      <c r="U16" s="43"/>
      <c r="V16" s="43"/>
      <c r="W16" s="88"/>
      <c r="X16" s="43"/>
      <c r="Y16" s="142"/>
      <c r="Z16" s="43"/>
      <c r="AA16" s="43"/>
      <c r="AB16" s="44"/>
      <c r="AC16" s="147"/>
      <c r="AD16" s="44"/>
      <c r="AE16" s="44"/>
      <c r="AF16" s="147"/>
      <c r="AG16" s="573"/>
      <c r="AH16" s="573"/>
      <c r="AI16" s="558"/>
      <c r="AJ16" s="558"/>
    </row>
    <row r="17" spans="1:36" ht="88.5" customHeight="1" x14ac:dyDescent="0.35">
      <c r="A17" s="440"/>
      <c r="B17" s="519"/>
      <c r="C17" s="519"/>
      <c r="D17" s="519"/>
      <c r="E17" s="519"/>
      <c r="F17" s="519"/>
      <c r="G17" s="519"/>
      <c r="H17" s="515"/>
      <c r="I17" s="519"/>
      <c r="J17" s="519"/>
      <c r="K17" s="519"/>
      <c r="L17" s="519"/>
      <c r="M17" s="517"/>
      <c r="N17" s="519"/>
      <c r="O17" s="576"/>
      <c r="P17" s="576"/>
      <c r="Q17" s="59" t="s">
        <v>98</v>
      </c>
      <c r="R17" s="52">
        <f>100%/11</f>
        <v>9.0909090909090912E-2</v>
      </c>
      <c r="S17" s="130">
        <f t="shared" si="1"/>
        <v>0</v>
      </c>
      <c r="T17" s="42"/>
      <c r="U17" s="42"/>
      <c r="V17" s="42"/>
      <c r="W17" s="42"/>
      <c r="X17" s="42"/>
      <c r="Y17" s="42"/>
      <c r="Z17" s="42"/>
      <c r="AA17" s="42"/>
      <c r="AB17" s="42"/>
      <c r="AC17" s="42"/>
      <c r="AD17" s="42"/>
      <c r="AE17" s="42"/>
      <c r="AF17" s="42"/>
      <c r="AG17" s="574"/>
      <c r="AH17" s="574"/>
      <c r="AI17" s="559"/>
      <c r="AJ17" s="559"/>
    </row>
    <row r="18" spans="1:36" ht="106.4" customHeight="1" x14ac:dyDescent="0.35">
      <c r="A18" s="426">
        <v>3</v>
      </c>
      <c r="B18" s="426" t="s">
        <v>116</v>
      </c>
      <c r="C18" s="426" t="s">
        <v>197</v>
      </c>
      <c r="D18" s="426" t="s">
        <v>172</v>
      </c>
      <c r="E18" s="426" t="s">
        <v>181</v>
      </c>
      <c r="F18" s="231" t="s">
        <v>227</v>
      </c>
      <c r="G18" s="426" t="s">
        <v>227</v>
      </c>
      <c r="H18" s="515" t="s">
        <v>91</v>
      </c>
      <c r="I18" s="426" t="s">
        <v>269</v>
      </c>
      <c r="J18" s="426" t="s">
        <v>270</v>
      </c>
      <c r="K18" s="426" t="s">
        <v>271</v>
      </c>
      <c r="L18" s="426" t="s">
        <v>268</v>
      </c>
      <c r="M18" s="426" t="s">
        <v>264</v>
      </c>
      <c r="N18" s="426" t="s">
        <v>92</v>
      </c>
      <c r="O18" s="560">
        <v>46023</v>
      </c>
      <c r="P18" s="560">
        <v>46387</v>
      </c>
      <c r="Q18" s="59"/>
      <c r="R18" s="52"/>
      <c r="S18" s="130"/>
      <c r="T18" s="42"/>
      <c r="U18" s="42"/>
      <c r="V18" s="42"/>
      <c r="W18" s="42"/>
      <c r="X18" s="42"/>
      <c r="Y18" s="42"/>
      <c r="Z18" s="42"/>
      <c r="AA18" s="42"/>
      <c r="AB18" s="42"/>
      <c r="AC18" s="42"/>
      <c r="AD18" s="42"/>
      <c r="AE18" s="42"/>
      <c r="AF18" s="42"/>
      <c r="AG18" s="157"/>
      <c r="AH18" s="157"/>
      <c r="AI18" s="158"/>
      <c r="AJ18" s="158"/>
    </row>
    <row r="19" spans="1:36" ht="88.5" customHeight="1" x14ac:dyDescent="0.35">
      <c r="A19" s="440"/>
      <c r="B19" s="427"/>
      <c r="C19" s="427"/>
      <c r="D19" s="427"/>
      <c r="E19" s="427"/>
      <c r="F19" s="66"/>
      <c r="G19" s="427"/>
      <c r="H19" s="515"/>
      <c r="I19" s="427"/>
      <c r="J19" s="427"/>
      <c r="K19" s="427"/>
      <c r="L19" s="427"/>
      <c r="M19" s="427"/>
      <c r="N19" s="427"/>
      <c r="O19" s="561"/>
      <c r="P19" s="561"/>
      <c r="Q19" s="59"/>
      <c r="R19" s="52"/>
      <c r="S19" s="130"/>
      <c r="T19" s="42"/>
      <c r="U19" s="42"/>
      <c r="V19" s="42"/>
      <c r="W19" s="42"/>
      <c r="X19" s="42"/>
      <c r="Y19" s="42"/>
      <c r="Z19" s="42"/>
      <c r="AA19" s="42"/>
      <c r="AB19" s="42"/>
      <c r="AC19" s="42"/>
      <c r="AD19" s="42"/>
      <c r="AE19" s="42"/>
      <c r="AF19" s="42"/>
      <c r="AG19" s="157"/>
      <c r="AH19" s="157"/>
      <c r="AI19" s="158"/>
      <c r="AJ19" s="158"/>
    </row>
    <row r="20" spans="1:36" ht="88.5" customHeight="1" x14ac:dyDescent="0.35">
      <c r="A20" s="426">
        <v>4</v>
      </c>
      <c r="B20" s="556" t="s">
        <v>116</v>
      </c>
      <c r="C20" s="556" t="s">
        <v>272</v>
      </c>
      <c r="D20" s="556" t="s">
        <v>172</v>
      </c>
      <c r="E20" s="556" t="s">
        <v>184</v>
      </c>
      <c r="F20" s="556" t="s">
        <v>87</v>
      </c>
      <c r="G20" s="556" t="s">
        <v>87</v>
      </c>
      <c r="H20" s="515" t="s">
        <v>91</v>
      </c>
      <c r="I20" s="556" t="s">
        <v>273</v>
      </c>
      <c r="J20" s="556" t="s">
        <v>274</v>
      </c>
      <c r="K20" s="556" t="s">
        <v>275</v>
      </c>
      <c r="L20" s="556" t="s">
        <v>276</v>
      </c>
      <c r="M20" s="426" t="s">
        <v>264</v>
      </c>
      <c r="N20" s="556" t="s">
        <v>92</v>
      </c>
      <c r="O20" s="511">
        <v>46023</v>
      </c>
      <c r="P20" s="511">
        <v>46387</v>
      </c>
      <c r="Q20" s="59"/>
      <c r="R20" s="52"/>
      <c r="S20" s="130"/>
      <c r="T20" s="42"/>
      <c r="U20" s="42"/>
      <c r="V20" s="42"/>
      <c r="W20" s="42"/>
      <c r="X20" s="42"/>
      <c r="Y20" s="42"/>
      <c r="Z20" s="42"/>
      <c r="AA20" s="42"/>
      <c r="AB20" s="42"/>
      <c r="AC20" s="42"/>
      <c r="AD20" s="42"/>
      <c r="AE20" s="42"/>
      <c r="AF20" s="42"/>
      <c r="AG20" s="157"/>
      <c r="AH20" s="157"/>
      <c r="AI20" s="158"/>
      <c r="AJ20" s="158"/>
    </row>
    <row r="21" spans="1:36" ht="88.5" customHeight="1" x14ac:dyDescent="0.35">
      <c r="A21" s="440"/>
      <c r="B21" s="557"/>
      <c r="C21" s="557"/>
      <c r="D21" s="557"/>
      <c r="E21" s="557"/>
      <c r="F21" s="557"/>
      <c r="G21" s="557"/>
      <c r="H21" s="515"/>
      <c r="I21" s="557"/>
      <c r="J21" s="557"/>
      <c r="K21" s="557"/>
      <c r="L21" s="557"/>
      <c r="M21" s="427"/>
      <c r="N21" s="557"/>
      <c r="O21" s="512"/>
      <c r="P21" s="512"/>
      <c r="Q21" s="59"/>
      <c r="R21" s="52"/>
      <c r="S21" s="130"/>
      <c r="T21" s="42"/>
      <c r="U21" s="42"/>
      <c r="V21" s="42"/>
      <c r="W21" s="42"/>
      <c r="X21" s="42"/>
      <c r="Y21" s="42"/>
      <c r="Z21" s="42"/>
      <c r="AA21" s="42"/>
      <c r="AB21" s="42"/>
      <c r="AC21" s="42"/>
      <c r="AD21" s="42"/>
      <c r="AE21" s="42"/>
      <c r="AF21" s="42"/>
      <c r="AG21" s="157"/>
      <c r="AH21" s="157"/>
      <c r="AI21" s="158"/>
      <c r="AJ21" s="158"/>
    </row>
    <row r="22" spans="1:36" ht="88.5" customHeight="1" x14ac:dyDescent="0.35">
      <c r="A22" s="426">
        <v>6</v>
      </c>
      <c r="B22" s="555" t="s">
        <v>116</v>
      </c>
      <c r="C22" s="555" t="s">
        <v>117</v>
      </c>
      <c r="D22" s="555" t="s">
        <v>172</v>
      </c>
      <c r="E22" s="555" t="s">
        <v>176</v>
      </c>
      <c r="F22" s="586" t="s">
        <v>277</v>
      </c>
      <c r="G22" s="520" t="s">
        <v>127</v>
      </c>
      <c r="H22" s="520" t="s">
        <v>224</v>
      </c>
      <c r="I22" s="520" t="s">
        <v>278</v>
      </c>
      <c r="J22" s="520" t="s">
        <v>278</v>
      </c>
      <c r="K22" s="520" t="s">
        <v>279</v>
      </c>
      <c r="L22" s="520" t="s">
        <v>263</v>
      </c>
      <c r="M22" s="520" t="s">
        <v>264</v>
      </c>
      <c r="N22" s="585" t="s">
        <v>179</v>
      </c>
      <c r="O22" s="511">
        <v>46023</v>
      </c>
      <c r="P22" s="511">
        <v>46387</v>
      </c>
      <c r="Q22" s="59"/>
      <c r="R22" s="52"/>
      <c r="S22" s="130"/>
      <c r="T22" s="42"/>
      <c r="U22" s="42"/>
      <c r="V22" s="42"/>
      <c r="W22" s="42"/>
      <c r="X22" s="42"/>
      <c r="Y22" s="42"/>
      <c r="Z22" s="42"/>
      <c r="AA22" s="42"/>
      <c r="AB22" s="42"/>
      <c r="AC22" s="42"/>
      <c r="AD22" s="42"/>
      <c r="AE22" s="42"/>
      <c r="AF22" s="42"/>
      <c r="AG22" s="157"/>
      <c r="AH22" s="157"/>
      <c r="AI22" s="158"/>
      <c r="AJ22" s="158"/>
    </row>
    <row r="23" spans="1:36" ht="88.5" customHeight="1" x14ac:dyDescent="0.35">
      <c r="A23" s="440"/>
      <c r="B23" s="555"/>
      <c r="C23" s="555"/>
      <c r="D23" s="555"/>
      <c r="E23" s="555"/>
      <c r="F23" s="586"/>
      <c r="G23" s="529"/>
      <c r="H23" s="529"/>
      <c r="I23" s="521"/>
      <c r="J23" s="521"/>
      <c r="K23" s="521"/>
      <c r="L23" s="529"/>
      <c r="M23" s="521"/>
      <c r="N23" s="585"/>
      <c r="O23" s="512"/>
      <c r="P23" s="512"/>
      <c r="Q23" s="59"/>
      <c r="R23" s="52"/>
      <c r="S23" s="130"/>
      <c r="T23" s="42"/>
      <c r="U23" s="42"/>
      <c r="V23" s="42"/>
      <c r="W23" s="42"/>
      <c r="X23" s="42"/>
      <c r="Y23" s="42"/>
      <c r="Z23" s="42"/>
      <c r="AA23" s="42"/>
      <c r="AB23" s="42"/>
      <c r="AC23" s="42"/>
      <c r="AD23" s="42"/>
      <c r="AE23" s="42"/>
      <c r="AF23" s="42"/>
      <c r="AG23" s="157"/>
      <c r="AH23" s="157"/>
      <c r="AI23" s="158"/>
      <c r="AJ23" s="158"/>
    </row>
    <row r="24" spans="1:36" ht="88.5" customHeight="1" x14ac:dyDescent="0.35">
      <c r="A24" s="426">
        <v>7</v>
      </c>
      <c r="B24" s="555" t="s">
        <v>116</v>
      </c>
      <c r="C24" s="555" t="s">
        <v>117</v>
      </c>
      <c r="D24" s="445" t="s">
        <v>111</v>
      </c>
      <c r="E24" s="445" t="s">
        <v>112</v>
      </c>
      <c r="F24" s="426"/>
      <c r="G24" s="416" t="s">
        <v>39</v>
      </c>
      <c r="H24" s="515" t="s">
        <v>91</v>
      </c>
      <c r="I24" s="520" t="s">
        <v>280</v>
      </c>
      <c r="J24" s="520" t="s">
        <v>281</v>
      </c>
      <c r="K24" s="520" t="s">
        <v>282</v>
      </c>
      <c r="L24" s="520" t="s">
        <v>263</v>
      </c>
      <c r="M24" s="520" t="s">
        <v>264</v>
      </c>
      <c r="N24" s="585" t="s">
        <v>92</v>
      </c>
      <c r="O24" s="511">
        <v>46023</v>
      </c>
      <c r="P24" s="511">
        <v>46387</v>
      </c>
      <c r="Q24" s="59"/>
      <c r="R24" s="52"/>
      <c r="S24" s="130"/>
      <c r="T24" s="42"/>
      <c r="U24" s="42"/>
      <c r="V24" s="42"/>
      <c r="W24" s="42"/>
      <c r="X24" s="42"/>
      <c r="Y24" s="42"/>
      <c r="Z24" s="42"/>
      <c r="AA24" s="42"/>
      <c r="AB24" s="42"/>
      <c r="AC24" s="42"/>
      <c r="AD24" s="42"/>
      <c r="AE24" s="42"/>
      <c r="AF24" s="42"/>
      <c r="AG24" s="157"/>
      <c r="AH24" s="157"/>
      <c r="AI24" s="158"/>
      <c r="AJ24" s="158"/>
    </row>
    <row r="25" spans="1:36" ht="88.5" customHeight="1" x14ac:dyDescent="0.35">
      <c r="A25" s="440"/>
      <c r="B25" s="555"/>
      <c r="C25" s="555"/>
      <c r="D25" s="445"/>
      <c r="E25" s="445"/>
      <c r="F25" s="427"/>
      <c r="G25" s="417"/>
      <c r="H25" s="515"/>
      <c r="I25" s="521"/>
      <c r="J25" s="521"/>
      <c r="K25" s="521"/>
      <c r="L25" s="529"/>
      <c r="M25" s="521"/>
      <c r="N25" s="585"/>
      <c r="O25" s="512"/>
      <c r="P25" s="512"/>
      <c r="Q25" s="59"/>
      <c r="R25" s="52"/>
      <c r="S25" s="130"/>
      <c r="T25" s="42"/>
      <c r="U25" s="42"/>
      <c r="V25" s="42"/>
      <c r="W25" s="42"/>
      <c r="X25" s="42"/>
      <c r="Y25" s="42"/>
      <c r="Z25" s="42"/>
      <c r="AA25" s="42"/>
      <c r="AB25" s="42"/>
      <c r="AC25" s="42"/>
      <c r="AD25" s="42"/>
      <c r="AE25" s="42"/>
      <c r="AF25" s="42"/>
      <c r="AG25" s="157"/>
      <c r="AH25" s="157"/>
      <c r="AI25" s="158"/>
      <c r="AJ25" s="158"/>
    </row>
    <row r="26" spans="1:36" ht="88.5" customHeight="1" x14ac:dyDescent="0.35">
      <c r="A26" s="426">
        <v>8</v>
      </c>
      <c r="B26" s="555" t="s">
        <v>116</v>
      </c>
      <c r="C26" s="555" t="s">
        <v>117</v>
      </c>
      <c r="D26" s="445" t="s">
        <v>111</v>
      </c>
      <c r="E26" s="445" t="s">
        <v>112</v>
      </c>
      <c r="F26" s="426"/>
      <c r="G26" s="416" t="s">
        <v>39</v>
      </c>
      <c r="H26" s="515" t="s">
        <v>91</v>
      </c>
      <c r="I26" s="520" t="s">
        <v>283</v>
      </c>
      <c r="J26" s="520" t="s">
        <v>284</v>
      </c>
      <c r="K26" s="520" t="s">
        <v>285</v>
      </c>
      <c r="L26" s="520" t="s">
        <v>263</v>
      </c>
      <c r="M26" s="520" t="s">
        <v>264</v>
      </c>
      <c r="N26" s="584" t="s">
        <v>286</v>
      </c>
      <c r="O26" s="511">
        <v>46023</v>
      </c>
      <c r="P26" s="511">
        <v>46387</v>
      </c>
      <c r="Q26" s="59"/>
      <c r="R26" s="52"/>
      <c r="S26" s="130"/>
      <c r="T26" s="42"/>
      <c r="U26" s="42"/>
      <c r="V26" s="42"/>
      <c r="W26" s="42"/>
      <c r="X26" s="42"/>
      <c r="Y26" s="42"/>
      <c r="Z26" s="42"/>
      <c r="AA26" s="42"/>
      <c r="AB26" s="42"/>
      <c r="AC26" s="42"/>
      <c r="AD26" s="42"/>
      <c r="AE26" s="42"/>
      <c r="AF26" s="42"/>
      <c r="AG26" s="157"/>
      <c r="AH26" s="157"/>
      <c r="AI26" s="158"/>
      <c r="AJ26" s="158"/>
    </row>
    <row r="27" spans="1:36" ht="88.5" customHeight="1" x14ac:dyDescent="0.35">
      <c r="A27" s="440"/>
      <c r="B27" s="555"/>
      <c r="C27" s="555"/>
      <c r="D27" s="445"/>
      <c r="E27" s="445"/>
      <c r="F27" s="427"/>
      <c r="G27" s="417"/>
      <c r="H27" s="515"/>
      <c r="I27" s="521"/>
      <c r="J27" s="521"/>
      <c r="K27" s="521"/>
      <c r="L27" s="529"/>
      <c r="M27" s="521"/>
      <c r="N27" s="584"/>
      <c r="O27" s="512"/>
      <c r="P27" s="512"/>
      <c r="Q27" s="59"/>
      <c r="R27" s="52"/>
      <c r="S27" s="130"/>
      <c r="T27" s="42"/>
      <c r="U27" s="42"/>
      <c r="V27" s="42"/>
      <c r="W27" s="42"/>
      <c r="X27" s="42"/>
      <c r="Y27" s="42"/>
      <c r="Z27" s="42"/>
      <c r="AA27" s="42"/>
      <c r="AB27" s="42"/>
      <c r="AC27" s="42"/>
      <c r="AD27" s="42"/>
      <c r="AE27" s="42"/>
      <c r="AF27" s="42"/>
      <c r="AG27" s="157"/>
      <c r="AH27" s="157"/>
      <c r="AI27" s="158"/>
      <c r="AJ27" s="158"/>
    </row>
    <row r="28" spans="1:36" ht="88.5" customHeight="1" x14ac:dyDescent="0.35">
      <c r="A28" s="426">
        <v>9</v>
      </c>
      <c r="B28" s="555" t="s">
        <v>116</v>
      </c>
      <c r="C28" s="555" t="s">
        <v>117</v>
      </c>
      <c r="D28" s="445" t="s">
        <v>85</v>
      </c>
      <c r="E28" s="445" t="s">
        <v>149</v>
      </c>
      <c r="F28" s="426"/>
      <c r="G28" s="416" t="s">
        <v>247</v>
      </c>
      <c r="H28" s="515" t="s">
        <v>91</v>
      </c>
      <c r="I28" s="426" t="s">
        <v>287</v>
      </c>
      <c r="J28" s="520" t="s">
        <v>288</v>
      </c>
      <c r="K28" s="520" t="s">
        <v>282</v>
      </c>
      <c r="L28" s="520" t="s">
        <v>263</v>
      </c>
      <c r="M28" s="520" t="s">
        <v>264</v>
      </c>
      <c r="N28" s="584" t="s">
        <v>92</v>
      </c>
      <c r="O28" s="511">
        <v>46023</v>
      </c>
      <c r="P28" s="511">
        <v>46387</v>
      </c>
      <c r="Q28" s="59"/>
      <c r="R28" s="52"/>
      <c r="S28" s="130"/>
      <c r="T28" s="42"/>
      <c r="U28" s="42"/>
      <c r="V28" s="42"/>
      <c r="W28" s="42"/>
      <c r="X28" s="42"/>
      <c r="Y28" s="42"/>
      <c r="Z28" s="42"/>
      <c r="AA28" s="42"/>
      <c r="AB28" s="42"/>
      <c r="AC28" s="42"/>
      <c r="AD28" s="42"/>
      <c r="AE28" s="42"/>
      <c r="AF28" s="42"/>
      <c r="AG28" s="157"/>
      <c r="AH28" s="157"/>
      <c r="AI28" s="158"/>
      <c r="AJ28" s="158"/>
    </row>
    <row r="29" spans="1:36" ht="88.5" customHeight="1" x14ac:dyDescent="0.35">
      <c r="A29" s="440"/>
      <c r="B29" s="555"/>
      <c r="C29" s="555"/>
      <c r="D29" s="445"/>
      <c r="E29" s="445"/>
      <c r="F29" s="427"/>
      <c r="G29" s="417"/>
      <c r="H29" s="515"/>
      <c r="I29" s="427"/>
      <c r="J29" s="521"/>
      <c r="K29" s="521"/>
      <c r="L29" s="529"/>
      <c r="M29" s="521"/>
      <c r="N29" s="584"/>
      <c r="O29" s="512"/>
      <c r="P29" s="512"/>
      <c r="Q29" s="59"/>
      <c r="R29" s="52"/>
      <c r="S29" s="130"/>
      <c r="T29" s="42"/>
      <c r="U29" s="42"/>
      <c r="V29" s="42"/>
      <c r="W29" s="42"/>
      <c r="X29" s="42"/>
      <c r="Y29" s="42"/>
      <c r="Z29" s="42"/>
      <c r="AA29" s="42"/>
      <c r="AB29" s="42"/>
      <c r="AC29" s="42"/>
      <c r="AD29" s="42"/>
      <c r="AE29" s="42"/>
      <c r="AF29" s="42"/>
      <c r="AG29" s="157"/>
      <c r="AH29" s="157"/>
      <c r="AI29" s="158"/>
      <c r="AJ29" s="158"/>
    </row>
    <row r="30" spans="1:36" ht="88.5" customHeight="1" x14ac:dyDescent="0.35">
      <c r="A30" s="426">
        <v>10</v>
      </c>
      <c r="B30" s="555" t="s">
        <v>116</v>
      </c>
      <c r="C30" s="555" t="s">
        <v>117</v>
      </c>
      <c r="D30" s="445" t="s">
        <v>85</v>
      </c>
      <c r="E30" s="445" t="s">
        <v>149</v>
      </c>
      <c r="F30" s="426"/>
      <c r="G30" s="416" t="s">
        <v>247</v>
      </c>
      <c r="H30" s="515" t="s">
        <v>91</v>
      </c>
      <c r="I30" s="445" t="s">
        <v>289</v>
      </c>
      <c r="J30" s="520" t="s">
        <v>290</v>
      </c>
      <c r="K30" s="520" t="s">
        <v>291</v>
      </c>
      <c r="L30" s="520" t="s">
        <v>263</v>
      </c>
      <c r="M30" s="520" t="s">
        <v>264</v>
      </c>
      <c r="N30" s="584" t="s">
        <v>179</v>
      </c>
      <c r="O30" s="511">
        <v>46023</v>
      </c>
      <c r="P30" s="511">
        <v>46387</v>
      </c>
      <c r="Q30" s="59"/>
      <c r="R30" s="52"/>
      <c r="S30" s="130"/>
      <c r="T30" s="42"/>
      <c r="U30" s="42"/>
      <c r="V30" s="42"/>
      <c r="W30" s="42"/>
      <c r="X30" s="42"/>
      <c r="Y30" s="42"/>
      <c r="Z30" s="42"/>
      <c r="AA30" s="42"/>
      <c r="AB30" s="42"/>
      <c r="AC30" s="42"/>
      <c r="AD30" s="42"/>
      <c r="AE30" s="42"/>
      <c r="AF30" s="42"/>
      <c r="AG30" s="157"/>
      <c r="AH30" s="157"/>
      <c r="AI30" s="158"/>
      <c r="AJ30" s="158"/>
    </row>
    <row r="31" spans="1:36" ht="88.5" customHeight="1" x14ac:dyDescent="0.35">
      <c r="A31" s="440"/>
      <c r="B31" s="555"/>
      <c r="C31" s="555"/>
      <c r="D31" s="445"/>
      <c r="E31" s="445"/>
      <c r="F31" s="427"/>
      <c r="G31" s="417"/>
      <c r="H31" s="515"/>
      <c r="I31" s="445"/>
      <c r="J31" s="521"/>
      <c r="K31" s="521"/>
      <c r="L31" s="529"/>
      <c r="M31" s="521"/>
      <c r="N31" s="584"/>
      <c r="O31" s="512"/>
      <c r="P31" s="512"/>
      <c r="Q31" s="59"/>
      <c r="R31" s="52"/>
      <c r="S31" s="130"/>
      <c r="T31" s="42"/>
      <c r="U31" s="42"/>
      <c r="V31" s="42"/>
      <c r="W31" s="42"/>
      <c r="X31" s="42"/>
      <c r="Y31" s="42"/>
      <c r="Z31" s="42"/>
      <c r="AA31" s="42"/>
      <c r="AB31" s="42"/>
      <c r="AC31" s="42"/>
      <c r="AD31" s="42"/>
      <c r="AE31" s="42"/>
      <c r="AF31" s="42"/>
      <c r="AG31" s="157"/>
      <c r="AH31" s="157"/>
      <c r="AI31" s="158"/>
      <c r="AJ31" s="158"/>
    </row>
    <row r="32" spans="1:36" ht="88.5" customHeight="1" x14ac:dyDescent="0.35">
      <c r="A32" s="426">
        <v>11</v>
      </c>
      <c r="B32" s="555" t="s">
        <v>116</v>
      </c>
      <c r="C32" s="445" t="s">
        <v>259</v>
      </c>
      <c r="D32" s="445" t="s">
        <v>85</v>
      </c>
      <c r="E32" s="445" t="s">
        <v>118</v>
      </c>
      <c r="F32" s="426"/>
      <c r="G32" s="416" t="s">
        <v>119</v>
      </c>
      <c r="H32" s="515" t="s">
        <v>91</v>
      </c>
      <c r="I32" s="445" t="s">
        <v>292</v>
      </c>
      <c r="J32" s="445" t="s">
        <v>292</v>
      </c>
      <c r="K32" s="445" t="s">
        <v>293</v>
      </c>
      <c r="L32" s="445" t="s">
        <v>263</v>
      </c>
      <c r="M32" s="445" t="s">
        <v>264</v>
      </c>
      <c r="N32" s="445" t="s">
        <v>92</v>
      </c>
      <c r="O32" s="511">
        <v>46023</v>
      </c>
      <c r="P32" s="511">
        <v>46387</v>
      </c>
      <c r="Q32" s="59"/>
      <c r="R32" s="52"/>
      <c r="S32" s="130"/>
      <c r="T32" s="42"/>
      <c r="U32" s="42"/>
      <c r="V32" s="42"/>
      <c r="W32" s="42"/>
      <c r="X32" s="42"/>
      <c r="Y32" s="42"/>
      <c r="Z32" s="42"/>
      <c r="AA32" s="42"/>
      <c r="AB32" s="42"/>
      <c r="AC32" s="42"/>
      <c r="AD32" s="42"/>
      <c r="AE32" s="42"/>
      <c r="AF32" s="42"/>
      <c r="AG32" s="157"/>
      <c r="AH32" s="157"/>
      <c r="AI32" s="158"/>
      <c r="AJ32" s="158"/>
    </row>
    <row r="33" spans="1:36" ht="88.5" customHeight="1" x14ac:dyDescent="0.35">
      <c r="A33" s="440"/>
      <c r="B33" s="555"/>
      <c r="C33" s="445"/>
      <c r="D33" s="445"/>
      <c r="E33" s="445"/>
      <c r="F33" s="427"/>
      <c r="G33" s="417"/>
      <c r="H33" s="515"/>
      <c r="I33" s="445" t="s">
        <v>292</v>
      </c>
      <c r="J33" s="445" t="s">
        <v>292</v>
      </c>
      <c r="K33" s="445" t="s">
        <v>293</v>
      </c>
      <c r="L33" s="445" t="s">
        <v>263</v>
      </c>
      <c r="M33" s="445" t="s">
        <v>264</v>
      </c>
      <c r="N33" s="445" t="s">
        <v>92</v>
      </c>
      <c r="O33" s="512"/>
      <c r="P33" s="512"/>
      <c r="Q33" s="59"/>
      <c r="R33" s="52"/>
      <c r="S33" s="130"/>
      <c r="T33" s="42"/>
      <c r="U33" s="42"/>
      <c r="V33" s="42"/>
      <c r="W33" s="42"/>
      <c r="X33" s="42"/>
      <c r="Y33" s="42"/>
      <c r="Z33" s="42"/>
      <c r="AA33" s="42"/>
      <c r="AB33" s="42"/>
      <c r="AC33" s="42"/>
      <c r="AD33" s="42"/>
      <c r="AE33" s="42"/>
      <c r="AF33" s="42"/>
      <c r="AG33" s="157"/>
      <c r="AH33" s="157"/>
      <c r="AI33" s="158"/>
      <c r="AJ33" s="158"/>
    </row>
    <row r="34" spans="1:36" ht="88.5" customHeight="1" x14ac:dyDescent="0.35">
      <c r="A34" s="426">
        <v>12</v>
      </c>
      <c r="B34" s="445" t="s">
        <v>99</v>
      </c>
      <c r="C34" s="445" t="s">
        <v>117</v>
      </c>
      <c r="D34" s="445" t="s">
        <v>180</v>
      </c>
      <c r="E34" s="445" t="s">
        <v>176</v>
      </c>
      <c r="F34" s="530"/>
      <c r="G34" s="416" t="s">
        <v>245</v>
      </c>
      <c r="H34" s="515" t="s">
        <v>91</v>
      </c>
      <c r="I34" s="513" t="s">
        <v>294</v>
      </c>
      <c r="J34" s="513" t="s">
        <v>295</v>
      </c>
      <c r="K34" s="513" t="s">
        <v>296</v>
      </c>
      <c r="L34" s="513" t="s">
        <v>297</v>
      </c>
      <c r="M34" s="513" t="s">
        <v>264</v>
      </c>
      <c r="N34" s="513" t="s">
        <v>92</v>
      </c>
      <c r="O34" s="579">
        <v>46023</v>
      </c>
      <c r="P34" s="579">
        <v>46387</v>
      </c>
      <c r="Q34" s="59" t="s">
        <v>93</v>
      </c>
      <c r="R34" s="53">
        <f>+(R35*S34)</f>
        <v>0</v>
      </c>
      <c r="S34" s="130">
        <f t="shared" si="0"/>
        <v>0</v>
      </c>
      <c r="T34" s="43"/>
      <c r="U34" s="43"/>
      <c r="V34" s="43"/>
      <c r="W34" s="43"/>
      <c r="X34" s="43"/>
      <c r="Y34" s="43"/>
      <c r="Z34" s="43"/>
      <c r="AA34" s="43"/>
      <c r="AB34" s="44"/>
      <c r="AC34" s="44"/>
      <c r="AD34" s="44"/>
      <c r="AE34" s="44"/>
      <c r="AF34" s="44"/>
      <c r="AG34" s="573"/>
      <c r="AH34" s="573"/>
      <c r="AI34" s="573"/>
      <c r="AJ34" s="573"/>
    </row>
    <row r="35" spans="1:36" ht="244.5" customHeight="1" x14ac:dyDescent="0.35">
      <c r="A35" s="440"/>
      <c r="B35" s="445"/>
      <c r="C35" s="445"/>
      <c r="D35" s="445"/>
      <c r="E35" s="445"/>
      <c r="F35" s="530"/>
      <c r="G35" s="417"/>
      <c r="H35" s="515"/>
      <c r="I35" s="514"/>
      <c r="J35" s="514" t="s">
        <v>295</v>
      </c>
      <c r="K35" s="514" t="s">
        <v>296</v>
      </c>
      <c r="L35" s="514" t="s">
        <v>297</v>
      </c>
      <c r="M35" s="514" t="s">
        <v>264</v>
      </c>
      <c r="N35" s="514" t="s">
        <v>92</v>
      </c>
      <c r="O35" s="580">
        <v>46023</v>
      </c>
      <c r="P35" s="580">
        <v>46387</v>
      </c>
      <c r="Q35" s="59" t="s">
        <v>98</v>
      </c>
      <c r="R35" s="52">
        <f>100%/11</f>
        <v>9.0909090909090912E-2</v>
      </c>
      <c r="S35" s="130">
        <f t="shared" si="0"/>
        <v>0</v>
      </c>
      <c r="T35" s="42"/>
      <c r="U35" s="42"/>
      <c r="V35" s="42"/>
      <c r="W35" s="42"/>
      <c r="X35" s="42"/>
      <c r="Y35" s="42"/>
      <c r="Z35" s="42"/>
      <c r="AA35" s="42"/>
      <c r="AB35" s="42"/>
      <c r="AC35" s="42"/>
      <c r="AD35" s="42"/>
      <c r="AE35" s="42"/>
      <c r="AF35" s="42"/>
      <c r="AG35" s="578"/>
      <c r="AH35" s="578"/>
      <c r="AI35" s="578"/>
      <c r="AJ35" s="574"/>
    </row>
    <row r="36" spans="1:36" ht="88.5" customHeight="1" x14ac:dyDescent="0.35">
      <c r="A36" s="426">
        <v>13</v>
      </c>
      <c r="B36" s="445" t="s">
        <v>99</v>
      </c>
      <c r="C36" s="445" t="s">
        <v>117</v>
      </c>
      <c r="D36" s="445" t="s">
        <v>85</v>
      </c>
      <c r="E36" s="445" t="s">
        <v>193</v>
      </c>
      <c r="F36" s="530"/>
      <c r="G36" s="416" t="s">
        <v>245</v>
      </c>
      <c r="H36" s="515" t="s">
        <v>91</v>
      </c>
      <c r="I36" s="520" t="s">
        <v>298</v>
      </c>
      <c r="J36" s="520" t="s">
        <v>299</v>
      </c>
      <c r="K36" s="520" t="s">
        <v>300</v>
      </c>
      <c r="L36" s="520" t="s">
        <v>297</v>
      </c>
      <c r="M36" s="520" t="s">
        <v>264</v>
      </c>
      <c r="N36" s="520" t="s">
        <v>179</v>
      </c>
      <c r="O36" s="582">
        <v>46023</v>
      </c>
      <c r="P36" s="582">
        <v>46387</v>
      </c>
      <c r="Q36" s="59" t="s">
        <v>93</v>
      </c>
      <c r="R36" s="53">
        <f>+(R37*S36)</f>
        <v>0</v>
      </c>
      <c r="S36" s="130">
        <f t="shared" si="0"/>
        <v>0</v>
      </c>
      <c r="T36" s="43"/>
      <c r="U36" s="43"/>
      <c r="V36" s="43"/>
      <c r="W36" s="43"/>
      <c r="X36" s="43"/>
      <c r="Y36" s="43"/>
      <c r="Z36" s="43"/>
      <c r="AA36" s="43"/>
      <c r="AB36" s="44"/>
      <c r="AC36" s="44"/>
      <c r="AD36" s="44"/>
      <c r="AE36" s="44"/>
      <c r="AF36" s="44"/>
      <c r="AG36" s="573"/>
      <c r="AH36" s="573"/>
      <c r="AI36" s="573"/>
      <c r="AJ36" s="581"/>
    </row>
    <row r="37" spans="1:36" ht="88.5" customHeight="1" x14ac:dyDescent="0.35">
      <c r="A37" s="440"/>
      <c r="B37" s="445"/>
      <c r="C37" s="445"/>
      <c r="D37" s="445"/>
      <c r="E37" s="445"/>
      <c r="F37" s="530"/>
      <c r="G37" s="417"/>
      <c r="H37" s="515"/>
      <c r="I37" s="529"/>
      <c r="J37" s="529" t="s">
        <v>299</v>
      </c>
      <c r="K37" s="529" t="s">
        <v>300</v>
      </c>
      <c r="L37" s="529" t="s">
        <v>297</v>
      </c>
      <c r="M37" s="529" t="s">
        <v>264</v>
      </c>
      <c r="N37" s="529" t="s">
        <v>179</v>
      </c>
      <c r="O37" s="583">
        <v>46023</v>
      </c>
      <c r="P37" s="583">
        <v>46387</v>
      </c>
      <c r="Q37" s="59" t="s">
        <v>98</v>
      </c>
      <c r="R37" s="52">
        <f>100%/11</f>
        <v>9.0909090909090912E-2</v>
      </c>
      <c r="S37" s="130">
        <f t="shared" si="0"/>
        <v>0</v>
      </c>
      <c r="T37" s="42"/>
      <c r="U37" s="42"/>
      <c r="V37" s="42"/>
      <c r="W37" s="42"/>
      <c r="X37" s="42"/>
      <c r="Y37" s="42"/>
      <c r="Z37" s="42"/>
      <c r="AA37" s="42"/>
      <c r="AB37" s="42"/>
      <c r="AC37" s="42"/>
      <c r="AD37" s="42"/>
      <c r="AE37" s="42"/>
      <c r="AF37" s="42"/>
      <c r="AG37" s="574"/>
      <c r="AH37" s="574"/>
      <c r="AI37" s="574"/>
      <c r="AJ37" s="574"/>
    </row>
    <row r="38" spans="1:36" ht="88.5" customHeight="1" x14ac:dyDescent="0.35">
      <c r="A38" s="426">
        <v>14</v>
      </c>
      <c r="B38" s="445" t="s">
        <v>99</v>
      </c>
      <c r="C38" s="445" t="s">
        <v>117</v>
      </c>
      <c r="D38" s="445" t="s">
        <v>100</v>
      </c>
      <c r="E38" s="445" t="s">
        <v>212</v>
      </c>
      <c r="F38" s="530"/>
      <c r="G38" s="416" t="s">
        <v>245</v>
      </c>
      <c r="H38" s="515" t="s">
        <v>91</v>
      </c>
      <c r="I38" s="520" t="s">
        <v>301</v>
      </c>
      <c r="J38" s="520" t="s">
        <v>302</v>
      </c>
      <c r="K38" s="520" t="s">
        <v>303</v>
      </c>
      <c r="L38" s="520" t="s">
        <v>297</v>
      </c>
      <c r="M38" s="520" t="s">
        <v>264</v>
      </c>
      <c r="N38" s="520" t="s">
        <v>92</v>
      </c>
      <c r="O38" s="582">
        <v>46023</v>
      </c>
      <c r="P38" s="582">
        <v>46387</v>
      </c>
      <c r="Q38" s="59" t="s">
        <v>93</v>
      </c>
      <c r="R38" s="53">
        <f>+(R39*S38)</f>
        <v>0</v>
      </c>
      <c r="S38" s="130">
        <f t="shared" si="0"/>
        <v>0</v>
      </c>
      <c r="T38" s="43"/>
      <c r="U38" s="43"/>
      <c r="V38" s="43"/>
      <c r="W38" s="43"/>
      <c r="X38" s="43"/>
      <c r="Y38" s="43"/>
      <c r="Z38" s="43"/>
      <c r="AA38" s="43"/>
      <c r="AB38" s="44"/>
      <c r="AC38" s="44"/>
      <c r="AD38" s="44"/>
      <c r="AE38" s="44"/>
      <c r="AF38" s="44"/>
      <c r="AG38" s="573"/>
      <c r="AH38" s="577"/>
      <c r="AI38" s="577"/>
      <c r="AJ38" s="577"/>
    </row>
    <row r="39" spans="1:36" ht="88.5" customHeight="1" x14ac:dyDescent="0.35">
      <c r="A39" s="440"/>
      <c r="B39" s="445"/>
      <c r="C39" s="445"/>
      <c r="D39" s="445"/>
      <c r="E39" s="445"/>
      <c r="F39" s="530"/>
      <c r="G39" s="417"/>
      <c r="H39" s="515"/>
      <c r="I39" s="529"/>
      <c r="J39" s="529" t="s">
        <v>302</v>
      </c>
      <c r="K39" s="529" t="s">
        <v>303</v>
      </c>
      <c r="L39" s="529" t="s">
        <v>297</v>
      </c>
      <c r="M39" s="529" t="s">
        <v>264</v>
      </c>
      <c r="N39" s="529" t="s">
        <v>92</v>
      </c>
      <c r="O39" s="583">
        <v>46023</v>
      </c>
      <c r="P39" s="583">
        <v>46387</v>
      </c>
      <c r="Q39" s="59" t="s">
        <v>98</v>
      </c>
      <c r="R39" s="52">
        <f>100%/11</f>
        <v>9.0909090909090912E-2</v>
      </c>
      <c r="S39" s="130">
        <f t="shared" si="0"/>
        <v>0</v>
      </c>
      <c r="T39" s="42"/>
      <c r="U39" s="42"/>
      <c r="V39" s="42"/>
      <c r="W39" s="42"/>
      <c r="X39" s="42"/>
      <c r="Y39" s="42"/>
      <c r="Z39" s="42"/>
      <c r="AA39" s="42"/>
      <c r="AB39" s="42"/>
      <c r="AC39" s="42"/>
      <c r="AD39" s="42"/>
      <c r="AE39" s="42"/>
      <c r="AF39" s="42"/>
      <c r="AG39" s="574"/>
      <c r="AH39" s="578"/>
      <c r="AI39" s="578"/>
      <c r="AJ39" s="578"/>
    </row>
    <row r="41" spans="1:36" ht="15" hidden="1" customHeight="1" x14ac:dyDescent="0.35">
      <c r="B41" s="413" t="s">
        <v>51</v>
      </c>
      <c r="C41" s="413" t="s">
        <v>52</v>
      </c>
      <c r="D41" s="413" t="s">
        <v>53</v>
      </c>
      <c r="E41" s="413" t="s">
        <v>54</v>
      </c>
      <c r="F41" s="413" t="s">
        <v>29</v>
      </c>
      <c r="G41" s="415" t="s">
        <v>55</v>
      </c>
      <c r="M41" s="415" t="s">
        <v>167</v>
      </c>
    </row>
    <row r="42" spans="1:36" ht="15" hidden="1" customHeight="1" x14ac:dyDescent="0.35">
      <c r="B42" s="414"/>
      <c r="C42" s="414"/>
      <c r="D42" s="414"/>
      <c r="E42" s="414"/>
      <c r="F42" s="414"/>
      <c r="G42" s="414"/>
      <c r="M42" s="414"/>
    </row>
    <row r="43" spans="1:36" ht="15" hidden="1" customHeight="1" x14ac:dyDescent="0.35">
      <c r="B43" s="1" t="s">
        <v>99</v>
      </c>
      <c r="C43" s="13" t="s">
        <v>168</v>
      </c>
      <c r="D43" s="1" t="s">
        <v>130</v>
      </c>
      <c r="E43" s="1" t="s">
        <v>131</v>
      </c>
      <c r="F43" s="1" t="s">
        <v>169</v>
      </c>
      <c r="G43" s="1" t="s">
        <v>170</v>
      </c>
      <c r="M43" s="13" t="s">
        <v>171</v>
      </c>
    </row>
    <row r="44" spans="1:36" ht="15" hidden="1" customHeight="1" x14ac:dyDescent="0.35">
      <c r="B44" s="1" t="s">
        <v>116</v>
      </c>
      <c r="C44" s="13" t="s">
        <v>129</v>
      </c>
      <c r="D44" s="1" t="s">
        <v>172</v>
      </c>
      <c r="E44" s="1" t="s">
        <v>173</v>
      </c>
      <c r="F44" s="1" t="s">
        <v>174</v>
      </c>
      <c r="G44" s="1" t="s">
        <v>175</v>
      </c>
      <c r="M44" s="13" t="s">
        <v>92</v>
      </c>
    </row>
    <row r="45" spans="1:36" ht="15" hidden="1" customHeight="1" x14ac:dyDescent="0.35">
      <c r="B45" s="1" t="s">
        <v>83</v>
      </c>
      <c r="C45" s="13" t="s">
        <v>110</v>
      </c>
      <c r="D45" s="1" t="s">
        <v>85</v>
      </c>
      <c r="E45" s="1" t="s">
        <v>176</v>
      </c>
      <c r="F45" s="1" t="s">
        <v>177</v>
      </c>
      <c r="G45" s="1" t="s">
        <v>178</v>
      </c>
      <c r="M45" s="13" t="s">
        <v>179</v>
      </c>
    </row>
    <row r="46" spans="1:36" ht="15" hidden="1" customHeight="1" x14ac:dyDescent="0.35">
      <c r="B46" s="1" t="s">
        <v>109</v>
      </c>
      <c r="C46" s="13" t="s">
        <v>125</v>
      </c>
      <c r="D46" s="1" t="s">
        <v>180</v>
      </c>
      <c r="E46" s="1" t="s">
        <v>181</v>
      </c>
      <c r="F46" s="1" t="s">
        <v>182</v>
      </c>
      <c r="G46" s="1" t="s">
        <v>183</v>
      </c>
    </row>
    <row r="47" spans="1:36" ht="15" hidden="1" customHeight="1" x14ac:dyDescent="0.35">
      <c r="B47" s="1" t="s">
        <v>124</v>
      </c>
      <c r="C47" s="13" t="s">
        <v>142</v>
      </c>
      <c r="D47" s="1" t="s">
        <v>100</v>
      </c>
      <c r="E47" s="1" t="s">
        <v>184</v>
      </c>
      <c r="F47" s="1" t="s">
        <v>185</v>
      </c>
      <c r="G47" s="1" t="s">
        <v>186</v>
      </c>
    </row>
    <row r="48" spans="1:36" ht="15" hidden="1" customHeight="1" x14ac:dyDescent="0.35">
      <c r="B48" s="1" t="s">
        <v>187</v>
      </c>
      <c r="C48" s="13" t="s">
        <v>188</v>
      </c>
      <c r="D48" s="1" t="s">
        <v>111</v>
      </c>
      <c r="E48" s="1" t="s">
        <v>149</v>
      </c>
      <c r="F48" s="1" t="s">
        <v>189</v>
      </c>
      <c r="G48" s="1" t="s">
        <v>127</v>
      </c>
    </row>
    <row r="49" spans="2:7" ht="15" hidden="1" customHeight="1" x14ac:dyDescent="0.35">
      <c r="B49" s="1" t="s">
        <v>190</v>
      </c>
      <c r="C49" s="13" t="s">
        <v>191</v>
      </c>
      <c r="D49" s="1" t="s">
        <v>192</v>
      </c>
      <c r="E49" s="1" t="s">
        <v>193</v>
      </c>
      <c r="F49" s="1" t="s">
        <v>194</v>
      </c>
      <c r="G49" s="1" t="s">
        <v>195</v>
      </c>
    </row>
    <row r="50" spans="2:7" ht="15" hidden="1" customHeight="1" x14ac:dyDescent="0.35">
      <c r="B50" s="1" t="s">
        <v>196</v>
      </c>
      <c r="C50" s="13" t="s">
        <v>197</v>
      </c>
      <c r="E50" s="1" t="s">
        <v>126</v>
      </c>
      <c r="F50" s="1" t="s">
        <v>198</v>
      </c>
      <c r="G50" s="1" t="s">
        <v>150</v>
      </c>
    </row>
    <row r="51" spans="2:7" ht="15" hidden="1" customHeight="1" x14ac:dyDescent="0.35">
      <c r="C51" s="13" t="s">
        <v>117</v>
      </c>
      <c r="E51" s="1" t="s">
        <v>118</v>
      </c>
      <c r="F51" s="1" t="s">
        <v>199</v>
      </c>
      <c r="G51" s="1" t="s">
        <v>102</v>
      </c>
    </row>
    <row r="52" spans="2:7" ht="15" hidden="1" customHeight="1" x14ac:dyDescent="0.35">
      <c r="C52" s="13" t="s">
        <v>84</v>
      </c>
      <c r="E52" s="1" t="s">
        <v>200</v>
      </c>
      <c r="F52" s="1" t="s">
        <v>201</v>
      </c>
      <c r="G52" s="1" t="s">
        <v>132</v>
      </c>
    </row>
    <row r="53" spans="2:7" ht="15" hidden="1" customHeight="1" x14ac:dyDescent="0.35">
      <c r="E53" s="1" t="s">
        <v>202</v>
      </c>
      <c r="F53" s="1" t="s">
        <v>203</v>
      </c>
      <c r="G53" s="1" t="s">
        <v>144</v>
      </c>
    </row>
    <row r="54" spans="2:7" ht="15" hidden="1" customHeight="1" x14ac:dyDescent="0.35">
      <c r="E54" s="1" t="s">
        <v>204</v>
      </c>
      <c r="F54" s="1" t="s">
        <v>205</v>
      </c>
      <c r="G54" s="1" t="s">
        <v>206</v>
      </c>
    </row>
    <row r="55" spans="2:7" ht="15" hidden="1" customHeight="1" x14ac:dyDescent="0.35">
      <c r="E55" s="1" t="s">
        <v>86</v>
      </c>
      <c r="G55" s="1" t="s">
        <v>207</v>
      </c>
    </row>
    <row r="56" spans="2:7" ht="15" hidden="1" customHeight="1" x14ac:dyDescent="0.35">
      <c r="E56" s="1" t="s">
        <v>208</v>
      </c>
      <c r="G56" s="1" t="s">
        <v>209</v>
      </c>
    </row>
    <row r="57" spans="2:7" ht="15" hidden="1" customHeight="1" x14ac:dyDescent="0.35">
      <c r="E57" s="1" t="s">
        <v>101</v>
      </c>
      <c r="G57" s="1" t="s">
        <v>210</v>
      </c>
    </row>
    <row r="58" spans="2:7" ht="15" hidden="1" customHeight="1" x14ac:dyDescent="0.35">
      <c r="E58" s="1" t="s">
        <v>143</v>
      </c>
      <c r="G58" s="1" t="s">
        <v>211</v>
      </c>
    </row>
    <row r="59" spans="2:7" ht="15" hidden="1" customHeight="1" x14ac:dyDescent="0.35">
      <c r="E59" s="1" t="s">
        <v>212</v>
      </c>
      <c r="G59" s="1" t="s">
        <v>213</v>
      </c>
    </row>
    <row r="60" spans="2:7" ht="15" hidden="1" customHeight="1" x14ac:dyDescent="0.35">
      <c r="E60" s="1" t="s">
        <v>112</v>
      </c>
      <c r="G60" s="1" t="s">
        <v>214</v>
      </c>
    </row>
    <row r="61" spans="2:7" ht="15" hidden="1" customHeight="1" x14ac:dyDescent="0.35">
      <c r="E61" s="1" t="s">
        <v>215</v>
      </c>
      <c r="G61" s="1" t="s">
        <v>216</v>
      </c>
    </row>
    <row r="62" spans="2:7" ht="15" hidden="1" customHeight="1" x14ac:dyDescent="0.35">
      <c r="G62" s="1" t="s">
        <v>217</v>
      </c>
    </row>
    <row r="63" spans="2:7" ht="15" hidden="1" customHeight="1" x14ac:dyDescent="0.35">
      <c r="G63" s="1" t="s">
        <v>218</v>
      </c>
    </row>
    <row r="64" spans="2:7" ht="15" hidden="1" customHeight="1" x14ac:dyDescent="0.35">
      <c r="G64" s="1" t="s">
        <v>219</v>
      </c>
    </row>
    <row r="65" spans="7:7" ht="15" hidden="1" customHeight="1" x14ac:dyDescent="0.35">
      <c r="G65" s="1" t="s">
        <v>220</v>
      </c>
    </row>
    <row r="66" spans="7:7" ht="15" hidden="1" customHeight="1" x14ac:dyDescent="0.35">
      <c r="G66" s="1" t="s">
        <v>221</v>
      </c>
    </row>
    <row r="67" spans="7:7" ht="15" hidden="1" customHeight="1" x14ac:dyDescent="0.35">
      <c r="G67" s="1" t="s">
        <v>222</v>
      </c>
    </row>
    <row r="68" spans="7:7" ht="15" hidden="1" customHeight="1" x14ac:dyDescent="0.35">
      <c r="G68" s="1" t="s">
        <v>223</v>
      </c>
    </row>
    <row r="69" spans="7:7" ht="15" hidden="1" customHeight="1" x14ac:dyDescent="0.35">
      <c r="G69" s="1" t="s">
        <v>224</v>
      </c>
    </row>
    <row r="70" spans="7:7" ht="15" hidden="1" customHeight="1" x14ac:dyDescent="0.35">
      <c r="G70" s="1" t="s">
        <v>225</v>
      </c>
    </row>
    <row r="71" spans="7:7" ht="15" hidden="1" customHeight="1" x14ac:dyDescent="0.35">
      <c r="G71" s="1" t="s">
        <v>226</v>
      </c>
    </row>
    <row r="72" spans="7:7" ht="15" hidden="1" customHeight="1" x14ac:dyDescent="0.35">
      <c r="G72" s="1" t="s">
        <v>227</v>
      </c>
    </row>
    <row r="73" spans="7:7" ht="15" hidden="1" customHeight="1" x14ac:dyDescent="0.35">
      <c r="G73" s="1" t="s">
        <v>228</v>
      </c>
    </row>
    <row r="74" spans="7:7" ht="15" hidden="1" customHeight="1" x14ac:dyDescent="0.35">
      <c r="G74" s="1" t="s">
        <v>229</v>
      </c>
    </row>
    <row r="75" spans="7:7" ht="15" hidden="1" customHeight="1" x14ac:dyDescent="0.35">
      <c r="G75" s="1" t="s">
        <v>230</v>
      </c>
    </row>
    <row r="76" spans="7:7" ht="15" hidden="1" customHeight="1" x14ac:dyDescent="0.35">
      <c r="G76" s="1" t="s">
        <v>119</v>
      </c>
    </row>
    <row r="77" spans="7:7" ht="15" hidden="1" customHeight="1" x14ac:dyDescent="0.35">
      <c r="G77" s="1" t="s">
        <v>138</v>
      </c>
    </row>
    <row r="78" spans="7:7" ht="15" hidden="1" customHeight="1" x14ac:dyDescent="0.35">
      <c r="G78" s="1" t="s">
        <v>231</v>
      </c>
    </row>
    <row r="79" spans="7:7" ht="15" hidden="1" customHeight="1" x14ac:dyDescent="0.35">
      <c r="G79" s="1" t="s">
        <v>232</v>
      </c>
    </row>
    <row r="80" spans="7:7" ht="15" hidden="1" customHeight="1" x14ac:dyDescent="0.35">
      <c r="G80" s="1" t="s">
        <v>233</v>
      </c>
    </row>
    <row r="81" spans="7:7" ht="15" hidden="1" customHeight="1" x14ac:dyDescent="0.35">
      <c r="G81" s="1" t="s">
        <v>87</v>
      </c>
    </row>
    <row r="82" spans="7:7" ht="15" hidden="1" customHeight="1" x14ac:dyDescent="0.35">
      <c r="G82" s="1" t="s">
        <v>234</v>
      </c>
    </row>
    <row r="83" spans="7:7" ht="15" hidden="1" customHeight="1" x14ac:dyDescent="0.35">
      <c r="G83" s="1" t="s">
        <v>235</v>
      </c>
    </row>
    <row r="84" spans="7:7" ht="15" hidden="1" customHeight="1" x14ac:dyDescent="0.35">
      <c r="G84" s="1" t="s">
        <v>236</v>
      </c>
    </row>
    <row r="85" spans="7:7" ht="15" hidden="1" customHeight="1" x14ac:dyDescent="0.35">
      <c r="G85" s="1" t="s">
        <v>237</v>
      </c>
    </row>
    <row r="86" spans="7:7" ht="15" hidden="1" customHeight="1" x14ac:dyDescent="0.35">
      <c r="G86" s="1" t="s">
        <v>238</v>
      </c>
    </row>
    <row r="87" spans="7:7" ht="15" hidden="1" customHeight="1" x14ac:dyDescent="0.35">
      <c r="G87" s="1" t="s">
        <v>239</v>
      </c>
    </row>
    <row r="88" spans="7:7" ht="15" hidden="1" customHeight="1" x14ac:dyDescent="0.35">
      <c r="G88" s="1" t="s">
        <v>240</v>
      </c>
    </row>
    <row r="89" spans="7:7" ht="15" hidden="1" customHeight="1" x14ac:dyDescent="0.35">
      <c r="G89" s="1" t="s">
        <v>241</v>
      </c>
    </row>
    <row r="90" spans="7:7" ht="15" hidden="1" customHeight="1" x14ac:dyDescent="0.35">
      <c r="G90" s="1" t="s">
        <v>242</v>
      </c>
    </row>
    <row r="91" spans="7:7" ht="15" hidden="1" customHeight="1" x14ac:dyDescent="0.35">
      <c r="G91" s="1" t="s">
        <v>243</v>
      </c>
    </row>
    <row r="92" spans="7:7" ht="15" hidden="1" customHeight="1" x14ac:dyDescent="0.35">
      <c r="G92" s="1" t="s">
        <v>244</v>
      </c>
    </row>
    <row r="93" spans="7:7" ht="15" hidden="1" customHeight="1" x14ac:dyDescent="0.35">
      <c r="G93" s="1" t="s">
        <v>245</v>
      </c>
    </row>
    <row r="94" spans="7:7" ht="15" hidden="1" customHeight="1" x14ac:dyDescent="0.35">
      <c r="G94" s="1" t="s">
        <v>246</v>
      </c>
    </row>
    <row r="95" spans="7:7" ht="15" hidden="1" customHeight="1" x14ac:dyDescent="0.35">
      <c r="G95" s="1" t="s">
        <v>39</v>
      </c>
    </row>
    <row r="96" spans="7:7" ht="15" hidden="1" customHeight="1" x14ac:dyDescent="0.35">
      <c r="G96" s="1" t="s">
        <v>247</v>
      </c>
    </row>
    <row r="97" spans="7:7" ht="15" hidden="1" customHeight="1" x14ac:dyDescent="0.35">
      <c r="G97" s="1" t="s">
        <v>248</v>
      </c>
    </row>
    <row r="98" spans="7:7" ht="15" hidden="1" customHeight="1" x14ac:dyDescent="0.35">
      <c r="G98" s="1" t="s">
        <v>249</v>
      </c>
    </row>
    <row r="99" spans="7:7" ht="15" hidden="1" customHeight="1" x14ac:dyDescent="0.35">
      <c r="G99" s="1" t="s">
        <v>250</v>
      </c>
    </row>
    <row r="100" spans="7:7" ht="15" hidden="1" customHeight="1" x14ac:dyDescent="0.35">
      <c r="G100" s="1" t="s">
        <v>251</v>
      </c>
    </row>
    <row r="101" spans="7:7" ht="15" hidden="1" customHeight="1" x14ac:dyDescent="0.35">
      <c r="G101" s="1" t="s">
        <v>252</v>
      </c>
    </row>
    <row r="102" spans="7:7" ht="15" hidden="1" customHeight="1" x14ac:dyDescent="0.35">
      <c r="G102" s="1" t="s">
        <v>253</v>
      </c>
    </row>
  </sheetData>
  <sheetProtection formatCells="0" formatColumns="0" formatRows="0" insertColumns="0" insertRows="0" insertHyperlinks="0" deleteColumns="0" deleteRows="0" sort="0" autoFilter="0" pivotTables="0"/>
  <autoFilter ref="D12:I39" xr:uid="{47330F22-B3B3-4045-8856-ACFFB1302C97}">
    <filterColumn colId="3">
      <filters>
        <filter val="GERENCIA DE SERVICIO"/>
      </filters>
    </filterColumn>
  </autoFilter>
  <mergeCells count="294">
    <mergeCell ref="G22:G23"/>
    <mergeCell ref="P22:P23"/>
    <mergeCell ref="P20:P21"/>
    <mergeCell ref="A20:A21"/>
    <mergeCell ref="A22:A23"/>
    <mergeCell ref="A24:A25"/>
    <mergeCell ref="C20:C21"/>
    <mergeCell ref="D20:D21"/>
    <mergeCell ref="E20:E21"/>
    <mergeCell ref="F20:F21"/>
    <mergeCell ref="G20:G21"/>
    <mergeCell ref="I20:I21"/>
    <mergeCell ref="J20:J21"/>
    <mergeCell ref="K20:K21"/>
    <mergeCell ref="H20:H21"/>
    <mergeCell ref="H22:H23"/>
    <mergeCell ref="H24:H25"/>
    <mergeCell ref="O24:O25"/>
    <mergeCell ref="G24:G25"/>
    <mergeCell ref="I24:I25"/>
    <mergeCell ref="J24:J25"/>
    <mergeCell ref="K24:K25"/>
    <mergeCell ref="L24:L25"/>
    <mergeCell ref="M24:M25"/>
    <mergeCell ref="D26:D27"/>
    <mergeCell ref="E26:E27"/>
    <mergeCell ref="F26:F27"/>
    <mergeCell ref="G26:G27"/>
    <mergeCell ref="I26:I27"/>
    <mergeCell ref="M26:M27"/>
    <mergeCell ref="N26:N27"/>
    <mergeCell ref="P26:P27"/>
    <mergeCell ref="H26:H27"/>
    <mergeCell ref="E22:E23"/>
    <mergeCell ref="F22:F23"/>
    <mergeCell ref="G18:G19"/>
    <mergeCell ref="P32:P33"/>
    <mergeCell ref="B30:B31"/>
    <mergeCell ref="C30:C31"/>
    <mergeCell ref="D30:D31"/>
    <mergeCell ref="E30:E31"/>
    <mergeCell ref="F30:F31"/>
    <mergeCell ref="G30:G31"/>
    <mergeCell ref="H30:H31"/>
    <mergeCell ref="I30:I31"/>
    <mergeCell ref="J30:J31"/>
    <mergeCell ref="K30:K31"/>
    <mergeCell ref="L30:L31"/>
    <mergeCell ref="M30:M31"/>
    <mergeCell ref="N30:N31"/>
    <mergeCell ref="O30:O31"/>
    <mergeCell ref="P30:P31"/>
    <mergeCell ref="P28:P29"/>
    <mergeCell ref="N24:N25"/>
    <mergeCell ref="P24:P25"/>
    <mergeCell ref="B26:B27"/>
    <mergeCell ref="C26:C27"/>
    <mergeCell ref="N22:N23"/>
    <mergeCell ref="O22:O23"/>
    <mergeCell ref="H34:H35"/>
    <mergeCell ref="H36:H37"/>
    <mergeCell ref="B32:B33"/>
    <mergeCell ref="C32:C33"/>
    <mergeCell ref="D32:D33"/>
    <mergeCell ref="E32:E33"/>
    <mergeCell ref="K26:K27"/>
    <mergeCell ref="H28:H29"/>
    <mergeCell ref="F36:F37"/>
    <mergeCell ref="B36:B37"/>
    <mergeCell ref="C36:C37"/>
    <mergeCell ref="D36:D37"/>
    <mergeCell ref="E36:E37"/>
    <mergeCell ref="F32:F33"/>
    <mergeCell ref="G32:G33"/>
    <mergeCell ref="H32:H33"/>
    <mergeCell ref="B28:B29"/>
    <mergeCell ref="C28:C29"/>
    <mergeCell ref="D28:D29"/>
    <mergeCell ref="G28:G29"/>
    <mergeCell ref="B22:B23"/>
    <mergeCell ref="C22:C23"/>
    <mergeCell ref="O38:O39"/>
    <mergeCell ref="P38:P39"/>
    <mergeCell ref="AG36:AG37"/>
    <mergeCell ref="AG38:AG39"/>
    <mergeCell ref="AH36:AH37"/>
    <mergeCell ref="I18:I19"/>
    <mergeCell ref="J18:J19"/>
    <mergeCell ref="K18:K19"/>
    <mergeCell ref="L18:L19"/>
    <mergeCell ref="M18:M19"/>
    <mergeCell ref="N18:N19"/>
    <mergeCell ref="O18:O19"/>
    <mergeCell ref="J32:J33"/>
    <mergeCell ref="J26:J27"/>
    <mergeCell ref="L26:L27"/>
    <mergeCell ref="N28:N29"/>
    <mergeCell ref="O28:O29"/>
    <mergeCell ref="O26:O27"/>
    <mergeCell ref="L20:L21"/>
    <mergeCell ref="M20:M21"/>
    <mergeCell ref="N20:N21"/>
    <mergeCell ref="O20:O21"/>
    <mergeCell ref="L22:L23"/>
    <mergeCell ref="M22:M23"/>
    <mergeCell ref="A38:A39"/>
    <mergeCell ref="B38:B39"/>
    <mergeCell ref="C38:C39"/>
    <mergeCell ref="D38:D39"/>
    <mergeCell ref="E38:E39"/>
    <mergeCell ref="G38:G39"/>
    <mergeCell ref="J38:J39"/>
    <mergeCell ref="K38:K39"/>
    <mergeCell ref="G36:G37"/>
    <mergeCell ref="I36:I37"/>
    <mergeCell ref="J36:J37"/>
    <mergeCell ref="K36:K37"/>
    <mergeCell ref="I38:I39"/>
    <mergeCell ref="A36:A37"/>
    <mergeCell ref="AH38:AH39"/>
    <mergeCell ref="L38:L39"/>
    <mergeCell ref="AI34:AI35"/>
    <mergeCell ref="AJ34:AJ35"/>
    <mergeCell ref="J34:J35"/>
    <mergeCell ref="K34:K35"/>
    <mergeCell ref="L34:L35"/>
    <mergeCell ref="M34:M35"/>
    <mergeCell ref="N34:N35"/>
    <mergeCell ref="O34:O35"/>
    <mergeCell ref="AI36:AI37"/>
    <mergeCell ref="AI38:AI39"/>
    <mergeCell ref="AJ36:AJ37"/>
    <mergeCell ref="AJ38:AJ39"/>
    <mergeCell ref="L36:L37"/>
    <mergeCell ref="P34:P35"/>
    <mergeCell ref="AG34:AG35"/>
    <mergeCell ref="AH34:AH35"/>
    <mergeCell ref="M38:M39"/>
    <mergeCell ref="N38:N39"/>
    <mergeCell ref="M36:M37"/>
    <mergeCell ref="N36:N37"/>
    <mergeCell ref="O36:O37"/>
    <mergeCell ref="P36:P37"/>
    <mergeCell ref="AJ14:AJ15"/>
    <mergeCell ref="N14:N15"/>
    <mergeCell ref="O14:O15"/>
    <mergeCell ref="P14:P15"/>
    <mergeCell ref="AG14:AG15"/>
    <mergeCell ref="AH14:AH15"/>
    <mergeCell ref="N16:N17"/>
    <mergeCell ref="O16:O17"/>
    <mergeCell ref="P16:P17"/>
    <mergeCell ref="AG16:AG17"/>
    <mergeCell ref="AH16:AH17"/>
    <mergeCell ref="AI16:AI17"/>
    <mergeCell ref="AJ16:AJ17"/>
    <mergeCell ref="D12:D13"/>
    <mergeCell ref="E12:E13"/>
    <mergeCell ref="F12:F13"/>
    <mergeCell ref="B18:B19"/>
    <mergeCell ref="C18:C19"/>
    <mergeCell ref="D18:D19"/>
    <mergeCell ref="E18:E19"/>
    <mergeCell ref="B20:B21"/>
    <mergeCell ref="AI14:AI15"/>
    <mergeCell ref="P18:P19"/>
    <mergeCell ref="H18:H19"/>
    <mergeCell ref="Q12:Q13"/>
    <mergeCell ref="R12:R13"/>
    <mergeCell ref="S12:S13"/>
    <mergeCell ref="G12:G13"/>
    <mergeCell ref="I12:I13"/>
    <mergeCell ref="J12:J13"/>
    <mergeCell ref="K12:K13"/>
    <mergeCell ref="L12:L13"/>
    <mergeCell ref="M12:M13"/>
    <mergeCell ref="AF12:AF13"/>
    <mergeCell ref="AG12:AG13"/>
    <mergeCell ref="AH12:AH13"/>
    <mergeCell ref="C34:C35"/>
    <mergeCell ref="D34:D35"/>
    <mergeCell ref="E34:E35"/>
    <mergeCell ref="F34:F35"/>
    <mergeCell ref="F14:F15"/>
    <mergeCell ref="E16:E17"/>
    <mergeCell ref="F16:F17"/>
    <mergeCell ref="A16:A17"/>
    <mergeCell ref="B16:B17"/>
    <mergeCell ref="C16:C17"/>
    <mergeCell ref="D16:D17"/>
    <mergeCell ref="A26:A27"/>
    <mergeCell ref="A28:A29"/>
    <mergeCell ref="A30:A31"/>
    <mergeCell ref="A32:A33"/>
    <mergeCell ref="A18:A19"/>
    <mergeCell ref="E28:E29"/>
    <mergeCell ref="F28:F29"/>
    <mergeCell ref="B24:B25"/>
    <mergeCell ref="C24:C25"/>
    <mergeCell ref="D24:D25"/>
    <mergeCell ref="E24:E25"/>
    <mergeCell ref="F24:F25"/>
    <mergeCell ref="D22:D23"/>
    <mergeCell ref="Q11:AF11"/>
    <mergeCell ref="AG11:AJ11"/>
    <mergeCell ref="L6:M10"/>
    <mergeCell ref="AI12:AI13"/>
    <mergeCell ref="AJ12:AJ13"/>
    <mergeCell ref="A14:A15"/>
    <mergeCell ref="B14:B15"/>
    <mergeCell ref="C14:C15"/>
    <mergeCell ref="D14:D15"/>
    <mergeCell ref="E14:E15"/>
    <mergeCell ref="Z12:Z13"/>
    <mergeCell ref="AA12:AA13"/>
    <mergeCell ref="AB12:AB13"/>
    <mergeCell ref="AC12:AC13"/>
    <mergeCell ref="AD12:AD13"/>
    <mergeCell ref="AE12:AE13"/>
    <mergeCell ref="T12:T13"/>
    <mergeCell ref="U12:U13"/>
    <mergeCell ref="V12:V13"/>
    <mergeCell ref="W12:W13"/>
    <mergeCell ref="X12:X13"/>
    <mergeCell ref="Y12:Y13"/>
    <mergeCell ref="N12:N13"/>
    <mergeCell ref="O12:O13"/>
    <mergeCell ref="A1:C3"/>
    <mergeCell ref="D1:AJ3"/>
    <mergeCell ref="A4:A5"/>
    <mergeCell ref="G4:G5"/>
    <mergeCell ref="A6:B10"/>
    <mergeCell ref="C6:D10"/>
    <mergeCell ref="E6:F10"/>
    <mergeCell ref="G6:G10"/>
    <mergeCell ref="I6:J10"/>
    <mergeCell ref="K6:K10"/>
    <mergeCell ref="AI6:AI10"/>
    <mergeCell ref="AB6:AE10"/>
    <mergeCell ref="AF6:AG10"/>
    <mergeCell ref="AH6:AH10"/>
    <mergeCell ref="N6:N10"/>
    <mergeCell ref="O6:P10"/>
    <mergeCell ref="Q6:S10"/>
    <mergeCell ref="T6:W10"/>
    <mergeCell ref="X6:AA10"/>
    <mergeCell ref="A11:F11"/>
    <mergeCell ref="G11:P11"/>
    <mergeCell ref="H12:H13"/>
    <mergeCell ref="B41:B42"/>
    <mergeCell ref="C41:C42"/>
    <mergeCell ref="D41:D42"/>
    <mergeCell ref="E41:E42"/>
    <mergeCell ref="F41:F42"/>
    <mergeCell ref="G41:G42"/>
    <mergeCell ref="M41:M42"/>
    <mergeCell ref="H14:H15"/>
    <mergeCell ref="I28:I29"/>
    <mergeCell ref="J28:J29"/>
    <mergeCell ref="K28:K29"/>
    <mergeCell ref="L28:L29"/>
    <mergeCell ref="M28:M29"/>
    <mergeCell ref="H38:H39"/>
    <mergeCell ref="F38:F39"/>
    <mergeCell ref="P12:P13"/>
    <mergeCell ref="A12:A13"/>
    <mergeCell ref="B12:B13"/>
    <mergeCell ref="C12:C13"/>
    <mergeCell ref="A34:A35"/>
    <mergeCell ref="B34:B35"/>
    <mergeCell ref="N32:N33"/>
    <mergeCell ref="O32:O33"/>
    <mergeCell ref="G34:G35"/>
    <mergeCell ref="I34:I35"/>
    <mergeCell ref="M14:M15"/>
    <mergeCell ref="G14:G15"/>
    <mergeCell ref="I14:I15"/>
    <mergeCell ref="J14:J15"/>
    <mergeCell ref="K14:K15"/>
    <mergeCell ref="L14:L15"/>
    <mergeCell ref="G16:G17"/>
    <mergeCell ref="H16:H17"/>
    <mergeCell ref="I16:I17"/>
    <mergeCell ref="J16:J17"/>
    <mergeCell ref="K16:K17"/>
    <mergeCell ref="L16:L17"/>
    <mergeCell ref="M16:M17"/>
    <mergeCell ref="I32:I33"/>
    <mergeCell ref="K32:K33"/>
    <mergeCell ref="L32:L33"/>
    <mergeCell ref="M32:M33"/>
    <mergeCell ref="I22:I23"/>
    <mergeCell ref="J22:J23"/>
    <mergeCell ref="K22:K23"/>
  </mergeCells>
  <conditionalFormatting sqref="J4">
    <cfRule type="cellIs" dxfId="159" priority="16" operator="lessThanOrEqual">
      <formula>$C$4</formula>
    </cfRule>
  </conditionalFormatting>
  <conditionalFormatting sqref="K6 S14:S39">
    <cfRule type="cellIs" dxfId="158" priority="17" operator="greaterThanOrEqual">
      <formula>$C$5</formula>
    </cfRule>
    <cfRule type="cellIs" dxfId="157" priority="18" operator="lessThanOrEqual">
      <formula>$C$4</formula>
    </cfRule>
    <cfRule type="cellIs" dxfId="156" priority="19" operator="between">
      <formula>$C$5</formula>
      <formula>$C$4</formula>
    </cfRule>
  </conditionalFormatting>
  <conditionalFormatting sqref="Q6">
    <cfRule type="cellIs" dxfId="155" priority="13" operator="greaterThanOrEqual">
      <formula>$J$5</formula>
    </cfRule>
    <cfRule type="cellIs" dxfId="154" priority="14" operator="lessThanOrEqual">
      <formula>$J$4</formula>
    </cfRule>
    <cfRule type="cellIs" dxfId="153" priority="15" operator="between">
      <formula>$J$5</formula>
      <formula>$J$4</formula>
    </cfRule>
  </conditionalFormatting>
  <conditionalFormatting sqref="X6">
    <cfRule type="cellIs" dxfId="152" priority="7" operator="greaterThanOrEqual">
      <formula>$J$5</formula>
    </cfRule>
    <cfRule type="cellIs" dxfId="151" priority="8" operator="lessThanOrEqual">
      <formula>$J$4</formula>
    </cfRule>
    <cfRule type="cellIs" dxfId="150" priority="9" operator="between">
      <formula>$J$5</formula>
      <formula>$J$4</formula>
    </cfRule>
  </conditionalFormatting>
  <conditionalFormatting sqref="AF6">
    <cfRule type="cellIs" dxfId="149" priority="4" operator="greaterThanOrEqual">
      <formula>$J$5</formula>
    </cfRule>
    <cfRule type="cellIs" dxfId="148" priority="5" operator="lessThanOrEqual">
      <formula>$J$4</formula>
    </cfRule>
    <cfRule type="cellIs" dxfId="147" priority="6" operator="between">
      <formula>$J$5</formula>
      <formula>$J$4</formula>
    </cfRule>
  </conditionalFormatting>
  <conditionalFormatting sqref="AI6">
    <cfRule type="cellIs" dxfId="146" priority="1" operator="greaterThanOrEqual">
      <formula>$J$5</formula>
    </cfRule>
    <cfRule type="cellIs" dxfId="145" priority="2" operator="lessThanOrEqual">
      <formula>$J$4</formula>
    </cfRule>
    <cfRule type="cellIs" dxfId="144" priority="3" operator="between">
      <formula>$J$5</formula>
      <formula>$J$4</formula>
    </cfRule>
  </conditionalFormatting>
  <dataValidations xWindow="544" yWindow="871" count="25">
    <dataValidation type="decimal" allowBlank="1" showInputMessage="1" showErrorMessage="1" prompt="valor porcentual de la activida - Indique el peso porcentual de la actividad dentro del proyecto" sqref="R14 R38 R36 R34 R16" xr:uid="{1AED2952-3E90-45E5-BC56-145B909ED0DC}">
      <formula1>0</formula1>
      <formula2>1</formula2>
    </dataValidation>
    <dataValidation type="decimal" allowBlank="1" showInputMessage="1" showErrorMessage="1" prompt="campo calculado  - indica el % de avance  que aporta la activadad a todo el proyecto" sqref="R37 R35 R39 R15 R17:R33" xr:uid="{D841A9DE-C9DD-416F-B9A3-5229870126BB}">
      <formula1>0</formula1>
      <formula2>1</formula2>
    </dataValidation>
    <dataValidation type="list" allowBlank="1" showInputMessage="1" showErrorMessage="1" sqref="F14:F15 G28 G26 G24 G32 G30 G34:G39 G14" xr:uid="{FA8E41AC-4137-47F3-B9E5-9D66A140D9E7}">
      <formula1>$G$43:$G$102</formula1>
    </dataValidation>
    <dataValidation type="list" allowBlank="1" showInputMessage="1" showErrorMessage="1" sqref="N14" xr:uid="{2CACE8DC-A779-4735-99B5-424F5933B832}">
      <formula1>$N$40:$N$40</formula1>
    </dataValidation>
    <dataValidation type="list" allowBlank="1" showInputMessage="1" showErrorMessage="1" sqref="F24 B34:B39 B14:B15 B20 F26 F32 F30 F28" xr:uid="{0BA6C7FF-579F-425A-8747-C84754A944FE}">
      <formula1>$B$43:$B$50</formula1>
    </dataValidation>
    <dataValidation type="list" allowBlank="1" showInputMessage="1" showErrorMessage="1" sqref="C14:C15 C32:C39 C20:C21 C17" xr:uid="{095F15E4-27EB-47F2-9232-919D5385EA7D}">
      <formula1>$C$43:$C$52</formula1>
    </dataValidation>
    <dataValidation type="list" allowBlank="1" showInputMessage="1" showErrorMessage="1" sqref="D14:D15 D24:D39 D20:D21 D17" xr:uid="{A3FFDDFA-56BD-415A-8BB0-C0E3A46E642B}">
      <formula1>$D$43:$D$49</formula1>
    </dataValidation>
    <dataValidation type="list" allowBlank="1" showInputMessage="1" showErrorMessage="1" sqref="E14:E15 E24:E39 E19:E21 E17" xr:uid="{81A6A039-FD7D-436F-84DF-7D913C0EE49C}">
      <formula1>$E$43:$E$61</formula1>
    </dataValidation>
    <dataValidation type="list" allowBlank="1" showInputMessage="1" showErrorMessage="1" sqref="G20" xr:uid="{DB74D4D4-A88D-4955-8C70-90B6A4D99A68}">
      <formula1>$G$40:$G$85</formula1>
    </dataValidation>
    <dataValidation type="list" allowBlank="1" showInputMessage="1" showErrorMessage="1" sqref="E16 E18" xr:uid="{770E35A3-BA5F-46E1-A2B4-0E77DBD4F5F7}">
      <formula1>$E$45:$E$63</formula1>
    </dataValidation>
    <dataValidation type="list" allowBlank="1" showInputMessage="1" showErrorMessage="1" sqref="D16 D18" xr:uid="{21815A74-5EA8-4644-A60A-204D0F0C2FA7}">
      <formula1>$D$45:$D$51</formula1>
    </dataValidation>
    <dataValidation type="list" allowBlank="1" showInputMessage="1" showErrorMessage="1" sqref="C16 C18" xr:uid="{0BA95F2C-8247-44E6-9F58-5B5D9D67889D}">
      <formula1>$C$45:$C$54</formula1>
    </dataValidation>
    <dataValidation type="list" allowBlank="1" showInputMessage="1" showErrorMessage="1" sqref="B16 B18" xr:uid="{736D6B5B-5146-4029-9878-52AE38AEA084}">
      <formula1>$B$45:$B$52</formula1>
    </dataValidation>
    <dataValidation type="list" allowBlank="1" showInputMessage="1" showErrorMessage="1" sqref="N16 N32:N33 N18 N20" xr:uid="{9480DDC3-BD68-4F07-8931-9CFBB11D242D}">
      <formula1>$N$42:$N$42</formula1>
    </dataValidation>
    <dataValidation type="list" allowBlank="1" showInputMessage="1" showErrorMessage="1" sqref="F16:G16 F18:G18" xr:uid="{F2A2EFB3-9DD8-4C19-A062-1089CEE9D043}">
      <formula1>$G$45:$G$104</formula1>
    </dataValidation>
    <dataValidation type="decimal" allowBlank="1" showInputMessage="1" showErrorMessage="1" prompt="% de avance en la actividad - indique el % programado de avance durante esta semana_x000a_" sqref="T14:AF39" xr:uid="{B2FE00B5-C282-4B1B-B483-749FF412591A}">
      <formula1>0</formula1>
      <formula2>1</formula2>
    </dataValidation>
    <dataValidation allowBlank="1" showErrorMessage="1" sqref="S14:S39" xr:uid="{332C594D-407A-47A3-A4CB-2F28C5DB408E}"/>
    <dataValidation type="list" allowBlank="1" showInputMessage="1" showErrorMessage="1" sqref="C22:C31" xr:uid="{F2E61846-5AD9-4B09-8A2E-E0ED6D68E550}">
      <formula1>$C$19:$C$28</formula1>
    </dataValidation>
    <dataValidation type="list" allowBlank="1" showInputMessage="1" showErrorMessage="1" sqref="D22:D23" xr:uid="{088A74E6-A50B-4F98-826F-B96955614538}">
      <formula1>$D$19:$D$25</formula1>
    </dataValidation>
    <dataValidation type="list" allowBlank="1" showInputMessage="1" showErrorMessage="1" sqref="E22:E23" xr:uid="{B9ECC965-F146-4C7E-9FCE-890281EFB7AA}">
      <formula1>$E$19:$E$37</formula1>
    </dataValidation>
    <dataValidation type="list" allowBlank="1" showInputMessage="1" showErrorMessage="1" sqref="N22:N25" xr:uid="{FBBDBBDE-2B90-4124-86D3-E07B30774134}">
      <formula1>$N$16:$N$16</formula1>
    </dataValidation>
    <dataValidation type="list" allowBlank="1" showInputMessage="1" showErrorMessage="1" sqref="B22:B33" xr:uid="{F4362412-4D62-4D21-AC84-98ADF8E4C357}">
      <formula1>$B$19:$B$26</formula1>
    </dataValidation>
    <dataValidation type="list" allowBlank="1" showInputMessage="1" showErrorMessage="1" sqref="N19 N34:N39 N21" xr:uid="{E5FEAAFA-3CD2-417A-9247-0469256A4ADF}">
      <formula1>#REF!</formula1>
    </dataValidation>
    <dataValidation type="list" allowBlank="1" showInputMessage="1" showErrorMessage="1" sqref="G21" xr:uid="{E01E930B-A4BA-4640-ADE0-4FF90662546C}">
      <formula1>$G$38:$G$85</formula1>
    </dataValidation>
    <dataValidation type="list" allowBlank="1" showInputMessage="1" showErrorMessage="1" sqref="G22:G23 H22" xr:uid="{C5A816F4-0090-4758-B582-C5AE2D55C634}">
      <formula1>$G$19:$G$66</formula1>
    </dataValidation>
  </dataValidations>
  <pageMargins left="0.7" right="0.7" top="0.75" bottom="0.75" header="0.3" footer="0.3"/>
  <pageSetup scale="12" orientation="portrait" r:id="rId1"/>
  <headerFooter>
    <oddFooter>&amp;C_x000D_&amp;1#&amp;"Calibri"&amp;10&amp;K008000 DOCUMENTO PÚBLICO</oddFooter>
  </headerFooter>
  <colBreaks count="1" manualBreakCount="1">
    <brk id="37" max="1048575" man="1"/>
  </col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1347B-EBF9-4B9E-B402-EBAAC9B87EF8}">
  <dimension ref="A1:AI106"/>
  <sheetViews>
    <sheetView showGridLines="0" view="pageBreakPreview" zoomScale="80" zoomScaleNormal="10" zoomScaleSheetLayoutView="80" zoomScalePageLayoutView="48" workbookViewId="0">
      <selection activeCell="O14" sqref="O14:O29"/>
    </sheetView>
  </sheetViews>
  <sheetFormatPr baseColWidth="10" defaultColWidth="12.54296875" defaultRowHeight="15" customHeight="1" x14ac:dyDescent="0.35"/>
  <cols>
    <col min="1" max="1" width="7.36328125" style="1" customWidth="1"/>
    <col min="2" max="4" width="28.54296875" style="1" customWidth="1"/>
    <col min="5" max="5" width="36.453125" style="1" customWidth="1"/>
    <col min="6" max="6" width="28.54296875" style="1" hidden="1" customWidth="1"/>
    <col min="7" max="10" width="28.54296875" style="1" customWidth="1"/>
    <col min="11" max="12" width="19.54296875" style="1" customWidth="1"/>
    <col min="13" max="13" width="28.54296875" style="1" customWidth="1"/>
    <col min="14" max="15" width="18.36328125" style="1" customWidth="1"/>
    <col min="16" max="18" width="13.36328125" style="1" hidden="1" customWidth="1"/>
    <col min="19" max="31" width="9.54296875" style="1" hidden="1" customWidth="1"/>
    <col min="32" max="32" width="35.6328125" style="1" hidden="1" customWidth="1"/>
    <col min="33" max="35" width="42.54296875" style="1" hidden="1" customWidth="1"/>
    <col min="36" max="16384" width="12.54296875" style="1"/>
  </cols>
  <sheetData>
    <row r="1" spans="1:35" s="55" customFormat="1" ht="15" customHeight="1" x14ac:dyDescent="0.35">
      <c r="A1" s="449"/>
      <c r="B1" s="450"/>
      <c r="C1" s="451"/>
      <c r="D1" s="505" t="s">
        <v>304</v>
      </c>
      <c r="E1" s="505"/>
      <c r="F1" s="505"/>
      <c r="G1" s="505"/>
      <c r="H1" s="505"/>
      <c r="I1" s="505"/>
      <c r="J1" s="505"/>
      <c r="K1" s="505"/>
      <c r="L1" s="505"/>
      <c r="M1" s="505"/>
      <c r="N1" s="505"/>
      <c r="O1" s="505"/>
      <c r="P1" s="505"/>
      <c r="Q1" s="505"/>
      <c r="R1" s="505"/>
      <c r="S1" s="505"/>
      <c r="T1" s="505"/>
      <c r="U1" s="505"/>
      <c r="V1" s="505"/>
      <c r="W1" s="505"/>
      <c r="X1" s="505"/>
      <c r="Y1" s="505"/>
      <c r="Z1" s="505"/>
      <c r="AA1" s="505"/>
      <c r="AB1" s="505"/>
      <c r="AC1" s="505"/>
      <c r="AD1" s="505"/>
      <c r="AE1" s="505"/>
      <c r="AF1" s="505"/>
      <c r="AG1" s="505"/>
      <c r="AH1" s="505"/>
      <c r="AI1" s="505"/>
    </row>
    <row r="2" spans="1:35" s="55" customFormat="1" ht="20.149999999999999" customHeight="1" x14ac:dyDescent="0.35">
      <c r="A2" s="452"/>
      <c r="B2" s="453"/>
      <c r="C2" s="454"/>
      <c r="D2" s="505"/>
      <c r="E2" s="505"/>
      <c r="F2" s="505"/>
      <c r="G2" s="505"/>
      <c r="H2" s="505"/>
      <c r="I2" s="505"/>
      <c r="J2" s="505"/>
      <c r="K2" s="505"/>
      <c r="L2" s="505"/>
      <c r="M2" s="505"/>
      <c r="N2" s="505"/>
      <c r="O2" s="505"/>
      <c r="P2" s="505"/>
      <c r="Q2" s="505"/>
      <c r="R2" s="505"/>
      <c r="S2" s="505"/>
      <c r="T2" s="505"/>
      <c r="U2" s="505"/>
      <c r="V2" s="505"/>
      <c r="W2" s="505"/>
      <c r="X2" s="505"/>
      <c r="Y2" s="505"/>
      <c r="Z2" s="505"/>
      <c r="AA2" s="505"/>
      <c r="AB2" s="505"/>
      <c r="AC2" s="505"/>
      <c r="AD2" s="505"/>
      <c r="AE2" s="505"/>
      <c r="AF2" s="505"/>
      <c r="AG2" s="505"/>
      <c r="AH2" s="505"/>
      <c r="AI2" s="505"/>
    </row>
    <row r="3" spans="1:35" s="55" customFormat="1" ht="60" customHeight="1" thickBot="1" x14ac:dyDescent="0.4">
      <c r="A3" s="455"/>
      <c r="B3" s="456"/>
      <c r="C3" s="457"/>
      <c r="D3" s="505"/>
      <c r="E3" s="505"/>
      <c r="F3" s="505"/>
      <c r="G3" s="505"/>
      <c r="H3" s="505"/>
      <c r="I3" s="505"/>
      <c r="J3" s="505"/>
      <c r="K3" s="505"/>
      <c r="L3" s="505"/>
      <c r="M3" s="505"/>
      <c r="N3" s="505"/>
      <c r="O3" s="505"/>
      <c r="P3" s="505"/>
      <c r="Q3" s="505"/>
      <c r="R3" s="505"/>
      <c r="S3" s="505"/>
      <c r="T3" s="505"/>
      <c r="U3" s="505"/>
      <c r="V3" s="505"/>
      <c r="W3" s="505"/>
      <c r="X3" s="505"/>
      <c r="Y3" s="505"/>
      <c r="Z3" s="505"/>
      <c r="AA3" s="505"/>
      <c r="AB3" s="505"/>
      <c r="AC3" s="505"/>
      <c r="AD3" s="505"/>
      <c r="AE3" s="505"/>
      <c r="AF3" s="505"/>
      <c r="AG3" s="505"/>
      <c r="AH3" s="505"/>
      <c r="AI3" s="505"/>
    </row>
    <row r="4" spans="1:35" s="55" customFormat="1" ht="60" hidden="1" customHeight="1" x14ac:dyDescent="0.35">
      <c r="A4" s="447" t="s">
        <v>34</v>
      </c>
      <c r="B4" s="8" t="s">
        <v>35</v>
      </c>
      <c r="C4" s="10">
        <v>0.7</v>
      </c>
      <c r="D4" s="10"/>
      <c r="E4" s="10"/>
      <c r="F4" s="9"/>
      <c r="G4" s="447" t="s">
        <v>36</v>
      </c>
      <c r="H4" s="8" t="s">
        <v>35</v>
      </c>
      <c r="I4" s="10">
        <v>0.7</v>
      </c>
      <c r="J4" s="56"/>
      <c r="K4" s="57"/>
      <c r="L4" s="57"/>
      <c r="M4" s="57"/>
      <c r="N4" s="57"/>
      <c r="O4" s="57"/>
      <c r="P4" s="57"/>
      <c r="Q4" s="57"/>
      <c r="R4" s="57"/>
      <c r="S4" s="57"/>
      <c r="T4" s="57"/>
      <c r="U4" s="57"/>
      <c r="V4" s="57"/>
      <c r="W4" s="57"/>
      <c r="X4" s="57"/>
      <c r="Y4" s="57"/>
      <c r="Z4" s="57"/>
      <c r="AA4" s="57"/>
      <c r="AB4" s="57"/>
      <c r="AC4" s="57"/>
      <c r="AD4" s="57"/>
      <c r="AE4" s="57"/>
      <c r="AF4" s="57"/>
      <c r="AG4" s="57"/>
    </row>
    <row r="5" spans="1:35" s="55" customFormat="1" ht="60" hidden="1" customHeight="1" thickBot="1" x14ac:dyDescent="0.4">
      <c r="A5" s="447"/>
      <c r="B5" s="8" t="s">
        <v>37</v>
      </c>
      <c r="C5" s="11">
        <v>0.9</v>
      </c>
      <c r="D5" s="11"/>
      <c r="E5" s="11"/>
      <c r="F5" s="11">
        <v>1</v>
      </c>
      <c r="G5" s="447"/>
      <c r="H5" s="8" t="s">
        <v>37</v>
      </c>
      <c r="I5" s="11">
        <v>0.95</v>
      </c>
      <c r="J5" s="56"/>
      <c r="K5" s="57"/>
      <c r="L5" s="57"/>
      <c r="M5" s="57"/>
      <c r="N5" s="57"/>
      <c r="O5" s="57"/>
      <c r="P5" s="57"/>
      <c r="Q5" s="57"/>
      <c r="R5" s="57"/>
      <c r="S5" s="57"/>
      <c r="T5" s="57"/>
      <c r="U5" s="57"/>
      <c r="V5" s="57"/>
      <c r="W5" s="57"/>
      <c r="X5" s="57"/>
      <c r="Y5" s="57"/>
      <c r="Z5" s="57"/>
      <c r="AA5" s="57"/>
      <c r="AB5" s="57"/>
      <c r="AC5" s="57"/>
      <c r="AD5" s="57"/>
      <c r="AE5" s="57"/>
      <c r="AF5" s="57"/>
      <c r="AG5" s="57"/>
    </row>
    <row r="6" spans="1:35" ht="20.149999999999999" hidden="1" customHeight="1" x14ac:dyDescent="0.35">
      <c r="A6" s="597" t="s">
        <v>38</v>
      </c>
      <c r="B6" s="597"/>
      <c r="C6" s="534" t="s">
        <v>144</v>
      </c>
      <c r="D6" s="534"/>
      <c r="E6" s="598" t="s">
        <v>40</v>
      </c>
      <c r="F6" s="598"/>
      <c r="G6" s="536">
        <f>+Q15+Q17+Q19+Q21+Q23+Q25</f>
        <v>0.99999999999999989</v>
      </c>
      <c r="H6" s="598" t="s">
        <v>256</v>
      </c>
      <c r="I6" s="598"/>
      <c r="J6" s="600">
        <f>(Q14+Q16+Q18+Q20+Q22+Q24)/M6</f>
        <v>1.7543859649122806E-2</v>
      </c>
      <c r="K6" s="603" t="s">
        <v>41</v>
      </c>
      <c r="L6" s="604"/>
      <c r="M6" s="485">
        <v>0.95</v>
      </c>
      <c r="N6" s="597" t="s">
        <v>42</v>
      </c>
      <c r="O6" s="597"/>
      <c r="P6" s="470" t="e">
        <f>(SUM(S14:V14,S16:V16,S18:V18,S20:V20,S22:V22,S24:V24)/SUM(S15:V15,S17:V17,S19:V19,S21:V21,S23:V23,S25:V25))/M6</f>
        <v>#DIV/0!</v>
      </c>
      <c r="Q6" s="471"/>
      <c r="R6" s="472"/>
      <c r="S6" s="609" t="s">
        <v>43</v>
      </c>
      <c r="T6" s="610"/>
      <c r="U6" s="610"/>
      <c r="V6" s="611"/>
      <c r="W6" s="470" t="e">
        <f>SUM(W14:Y14,W16:Y16,W18:Y18,W20:Y20,W22:Y22,W24:Y24)/SUM(W15:Y15,W17:Y17,W19:Y19,W21:Y21,W23:Y23,W25:Y25)/M6</f>
        <v>#DIV/0!</v>
      </c>
      <c r="X6" s="471"/>
      <c r="Y6" s="471"/>
      <c r="Z6" s="472"/>
      <c r="AA6" s="609" t="s">
        <v>44</v>
      </c>
      <c r="AB6" s="610"/>
      <c r="AC6" s="610"/>
      <c r="AD6" s="611"/>
      <c r="AE6" s="470" t="e">
        <f>SUM(AB14,AB16,AB18,AB20,AB22,AB24)/SUM(AB15,AB17,AB19,AB21,AB23,AB25)/M6</f>
        <v>#DIV/0!</v>
      </c>
      <c r="AF6" s="472"/>
      <c r="AG6" s="609" t="s">
        <v>45</v>
      </c>
      <c r="AH6" s="470" t="e">
        <f>SUM(AE14,AE16,AE18,AE20,AE22,AE24)/SUM(AE15,AE17,AE19,AE21,AE23,AE25)/M6</f>
        <v>#DIV/0!</v>
      </c>
    </row>
    <row r="7" spans="1:35" ht="15" hidden="1" customHeight="1" x14ac:dyDescent="0.35">
      <c r="A7" s="597"/>
      <c r="B7" s="597"/>
      <c r="C7" s="534"/>
      <c r="D7" s="534"/>
      <c r="E7" s="598"/>
      <c r="F7" s="598"/>
      <c r="G7" s="537"/>
      <c r="H7" s="598"/>
      <c r="I7" s="598"/>
      <c r="J7" s="601"/>
      <c r="K7" s="605"/>
      <c r="L7" s="606"/>
      <c r="M7" s="486"/>
      <c r="N7" s="597"/>
      <c r="O7" s="597"/>
      <c r="P7" s="473"/>
      <c r="Q7" s="474"/>
      <c r="R7" s="475"/>
      <c r="S7" s="612"/>
      <c r="T7" s="613"/>
      <c r="U7" s="613"/>
      <c r="V7" s="614"/>
      <c r="W7" s="473"/>
      <c r="X7" s="474"/>
      <c r="Y7" s="474"/>
      <c r="Z7" s="475"/>
      <c r="AA7" s="612"/>
      <c r="AB7" s="613"/>
      <c r="AC7" s="613"/>
      <c r="AD7" s="614"/>
      <c r="AE7" s="473"/>
      <c r="AF7" s="475"/>
      <c r="AG7" s="612"/>
      <c r="AH7" s="473"/>
    </row>
    <row r="8" spans="1:35" ht="25.4" hidden="1" customHeight="1" x14ac:dyDescent="0.35">
      <c r="A8" s="597"/>
      <c r="B8" s="597"/>
      <c r="C8" s="534"/>
      <c r="D8" s="534"/>
      <c r="E8" s="598"/>
      <c r="F8" s="598"/>
      <c r="G8" s="537"/>
      <c r="H8" s="598"/>
      <c r="I8" s="598"/>
      <c r="J8" s="601"/>
      <c r="K8" s="605"/>
      <c r="L8" s="606"/>
      <c r="M8" s="486"/>
      <c r="N8" s="597"/>
      <c r="O8" s="597"/>
      <c r="P8" s="473"/>
      <c r="Q8" s="474"/>
      <c r="R8" s="475"/>
      <c r="S8" s="612"/>
      <c r="T8" s="613"/>
      <c r="U8" s="613"/>
      <c r="V8" s="614"/>
      <c r="W8" s="473"/>
      <c r="X8" s="474"/>
      <c r="Y8" s="474"/>
      <c r="Z8" s="475"/>
      <c r="AA8" s="612"/>
      <c r="AB8" s="613"/>
      <c r="AC8" s="613"/>
      <c r="AD8" s="614"/>
      <c r="AE8" s="473"/>
      <c r="AF8" s="475"/>
      <c r="AG8" s="612"/>
      <c r="AH8" s="473"/>
    </row>
    <row r="9" spans="1:35" ht="25.4" hidden="1" customHeight="1" x14ac:dyDescent="0.35">
      <c r="A9" s="597"/>
      <c r="B9" s="597"/>
      <c r="C9" s="534"/>
      <c r="D9" s="534"/>
      <c r="E9" s="598"/>
      <c r="F9" s="598"/>
      <c r="G9" s="537"/>
      <c r="H9" s="598"/>
      <c r="I9" s="598"/>
      <c r="J9" s="601"/>
      <c r="K9" s="605"/>
      <c r="L9" s="606"/>
      <c r="M9" s="486"/>
      <c r="N9" s="597"/>
      <c r="O9" s="597"/>
      <c r="P9" s="473"/>
      <c r="Q9" s="474"/>
      <c r="R9" s="475"/>
      <c r="S9" s="612"/>
      <c r="T9" s="613"/>
      <c r="U9" s="613"/>
      <c r="V9" s="614"/>
      <c r="W9" s="473"/>
      <c r="X9" s="474"/>
      <c r="Y9" s="474"/>
      <c r="Z9" s="475"/>
      <c r="AA9" s="612"/>
      <c r="AB9" s="613"/>
      <c r="AC9" s="613"/>
      <c r="AD9" s="614"/>
      <c r="AE9" s="473"/>
      <c r="AF9" s="475"/>
      <c r="AG9" s="612"/>
      <c r="AH9" s="473"/>
    </row>
    <row r="10" spans="1:35" ht="15" hidden="1" customHeight="1" thickBot="1" x14ac:dyDescent="0.4">
      <c r="A10" s="597"/>
      <c r="B10" s="597"/>
      <c r="C10" s="534"/>
      <c r="D10" s="534"/>
      <c r="E10" s="598"/>
      <c r="F10" s="598"/>
      <c r="G10" s="599"/>
      <c r="H10" s="598"/>
      <c r="I10" s="598"/>
      <c r="J10" s="602"/>
      <c r="K10" s="607"/>
      <c r="L10" s="608"/>
      <c r="M10" s="487"/>
      <c r="N10" s="597"/>
      <c r="O10" s="597"/>
      <c r="P10" s="476"/>
      <c r="Q10" s="477"/>
      <c r="R10" s="478"/>
      <c r="S10" s="615"/>
      <c r="T10" s="616"/>
      <c r="U10" s="616"/>
      <c r="V10" s="617"/>
      <c r="W10" s="476"/>
      <c r="X10" s="477"/>
      <c r="Y10" s="477"/>
      <c r="Z10" s="478"/>
      <c r="AA10" s="615"/>
      <c r="AB10" s="616"/>
      <c r="AC10" s="616"/>
      <c r="AD10" s="617"/>
      <c r="AE10" s="476"/>
      <c r="AF10" s="478"/>
      <c r="AG10" s="615"/>
      <c r="AH10" s="476"/>
    </row>
    <row r="11" spans="1:35" s="12" customFormat="1" ht="40.4" customHeight="1" thickBot="1" x14ac:dyDescent="0.4">
      <c r="A11" s="432" t="s">
        <v>46</v>
      </c>
      <c r="B11" s="432"/>
      <c r="C11" s="432"/>
      <c r="D11" s="432"/>
      <c r="E11" s="432"/>
      <c r="F11" s="433"/>
      <c r="G11" s="434" t="s">
        <v>47</v>
      </c>
      <c r="H11" s="435"/>
      <c r="I11" s="435"/>
      <c r="J11" s="435"/>
      <c r="K11" s="435"/>
      <c r="L11" s="435"/>
      <c r="M11" s="435"/>
      <c r="N11" s="435"/>
      <c r="O11" s="436"/>
      <c r="P11" s="493" t="s">
        <v>48</v>
      </c>
      <c r="Q11" s="494"/>
      <c r="R11" s="494"/>
      <c r="S11" s="494"/>
      <c r="T11" s="494"/>
      <c r="U11" s="494"/>
      <c r="V11" s="494"/>
      <c r="W11" s="494"/>
      <c r="X11" s="494"/>
      <c r="Y11" s="494"/>
      <c r="Z11" s="494"/>
      <c r="AA11" s="494"/>
      <c r="AB11" s="494"/>
      <c r="AC11" s="494"/>
      <c r="AD11" s="494"/>
      <c r="AE11" s="495"/>
      <c r="AF11" s="493" t="s">
        <v>49</v>
      </c>
      <c r="AG11" s="494"/>
      <c r="AH11" s="494"/>
      <c r="AI11" s="494"/>
    </row>
    <row r="12" spans="1:35" ht="39" customHeight="1" x14ac:dyDescent="0.35">
      <c r="A12" s="437" t="s">
        <v>50</v>
      </c>
      <c r="B12" s="439" t="s">
        <v>51</v>
      </c>
      <c r="C12" s="439" t="s">
        <v>52</v>
      </c>
      <c r="D12" s="439" t="s">
        <v>53</v>
      </c>
      <c r="E12" s="439" t="s">
        <v>54</v>
      </c>
      <c r="F12" s="439" t="s">
        <v>29</v>
      </c>
      <c r="G12" s="439" t="s">
        <v>55</v>
      </c>
      <c r="H12" s="439" t="s">
        <v>305</v>
      </c>
      <c r="I12" s="439" t="s">
        <v>306</v>
      </c>
      <c r="J12" s="439" t="s">
        <v>57</v>
      </c>
      <c r="K12" s="439" t="s">
        <v>58</v>
      </c>
      <c r="L12" s="439" t="s">
        <v>59</v>
      </c>
      <c r="M12" s="439" t="s">
        <v>60</v>
      </c>
      <c r="N12" s="439" t="s">
        <v>61</v>
      </c>
      <c r="O12" s="439" t="s">
        <v>62</v>
      </c>
      <c r="P12" s="502" t="s">
        <v>63</v>
      </c>
      <c r="Q12" s="503" t="s">
        <v>64</v>
      </c>
      <c r="R12" s="504" t="s">
        <v>65</v>
      </c>
      <c r="S12" s="459" t="s">
        <v>66</v>
      </c>
      <c r="T12" s="459" t="s">
        <v>67</v>
      </c>
      <c r="U12" s="459" t="s">
        <v>68</v>
      </c>
      <c r="V12" s="459" t="s">
        <v>69</v>
      </c>
      <c r="W12" s="459" t="s">
        <v>70</v>
      </c>
      <c r="X12" s="459" t="s">
        <v>71</v>
      </c>
      <c r="Y12" s="459" t="s">
        <v>72</v>
      </c>
      <c r="Z12" s="459" t="s">
        <v>73</v>
      </c>
      <c r="AA12" s="459" t="s">
        <v>74</v>
      </c>
      <c r="AB12" s="459" t="s">
        <v>75</v>
      </c>
      <c r="AC12" s="459" t="s">
        <v>76</v>
      </c>
      <c r="AD12" s="459" t="s">
        <v>77</v>
      </c>
      <c r="AE12" s="498" t="s">
        <v>78</v>
      </c>
      <c r="AF12" s="551" t="s">
        <v>79</v>
      </c>
      <c r="AG12" s="551" t="s">
        <v>80</v>
      </c>
      <c r="AH12" s="551" t="s">
        <v>81</v>
      </c>
      <c r="AI12" s="551" t="s">
        <v>82</v>
      </c>
    </row>
    <row r="13" spans="1:35" ht="60" customHeight="1" thickBot="1" x14ac:dyDescent="0.4">
      <c r="A13" s="438"/>
      <c r="B13" s="438"/>
      <c r="C13" s="438"/>
      <c r="D13" s="620"/>
      <c r="E13" s="620"/>
      <c r="F13" s="620"/>
      <c r="G13" s="620"/>
      <c r="H13" s="620"/>
      <c r="I13" s="620"/>
      <c r="J13" s="620"/>
      <c r="K13" s="620"/>
      <c r="L13" s="620"/>
      <c r="M13" s="620"/>
      <c r="N13" s="620"/>
      <c r="O13" s="620"/>
      <c r="P13" s="502"/>
      <c r="Q13" s="503"/>
      <c r="R13" s="504"/>
      <c r="S13" s="460"/>
      <c r="T13" s="460"/>
      <c r="U13" s="460"/>
      <c r="V13" s="460"/>
      <c r="W13" s="460"/>
      <c r="X13" s="460"/>
      <c r="Y13" s="460"/>
      <c r="Z13" s="460"/>
      <c r="AA13" s="460"/>
      <c r="AB13" s="460"/>
      <c r="AC13" s="460"/>
      <c r="AD13" s="460"/>
      <c r="AE13" s="499"/>
      <c r="AF13" s="551"/>
      <c r="AG13" s="551"/>
      <c r="AH13" s="551"/>
      <c r="AI13" s="551"/>
    </row>
    <row r="14" spans="1:35" ht="85.5" customHeight="1" thickBot="1" x14ac:dyDescent="0.4">
      <c r="A14" s="426">
        <v>1</v>
      </c>
      <c r="B14" s="426" t="s">
        <v>116</v>
      </c>
      <c r="C14" s="618" t="s">
        <v>142</v>
      </c>
      <c r="D14" s="596" t="s">
        <v>100</v>
      </c>
      <c r="E14" s="596" t="s">
        <v>143</v>
      </c>
      <c r="F14" s="621"/>
      <c r="G14" s="596" t="s">
        <v>144</v>
      </c>
      <c r="H14" s="622" t="s">
        <v>307</v>
      </c>
      <c r="I14" s="622" t="s">
        <v>308</v>
      </c>
      <c r="J14" s="622" t="s">
        <v>309</v>
      </c>
      <c r="K14" s="622" t="s">
        <v>310</v>
      </c>
      <c r="L14" s="596" t="s">
        <v>311</v>
      </c>
      <c r="M14" s="591" t="s">
        <v>92</v>
      </c>
      <c r="N14" s="592">
        <v>46023</v>
      </c>
      <c r="O14" s="592">
        <v>46387</v>
      </c>
      <c r="P14" s="381" t="s">
        <v>93</v>
      </c>
      <c r="Q14" s="53">
        <f>+(Q15*R14)</f>
        <v>0</v>
      </c>
      <c r="R14" s="65">
        <f t="shared" ref="R14:R25" si="0">SUM(S14:AE14)</f>
        <v>0</v>
      </c>
      <c r="S14" s="43"/>
      <c r="T14" s="43"/>
      <c r="U14" s="43"/>
      <c r="V14" s="43"/>
      <c r="W14" s="43"/>
      <c r="X14" s="43"/>
      <c r="Y14" s="43"/>
      <c r="Z14" s="43"/>
      <c r="AA14" s="44"/>
      <c r="AB14" s="44"/>
      <c r="AC14" s="44"/>
      <c r="AD14" s="44"/>
      <c r="AE14" s="44"/>
      <c r="AF14" s="573"/>
      <c r="AG14" s="589"/>
      <c r="AH14" s="589"/>
      <c r="AI14" s="587"/>
    </row>
    <row r="15" spans="1:35" ht="85.5" customHeight="1" thickBot="1" x14ac:dyDescent="0.4">
      <c r="A15" s="427"/>
      <c r="B15" s="427"/>
      <c r="C15" s="619"/>
      <c r="D15" s="596"/>
      <c r="E15" s="596"/>
      <c r="F15" s="621"/>
      <c r="G15" s="596"/>
      <c r="H15" s="622"/>
      <c r="I15" s="622"/>
      <c r="J15" s="622"/>
      <c r="K15" s="622"/>
      <c r="L15" s="596"/>
      <c r="M15" s="591"/>
      <c r="N15" s="592"/>
      <c r="O15" s="592"/>
      <c r="P15" s="381" t="s">
        <v>98</v>
      </c>
      <c r="Q15" s="52">
        <f>100%/6</f>
        <v>0.16666666666666666</v>
      </c>
      <c r="R15" s="65">
        <f t="shared" si="0"/>
        <v>0</v>
      </c>
      <c r="S15" s="42"/>
      <c r="T15" s="42"/>
      <c r="U15" s="42"/>
      <c r="V15" s="42"/>
      <c r="W15" s="42"/>
      <c r="X15" s="42"/>
      <c r="Y15" s="42"/>
      <c r="Z15" s="42"/>
      <c r="AA15" s="42"/>
      <c r="AB15" s="42"/>
      <c r="AC15" s="42"/>
      <c r="AD15" s="42"/>
      <c r="AE15" s="42"/>
      <c r="AF15" s="574"/>
      <c r="AG15" s="590"/>
      <c r="AH15" s="590"/>
      <c r="AI15" s="588"/>
    </row>
    <row r="16" spans="1:35" ht="85.5" customHeight="1" thickBot="1" x14ac:dyDescent="0.4">
      <c r="A16" s="426">
        <v>2</v>
      </c>
      <c r="B16" s="426" t="s">
        <v>116</v>
      </c>
      <c r="C16" s="618" t="s">
        <v>142</v>
      </c>
      <c r="D16" s="596" t="s">
        <v>100</v>
      </c>
      <c r="E16" s="596" t="s">
        <v>143</v>
      </c>
      <c r="F16" s="621"/>
      <c r="G16" s="596" t="s">
        <v>144</v>
      </c>
      <c r="H16" s="596" t="s">
        <v>312</v>
      </c>
      <c r="I16" s="596" t="s">
        <v>313</v>
      </c>
      <c r="J16" s="596" t="s">
        <v>314</v>
      </c>
      <c r="K16" s="596" t="s">
        <v>310</v>
      </c>
      <c r="L16" s="596" t="s">
        <v>311</v>
      </c>
      <c r="M16" s="591" t="s">
        <v>92</v>
      </c>
      <c r="N16" s="592">
        <v>46023</v>
      </c>
      <c r="O16" s="592">
        <v>46387</v>
      </c>
      <c r="P16" s="381" t="s">
        <v>93</v>
      </c>
      <c r="Q16" s="53">
        <f>+(Q17*R16)</f>
        <v>0</v>
      </c>
      <c r="R16" s="65">
        <f t="shared" si="0"/>
        <v>0</v>
      </c>
      <c r="S16" s="43"/>
      <c r="T16" s="43"/>
      <c r="U16" s="43"/>
      <c r="V16" s="43"/>
      <c r="W16" s="43"/>
      <c r="X16" s="43"/>
      <c r="Y16" s="43"/>
      <c r="Z16" s="43"/>
      <c r="AA16" s="44"/>
      <c r="AB16" s="44"/>
      <c r="AC16" s="44"/>
      <c r="AD16" s="44"/>
      <c r="AE16" s="44"/>
      <c r="AF16" s="573"/>
      <c r="AG16" s="589"/>
      <c r="AH16" s="623"/>
      <c r="AI16" s="587"/>
    </row>
    <row r="17" spans="1:35" ht="85.5" customHeight="1" thickBot="1" x14ac:dyDescent="0.4">
      <c r="A17" s="427"/>
      <c r="B17" s="427"/>
      <c r="C17" s="619"/>
      <c r="D17" s="596"/>
      <c r="E17" s="596"/>
      <c r="F17" s="621"/>
      <c r="G17" s="596"/>
      <c r="H17" s="596"/>
      <c r="I17" s="596"/>
      <c r="J17" s="596"/>
      <c r="K17" s="596"/>
      <c r="L17" s="596"/>
      <c r="M17" s="591"/>
      <c r="N17" s="592"/>
      <c r="O17" s="592"/>
      <c r="P17" s="381" t="s">
        <v>98</v>
      </c>
      <c r="Q17" s="52">
        <f>100%/6</f>
        <v>0.16666666666666666</v>
      </c>
      <c r="R17" s="65">
        <f t="shared" si="0"/>
        <v>0</v>
      </c>
      <c r="S17" s="42"/>
      <c r="T17" s="42"/>
      <c r="U17" s="42"/>
      <c r="V17" s="42"/>
      <c r="W17" s="42"/>
      <c r="X17" s="42"/>
      <c r="Y17" s="42"/>
      <c r="Z17" s="42"/>
      <c r="AA17" s="42"/>
      <c r="AB17" s="42"/>
      <c r="AC17" s="42"/>
      <c r="AD17" s="42"/>
      <c r="AE17" s="42"/>
      <c r="AF17" s="578"/>
      <c r="AG17" s="590"/>
      <c r="AH17" s="624"/>
      <c r="AI17" s="588"/>
    </row>
    <row r="18" spans="1:35" ht="104.25" customHeight="1" thickBot="1" x14ac:dyDescent="0.4">
      <c r="A18" s="426">
        <v>3</v>
      </c>
      <c r="B18" s="426" t="s">
        <v>116</v>
      </c>
      <c r="C18" s="618" t="s">
        <v>142</v>
      </c>
      <c r="D18" s="596" t="s">
        <v>100</v>
      </c>
      <c r="E18" s="596" t="s">
        <v>143</v>
      </c>
      <c r="F18" s="621"/>
      <c r="G18" s="596" t="s">
        <v>144</v>
      </c>
      <c r="H18" s="596" t="s">
        <v>315</v>
      </c>
      <c r="I18" s="596" t="s">
        <v>316</v>
      </c>
      <c r="J18" s="596" t="s">
        <v>317</v>
      </c>
      <c r="K18" s="596" t="s">
        <v>310</v>
      </c>
      <c r="L18" s="596" t="s">
        <v>318</v>
      </c>
      <c r="M18" s="591" t="s">
        <v>92</v>
      </c>
      <c r="N18" s="592">
        <v>46023</v>
      </c>
      <c r="O18" s="592">
        <v>46387</v>
      </c>
      <c r="P18" s="381" t="s">
        <v>93</v>
      </c>
      <c r="Q18" s="53">
        <f>+(Q19*R18)</f>
        <v>0</v>
      </c>
      <c r="R18" s="65">
        <f t="shared" si="0"/>
        <v>0</v>
      </c>
      <c r="S18" s="43"/>
      <c r="T18" s="43"/>
      <c r="U18" s="43"/>
      <c r="V18" s="43"/>
      <c r="W18" s="43"/>
      <c r="X18" s="43"/>
      <c r="Y18" s="43"/>
      <c r="Z18" s="43"/>
      <c r="AA18" s="44"/>
      <c r="AB18" s="44"/>
      <c r="AC18" s="44"/>
      <c r="AD18" s="44"/>
      <c r="AE18" s="44"/>
      <c r="AF18" s="573"/>
      <c r="AG18" s="589"/>
      <c r="AH18" s="589"/>
      <c r="AI18" s="587"/>
    </row>
    <row r="19" spans="1:35" ht="104.25" customHeight="1" thickBot="1" x14ac:dyDescent="0.4">
      <c r="A19" s="427"/>
      <c r="B19" s="427"/>
      <c r="C19" s="619"/>
      <c r="D19" s="596"/>
      <c r="E19" s="596"/>
      <c r="F19" s="621"/>
      <c r="G19" s="596"/>
      <c r="H19" s="596"/>
      <c r="I19" s="596"/>
      <c r="J19" s="596"/>
      <c r="K19" s="596"/>
      <c r="L19" s="596"/>
      <c r="M19" s="591"/>
      <c r="N19" s="592"/>
      <c r="O19" s="592"/>
      <c r="P19" s="381" t="s">
        <v>98</v>
      </c>
      <c r="Q19" s="52">
        <f>100%/6</f>
        <v>0.16666666666666666</v>
      </c>
      <c r="R19" s="65">
        <f t="shared" si="0"/>
        <v>0</v>
      </c>
      <c r="S19" s="42"/>
      <c r="T19" s="42"/>
      <c r="U19" s="42"/>
      <c r="V19" s="42"/>
      <c r="W19" s="42"/>
      <c r="X19" s="42"/>
      <c r="Y19" s="42"/>
      <c r="Z19" s="42"/>
      <c r="AA19" s="42"/>
      <c r="AB19" s="42"/>
      <c r="AC19" s="42"/>
      <c r="AD19" s="42"/>
      <c r="AE19" s="42"/>
      <c r="AF19" s="574"/>
      <c r="AG19" s="590"/>
      <c r="AH19" s="590"/>
      <c r="AI19" s="588"/>
    </row>
    <row r="20" spans="1:35" ht="88.5" customHeight="1" thickBot="1" x14ac:dyDescent="0.4">
      <c r="A20" s="426">
        <v>4</v>
      </c>
      <c r="B20" s="426" t="s">
        <v>116</v>
      </c>
      <c r="C20" s="618" t="s">
        <v>142</v>
      </c>
      <c r="D20" s="596" t="s">
        <v>100</v>
      </c>
      <c r="E20" s="596" t="s">
        <v>143</v>
      </c>
      <c r="F20" s="621"/>
      <c r="G20" s="596" t="s">
        <v>144</v>
      </c>
      <c r="H20" s="596" t="s">
        <v>319</v>
      </c>
      <c r="I20" s="596" t="s">
        <v>320</v>
      </c>
      <c r="J20" s="596" t="s">
        <v>321</v>
      </c>
      <c r="K20" s="596" t="s">
        <v>310</v>
      </c>
      <c r="L20" s="596" t="s">
        <v>322</v>
      </c>
      <c r="M20" s="591" t="s">
        <v>92</v>
      </c>
      <c r="N20" s="592">
        <v>46023</v>
      </c>
      <c r="O20" s="592">
        <v>46387</v>
      </c>
      <c r="P20" s="381" t="s">
        <v>93</v>
      </c>
      <c r="Q20" s="53">
        <f>+(Q21*R20)</f>
        <v>0</v>
      </c>
      <c r="R20" s="65">
        <f t="shared" si="0"/>
        <v>0</v>
      </c>
      <c r="S20" s="43"/>
      <c r="T20" s="43"/>
      <c r="U20" s="43"/>
      <c r="V20" s="43"/>
      <c r="W20" s="43"/>
      <c r="X20" s="43"/>
      <c r="Y20" s="43"/>
      <c r="Z20" s="43"/>
      <c r="AA20" s="44"/>
      <c r="AB20" s="44"/>
      <c r="AC20" s="44"/>
      <c r="AD20" s="44"/>
      <c r="AE20" s="44"/>
      <c r="AF20" s="573"/>
      <c r="AG20" s="589"/>
      <c r="AH20" s="589"/>
      <c r="AI20" s="587"/>
    </row>
    <row r="21" spans="1:35" ht="88.5" customHeight="1" thickBot="1" x14ac:dyDescent="0.4">
      <c r="A21" s="427"/>
      <c r="B21" s="427"/>
      <c r="C21" s="619"/>
      <c r="D21" s="596"/>
      <c r="E21" s="596"/>
      <c r="F21" s="621"/>
      <c r="G21" s="596"/>
      <c r="H21" s="596"/>
      <c r="I21" s="596"/>
      <c r="J21" s="596"/>
      <c r="K21" s="596"/>
      <c r="L21" s="596"/>
      <c r="M21" s="591"/>
      <c r="N21" s="592"/>
      <c r="O21" s="592"/>
      <c r="P21" s="381" t="s">
        <v>98</v>
      </c>
      <c r="Q21" s="52">
        <f>100%/6</f>
        <v>0.16666666666666666</v>
      </c>
      <c r="R21" s="65">
        <f t="shared" si="0"/>
        <v>0</v>
      </c>
      <c r="S21" s="86"/>
      <c r="T21" s="86"/>
      <c r="U21" s="86"/>
      <c r="V21" s="42"/>
      <c r="W21" s="42"/>
      <c r="X21" s="42"/>
      <c r="Y21" s="42"/>
      <c r="Z21" s="42"/>
      <c r="AA21" s="42"/>
      <c r="AB21" s="42"/>
      <c r="AC21" s="42"/>
      <c r="AD21" s="42"/>
      <c r="AE21" s="42"/>
      <c r="AF21" s="574"/>
      <c r="AG21" s="590"/>
      <c r="AH21" s="590"/>
      <c r="AI21" s="588"/>
    </row>
    <row r="22" spans="1:35" ht="37.4" customHeight="1" thickBot="1" x14ac:dyDescent="0.4">
      <c r="A22" s="426">
        <v>5</v>
      </c>
      <c r="B22" s="426" t="s">
        <v>116</v>
      </c>
      <c r="C22" s="618" t="s">
        <v>142</v>
      </c>
      <c r="D22" s="596" t="s">
        <v>100</v>
      </c>
      <c r="E22" s="596" t="s">
        <v>143</v>
      </c>
      <c r="F22" s="621"/>
      <c r="G22" s="596" t="s">
        <v>144</v>
      </c>
      <c r="H22" s="596" t="s">
        <v>323</v>
      </c>
      <c r="I22" s="596" t="s">
        <v>324</v>
      </c>
      <c r="J22" s="596" t="s">
        <v>310</v>
      </c>
      <c r="K22" s="596" t="s">
        <v>318</v>
      </c>
      <c r="L22" s="596" t="s">
        <v>311</v>
      </c>
      <c r="M22" s="591" t="s">
        <v>92</v>
      </c>
      <c r="N22" s="592">
        <v>46023</v>
      </c>
      <c r="O22" s="592">
        <v>46387</v>
      </c>
      <c r="P22" s="381" t="s">
        <v>93</v>
      </c>
      <c r="Q22" s="53">
        <f>+(Q23*R22)</f>
        <v>0</v>
      </c>
      <c r="R22" s="65">
        <f t="shared" si="0"/>
        <v>0</v>
      </c>
      <c r="S22" s="86"/>
      <c r="T22" s="86"/>
      <c r="U22" s="86"/>
      <c r="V22" s="43"/>
      <c r="W22" s="43"/>
      <c r="X22" s="43"/>
      <c r="Y22" s="43"/>
      <c r="Z22" s="43"/>
      <c r="AA22" s="44"/>
      <c r="AB22" s="44"/>
      <c r="AC22" s="44"/>
      <c r="AD22" s="44"/>
      <c r="AE22" s="44"/>
      <c r="AF22" s="573"/>
      <c r="AG22" s="589"/>
      <c r="AH22" s="589"/>
      <c r="AI22" s="587"/>
    </row>
    <row r="23" spans="1:35" ht="99.65" customHeight="1" thickBot="1" x14ac:dyDescent="0.4">
      <c r="A23" s="427"/>
      <c r="B23" s="427"/>
      <c r="C23" s="619"/>
      <c r="D23" s="596"/>
      <c r="E23" s="596"/>
      <c r="F23" s="621"/>
      <c r="G23" s="596"/>
      <c r="H23" s="596"/>
      <c r="I23" s="596"/>
      <c r="J23" s="596"/>
      <c r="K23" s="596"/>
      <c r="L23" s="596"/>
      <c r="M23" s="591"/>
      <c r="N23" s="592"/>
      <c r="O23" s="592"/>
      <c r="P23" s="381" t="s">
        <v>98</v>
      </c>
      <c r="Q23" s="52">
        <f>100%/6</f>
        <v>0.16666666666666666</v>
      </c>
      <c r="R23" s="65">
        <f t="shared" si="0"/>
        <v>0</v>
      </c>
      <c r="S23" s="42"/>
      <c r="T23" s="42"/>
      <c r="U23" s="42"/>
      <c r="V23" s="42"/>
      <c r="W23" s="42"/>
      <c r="X23" s="42"/>
      <c r="Y23" s="42"/>
      <c r="Z23" s="42"/>
      <c r="AA23" s="42"/>
      <c r="AB23" s="42"/>
      <c r="AC23" s="42"/>
      <c r="AD23" s="42"/>
      <c r="AE23" s="42"/>
      <c r="AF23" s="574"/>
      <c r="AG23" s="590"/>
      <c r="AH23" s="590"/>
      <c r="AI23" s="588"/>
    </row>
    <row r="24" spans="1:35" ht="50.25" customHeight="1" thickBot="1" x14ac:dyDescent="0.4">
      <c r="A24" s="426">
        <v>6</v>
      </c>
      <c r="B24" s="426" t="s">
        <v>116</v>
      </c>
      <c r="C24" s="618" t="s">
        <v>142</v>
      </c>
      <c r="D24" s="596" t="s">
        <v>100</v>
      </c>
      <c r="E24" s="596" t="s">
        <v>143</v>
      </c>
      <c r="F24" s="621"/>
      <c r="G24" s="596" t="s">
        <v>144</v>
      </c>
      <c r="H24" s="596" t="s">
        <v>325</v>
      </c>
      <c r="I24" s="596" t="s">
        <v>326</v>
      </c>
      <c r="J24" s="596" t="s">
        <v>310</v>
      </c>
      <c r="K24" s="596" t="s">
        <v>91</v>
      </c>
      <c r="L24" s="596" t="s">
        <v>311</v>
      </c>
      <c r="M24" s="591" t="s">
        <v>92</v>
      </c>
      <c r="N24" s="592">
        <v>46023</v>
      </c>
      <c r="O24" s="592">
        <v>46387</v>
      </c>
      <c r="P24" s="381" t="s">
        <v>93</v>
      </c>
      <c r="Q24" s="53">
        <f>+(Q25*R24)</f>
        <v>1.6666666666666666E-2</v>
      </c>
      <c r="R24" s="65">
        <f t="shared" si="0"/>
        <v>0.1</v>
      </c>
      <c r="S24" s="86">
        <v>0.1</v>
      </c>
      <c r="T24" s="86"/>
      <c r="U24" s="86"/>
      <c r="V24" s="43"/>
      <c r="W24" s="43"/>
      <c r="X24" s="43"/>
      <c r="Y24" s="43"/>
      <c r="Z24" s="43"/>
      <c r="AA24" s="44"/>
      <c r="AB24" s="44"/>
      <c r="AC24" s="44"/>
      <c r="AD24" s="44"/>
      <c r="AE24" s="44"/>
      <c r="AF24" s="573"/>
      <c r="AG24" s="589"/>
      <c r="AH24" s="589"/>
      <c r="AI24" s="587"/>
    </row>
    <row r="25" spans="1:35" ht="65.400000000000006" customHeight="1" thickBot="1" x14ac:dyDescent="0.4">
      <c r="A25" s="427"/>
      <c r="B25" s="427"/>
      <c r="C25" s="619"/>
      <c r="D25" s="596"/>
      <c r="E25" s="596"/>
      <c r="F25" s="621"/>
      <c r="G25" s="596"/>
      <c r="H25" s="596"/>
      <c r="I25" s="596"/>
      <c r="J25" s="596"/>
      <c r="K25" s="596"/>
      <c r="L25" s="596"/>
      <c r="M25" s="591"/>
      <c r="N25" s="592"/>
      <c r="O25" s="592"/>
      <c r="P25" s="381" t="s">
        <v>98</v>
      </c>
      <c r="Q25" s="52">
        <f>100%/6</f>
        <v>0.16666666666666666</v>
      </c>
      <c r="R25" s="65">
        <f t="shared" si="0"/>
        <v>0</v>
      </c>
      <c r="S25" s="42"/>
      <c r="T25" s="42"/>
      <c r="U25" s="42"/>
      <c r="V25" s="42"/>
      <c r="W25" s="42"/>
      <c r="X25" s="42"/>
      <c r="Y25" s="42"/>
      <c r="Z25" s="42"/>
      <c r="AA25" s="42"/>
      <c r="AB25" s="42"/>
      <c r="AC25" s="42"/>
      <c r="AD25" s="42"/>
      <c r="AE25" s="42"/>
      <c r="AF25" s="574"/>
      <c r="AG25" s="590"/>
      <c r="AH25" s="590"/>
      <c r="AI25" s="588"/>
    </row>
    <row r="26" spans="1:35" ht="50.25" customHeight="1" thickBot="1" x14ac:dyDescent="0.4">
      <c r="A26" s="426">
        <v>7</v>
      </c>
      <c r="B26" s="426" t="s">
        <v>116</v>
      </c>
      <c r="C26" s="618" t="s">
        <v>142</v>
      </c>
      <c r="D26" s="596" t="s">
        <v>100</v>
      </c>
      <c r="E26" s="596" t="s">
        <v>143</v>
      </c>
      <c r="F26" s="621"/>
      <c r="G26" s="596" t="s">
        <v>144</v>
      </c>
      <c r="H26" s="596" t="s">
        <v>327</v>
      </c>
      <c r="I26" s="596" t="s">
        <v>327</v>
      </c>
      <c r="J26" s="596" t="s">
        <v>310</v>
      </c>
      <c r="K26" s="596" t="s">
        <v>91</v>
      </c>
      <c r="L26" s="596" t="s">
        <v>311</v>
      </c>
      <c r="M26" s="591" t="s">
        <v>92</v>
      </c>
      <c r="N26" s="592">
        <v>46023</v>
      </c>
      <c r="O26" s="592">
        <v>46387</v>
      </c>
      <c r="P26" s="381" t="s">
        <v>93</v>
      </c>
      <c r="Q26" s="53">
        <f>+(Q27*R26)</f>
        <v>1.6666666666666666E-2</v>
      </c>
      <c r="R26" s="65">
        <f t="shared" ref="R26:R27" si="1">SUM(S26:AE26)</f>
        <v>0.1</v>
      </c>
      <c r="S26" s="86">
        <v>0.1</v>
      </c>
      <c r="T26" s="86"/>
      <c r="U26" s="86"/>
      <c r="V26" s="43"/>
      <c r="W26" s="43"/>
      <c r="X26" s="43"/>
      <c r="Y26" s="43"/>
      <c r="Z26" s="43"/>
      <c r="AA26" s="44"/>
      <c r="AB26" s="44"/>
      <c r="AC26" s="44"/>
      <c r="AD26" s="44"/>
      <c r="AE26" s="44"/>
      <c r="AF26" s="573"/>
      <c r="AG26" s="589"/>
      <c r="AH26" s="589"/>
      <c r="AI26" s="587"/>
    </row>
    <row r="27" spans="1:35" ht="65.400000000000006" customHeight="1" thickBot="1" x14ac:dyDescent="0.4">
      <c r="A27" s="427"/>
      <c r="B27" s="427"/>
      <c r="C27" s="619"/>
      <c r="D27" s="596"/>
      <c r="E27" s="596"/>
      <c r="F27" s="621"/>
      <c r="G27" s="596"/>
      <c r="H27" s="596"/>
      <c r="I27" s="596"/>
      <c r="J27" s="596"/>
      <c r="K27" s="596"/>
      <c r="L27" s="596"/>
      <c r="M27" s="591"/>
      <c r="N27" s="592"/>
      <c r="O27" s="592"/>
      <c r="P27" s="381" t="s">
        <v>98</v>
      </c>
      <c r="Q27" s="52">
        <f>100%/6</f>
        <v>0.16666666666666666</v>
      </c>
      <c r="R27" s="65">
        <f t="shared" si="1"/>
        <v>0</v>
      </c>
      <c r="S27" s="42"/>
      <c r="T27" s="42"/>
      <c r="U27" s="42"/>
      <c r="V27" s="42"/>
      <c r="W27" s="42"/>
      <c r="X27" s="42"/>
      <c r="Y27" s="42"/>
      <c r="Z27" s="42"/>
      <c r="AA27" s="42"/>
      <c r="AB27" s="42"/>
      <c r="AC27" s="42"/>
      <c r="AD27" s="42"/>
      <c r="AE27" s="42"/>
      <c r="AF27" s="574"/>
      <c r="AG27" s="590"/>
      <c r="AH27" s="590"/>
      <c r="AI27" s="588"/>
    </row>
    <row r="28" spans="1:35" ht="50.25" customHeight="1" thickBot="1" x14ac:dyDescent="0.4">
      <c r="A28" s="426">
        <v>8</v>
      </c>
      <c r="B28" s="426" t="s">
        <v>116</v>
      </c>
      <c r="C28" s="618" t="s">
        <v>142</v>
      </c>
      <c r="D28" s="596" t="s">
        <v>100</v>
      </c>
      <c r="E28" s="596" t="s">
        <v>143</v>
      </c>
      <c r="F28" s="621"/>
      <c r="G28" s="596" t="s">
        <v>144</v>
      </c>
      <c r="H28" s="596" t="s">
        <v>328</v>
      </c>
      <c r="I28" s="596" t="s">
        <v>329</v>
      </c>
      <c r="J28" s="596" t="s">
        <v>310</v>
      </c>
      <c r="K28" s="596" t="s">
        <v>91</v>
      </c>
      <c r="L28" s="596" t="s">
        <v>311</v>
      </c>
      <c r="M28" s="591" t="s">
        <v>92</v>
      </c>
      <c r="N28" s="592">
        <v>46023</v>
      </c>
      <c r="O28" s="592">
        <v>46387</v>
      </c>
      <c r="P28" s="381" t="s">
        <v>93</v>
      </c>
      <c r="Q28" s="53">
        <f>+(Q29*R28)</f>
        <v>1.6666666666666666E-2</v>
      </c>
      <c r="R28" s="65">
        <f t="shared" ref="R28:R29" si="2">SUM(S28:AE28)</f>
        <v>0.1</v>
      </c>
      <c r="S28" s="86">
        <v>0.1</v>
      </c>
      <c r="T28" s="86"/>
      <c r="U28" s="86"/>
      <c r="V28" s="43"/>
      <c r="W28" s="43"/>
      <c r="X28" s="43"/>
      <c r="Y28" s="43"/>
      <c r="Z28" s="43"/>
      <c r="AA28" s="44"/>
      <c r="AB28" s="44"/>
      <c r="AC28" s="44"/>
      <c r="AD28" s="44"/>
      <c r="AE28" s="44"/>
      <c r="AF28" s="573"/>
      <c r="AG28" s="589"/>
      <c r="AH28" s="589"/>
      <c r="AI28" s="587"/>
    </row>
    <row r="29" spans="1:35" ht="65.400000000000006" customHeight="1" x14ac:dyDescent="0.35">
      <c r="A29" s="427"/>
      <c r="B29" s="427"/>
      <c r="C29" s="619"/>
      <c r="D29" s="596"/>
      <c r="E29" s="596"/>
      <c r="F29" s="621"/>
      <c r="G29" s="596"/>
      <c r="H29" s="596"/>
      <c r="I29" s="596"/>
      <c r="J29" s="596"/>
      <c r="K29" s="596"/>
      <c r="L29" s="596"/>
      <c r="M29" s="591"/>
      <c r="N29" s="592"/>
      <c r="O29" s="592"/>
      <c r="P29" s="381" t="s">
        <v>98</v>
      </c>
      <c r="Q29" s="52">
        <f>100%/6</f>
        <v>0.16666666666666666</v>
      </c>
      <c r="R29" s="65">
        <f t="shared" si="2"/>
        <v>0</v>
      </c>
      <c r="S29" s="42"/>
      <c r="T29" s="42"/>
      <c r="U29" s="42"/>
      <c r="V29" s="42"/>
      <c r="W29" s="42"/>
      <c r="X29" s="42"/>
      <c r="Y29" s="42"/>
      <c r="Z29" s="42"/>
      <c r="AA29" s="42"/>
      <c r="AB29" s="42"/>
      <c r="AC29" s="42"/>
      <c r="AD29" s="42"/>
      <c r="AE29" s="42"/>
      <c r="AF29" s="574"/>
      <c r="AG29" s="590"/>
      <c r="AH29" s="590"/>
      <c r="AI29" s="588"/>
    </row>
    <row r="30" spans="1:35" s="13" customFormat="1" ht="30" hidden="1" customHeight="1" thickBot="1" x14ac:dyDescent="0.4">
      <c r="H30" s="68"/>
      <c r="I30" s="20" t="s">
        <v>156</v>
      </c>
      <c r="J30" s="19"/>
      <c r="K30" s="35"/>
      <c r="L30" s="35"/>
      <c r="M30" s="35"/>
      <c r="N30" s="35"/>
      <c r="O30" s="35"/>
      <c r="P30" s="35"/>
      <c r="Q30" s="38"/>
      <c r="R30" s="35"/>
      <c r="S30" s="35"/>
      <c r="T30" s="28"/>
      <c r="U30" s="29"/>
      <c r="V30" s="29"/>
      <c r="W30" s="29"/>
      <c r="X30" s="29"/>
      <c r="Y30" s="29"/>
      <c r="Z30" s="29"/>
      <c r="AA30" s="29"/>
      <c r="AB30" s="29" t="e">
        <f>+P29+AB29</f>
        <v>#VALUE!</v>
      </c>
      <c r="AC30" s="40"/>
      <c r="AD30" s="29"/>
      <c r="AE30" s="61"/>
    </row>
    <row r="31" spans="1:35" s="13" customFormat="1" ht="30" hidden="1" customHeight="1" x14ac:dyDescent="0.35">
      <c r="H31" s="593" t="s">
        <v>330</v>
      </c>
      <c r="I31" s="15" t="s">
        <v>157</v>
      </c>
      <c r="J31" s="23" t="e">
        <f>SUM(O31:AD31)</f>
        <v>#REF!</v>
      </c>
      <c r="K31" s="34"/>
      <c r="L31" s="34"/>
      <c r="M31" s="34"/>
      <c r="N31" s="34"/>
      <c r="O31" s="34" t="e">
        <f>+(W15*$Q$15)+(W17*$Q$17)+(W19*$Q$19)+(W21*$Q$21)+(#REF!*$Q$23)+(#REF!*$Q$25)+(#REF!*#REF!)+(#REF!*#REF!)+(#REF!*#REF!)+(#REF!*#REF!)+(#REF!*#REF!)+(#REF!*#REF!)+(#REF!*#REF!)</f>
        <v>#REF!</v>
      </c>
      <c r="P31" s="34" t="e">
        <f>+(AD15*$Q$15)+(AD17*$Q$17)+(AD19*$Q$19)+(AD21*$Q$21)+(#REF!*$Q$23)+(#REF!*$Q$25)+(#REF!*#REF!)+(#REF!*#REF!)+(#REF!*#REF!)+(#REF!*#REF!)+(#REF!*#REF!)+(#REF!*#REF!)+(#REF!*#REF!)</f>
        <v>#REF!</v>
      </c>
      <c r="Q31" s="37" t="e">
        <f>+(#REF!*$Q$15)+(#REF!*$Q$17)+(#REF!*$Q$19)+(#REF!*$Q$21)+(#REF!*$Q$23)+(#REF!*$Q$25)+(#REF!*#REF!)+(#REF!*#REF!)+(#REF!*#REF!)+(#REF!*#REF!)+(#REF!*#REF!)+(#REF!*#REF!)+(#REF!*#REF!)</f>
        <v>#REF!</v>
      </c>
      <c r="R31" s="34" t="e">
        <f>+(#REF!*$Q$15)+(#REF!*$Q$17)+(#REF!*$Q$19)+(#REF!*$Q$21)+(#REF!*$Q$23)+(#REF!*$Q$25)+(#REF!*#REF!)+(#REF!*#REF!)+(#REF!*#REF!)+(#REF!*#REF!)+(#REF!*#REF!)+(#REF!*#REF!)+(#REF!*#REF!)</f>
        <v>#REF!</v>
      </c>
      <c r="S31" s="34" t="e">
        <f>+(#REF!*$Q$15)+(#REF!*$Q$17)+(#REF!*$Q$19)+(#REF!*$Q$21)+(#REF!*$Q$23)+(#REF!*$Q$25)+(#REF!*#REF!)+(#REF!*#REF!)+(#REF!*#REF!)+(#REF!*#REF!)+(#REF!*#REF!)+(#REF!*#REF!)+(#REF!*#REF!)</f>
        <v>#REF!</v>
      </c>
      <c r="T31" s="34" t="e">
        <f>+(#REF!*$Q$15)+(#REF!*$Q$17)+(#REF!*$Q$19)+(#REF!*$Q$21)+(#REF!*$Q$23)+(#REF!*$Q$25)+(#REF!*#REF!)+(#REF!*#REF!)+(#REF!*#REF!)+(#REF!*#REF!)+(#REF!*#REF!)+(#REF!*#REF!)+(#REF!*#REF!)</f>
        <v>#REF!</v>
      </c>
      <c r="U31" s="34" t="e">
        <f>+(#REF!*$Q$15)+(#REF!*$Q$17)+(#REF!*$Q$19)+(#REF!*$Q$21)+(#REF!*$Q$23)+(#REF!*$Q$25)+(#REF!*#REF!)+(#REF!*#REF!)+(#REF!*#REF!)+(#REF!*#REF!)+(#REF!*#REF!)+(#REF!*#REF!)+(#REF!*#REF!)</f>
        <v>#REF!</v>
      </c>
      <c r="V31" s="34" t="e">
        <f>+(#REF!*$Q$15)+(#REF!*$Q$17)+(#REF!*$Q$19)+(#REF!*$Q$21)+(#REF!*$Q$23)+(#REF!*$Q$25)+(#REF!*#REF!)+(#REF!*#REF!)+(#REF!*#REF!)+(#REF!*#REF!)+(#REF!*#REF!)+(#REF!*#REF!)+(#REF!*#REF!)</f>
        <v>#REF!</v>
      </c>
      <c r="W31" s="34" t="e">
        <f>+(#REF!*$Q$15)+(#REF!*$Q$17)+(#REF!*$Q$19)+(#REF!*$Q$21)+(#REF!*$Q$23)+(#REF!*$Q$25)+(#REF!*#REF!)+(#REF!*#REF!)+(#REF!*#REF!)+(#REF!*#REF!)+(#REF!*#REF!)+(#REF!*#REF!)+(#REF!*#REF!)</f>
        <v>#REF!</v>
      </c>
      <c r="X31" s="34" t="e">
        <f>+(#REF!*$Q$15)+(#REF!*$Q$17)+(#REF!*$Q$19)+(#REF!*$Q$21)+(#REF!*$Q$23)+(#REF!*$Q$25)+(#REF!*#REF!)+(#REF!*#REF!)+(#REF!*#REF!)+(#REF!*#REF!)+(#REF!*#REF!)+(#REF!*#REF!)+(#REF!*#REF!)</f>
        <v>#REF!</v>
      </c>
      <c r="Y31" s="34" t="e">
        <f>+(#REF!*$Q$15)+(#REF!*$Q$17)+(#REF!*$Q$19)+(#REF!*$Q$21)+(#REF!*$Q$23)+(#REF!*$Q$25)+(#REF!*#REF!)+(#REF!*#REF!)+(#REF!*#REF!)+(#REF!*#REF!)+(#REF!*#REF!)+(#REF!*#REF!)+(#REF!*#REF!)</f>
        <v>#REF!</v>
      </c>
      <c r="Z31" s="34" t="e">
        <f>+(#REF!*$Q$15)+(#REF!*$Q$17)+(#REF!*$Q$19)+(#REF!*$Q$21)+(#REF!*$Q$23)+(#REF!*$Q$25)+(#REF!*#REF!)+(#REF!*#REF!)+(#REF!*#REF!)+(#REF!*#REF!)+(#REF!*#REF!)+(#REF!*#REF!)+(#REF!*#REF!)</f>
        <v>#REF!</v>
      </c>
      <c r="AA31" s="34" t="e">
        <f>+(#REF!*$Q$15)+(#REF!*$Q$17)+(#REF!*$Q$19)+(#REF!*$Q$21)+(#REF!*$Q$23)+(#REF!*$Q$25)+(#REF!*#REF!)+(#REF!*#REF!)+(#REF!*#REF!)+(#REF!*#REF!)+(#REF!*#REF!)+(#REF!*#REF!)+(#REF!*#REF!)</f>
        <v>#REF!</v>
      </c>
      <c r="AB31" s="34" t="e">
        <f>+(#REF!*$Q$15)+(#REF!*$Q$17)+(#REF!*$Q$19)+(#REF!*$Q$21)+(#REF!*$Q$23)+(#REF!*$Q$25)+(#REF!*#REF!)+(#REF!*#REF!)+(#REF!*#REF!)+(#REF!*#REF!)+(#REF!*#REF!)+(#REF!*#REF!)+(#REF!*#REF!)</f>
        <v>#REF!</v>
      </c>
      <c r="AC31" s="37" t="e">
        <f>+(#REF!*$Q$15)+(#REF!*$Q$17)+(#REF!*$Q$19)+(#REF!*$Q$21)+(#REF!*$Q$23)+(#REF!*$Q$25)+(#REF!*#REF!)+(#REF!*#REF!)+(#REF!*#REF!)+(#REF!*#REF!)+(#REF!*#REF!)+(#REF!*#REF!)+(#REF!*#REF!)</f>
        <v>#REF!</v>
      </c>
      <c r="AD31" s="34" t="e">
        <f>+(#REF!*$Q$15)+(#REF!*$Q$17)+(#REF!*$Q$19)+(#REF!*$Q$21)+(#REF!*$Q$23)+(#REF!*$Q$25)+(#REF!*#REF!)+(#REF!*#REF!)+(#REF!*#REF!)+(#REF!*#REF!)+(#REF!*#REF!)+(#REF!*#REF!)+(#REF!*#REF!)</f>
        <v>#REF!</v>
      </c>
      <c r="AE31" s="60"/>
    </row>
    <row r="32" spans="1:35" s="13" customFormat="1" ht="30" hidden="1" customHeight="1" x14ac:dyDescent="0.35">
      <c r="H32" s="594"/>
      <c r="I32" s="15" t="s">
        <v>158</v>
      </c>
      <c r="J32" s="16"/>
      <c r="K32" s="34"/>
      <c r="L32" s="34"/>
      <c r="M32" s="34"/>
      <c r="N32" s="34"/>
      <c r="O32" s="34"/>
      <c r="P32" s="34" t="e">
        <f>SUM(P31:P31)</f>
        <v>#REF!</v>
      </c>
      <c r="Q32" s="37"/>
      <c r="R32" s="34"/>
      <c r="S32" s="34"/>
      <c r="T32" s="34" t="e">
        <f>SUM(Q31:T31)</f>
        <v>#REF!</v>
      </c>
      <c r="U32" s="34"/>
      <c r="V32" s="34"/>
      <c r="W32" s="34"/>
      <c r="X32" s="34" t="e">
        <f>SUM(U31:X31)</f>
        <v>#REF!</v>
      </c>
      <c r="Y32" s="34"/>
      <c r="Z32" s="34"/>
      <c r="AA32" s="34"/>
      <c r="AB32" s="34" t="e">
        <f>SUM(Y31:AB31)</f>
        <v>#REF!</v>
      </c>
      <c r="AC32" s="37"/>
      <c r="AD32" s="34"/>
      <c r="AE32" s="60"/>
    </row>
    <row r="33" spans="2:31" s="13" customFormat="1" ht="30" hidden="1" customHeight="1" x14ac:dyDescent="0.35">
      <c r="H33" s="594"/>
      <c r="I33" s="15" t="s">
        <v>159</v>
      </c>
      <c r="J33" s="14"/>
      <c r="K33" s="34"/>
      <c r="L33" s="34"/>
      <c r="M33" s="34"/>
      <c r="N33" s="34"/>
      <c r="O33" s="34"/>
      <c r="P33" s="34" t="e">
        <f>+#REF!+P32</f>
        <v>#REF!</v>
      </c>
      <c r="Q33" s="37"/>
      <c r="R33" s="34"/>
      <c r="S33" s="34"/>
      <c r="T33" s="26"/>
      <c r="U33" s="27"/>
      <c r="V33" s="27"/>
      <c r="W33" s="27"/>
      <c r="X33" s="27"/>
      <c r="Y33" s="27"/>
      <c r="Z33" s="27"/>
      <c r="AA33" s="27"/>
      <c r="AB33" s="27" t="e">
        <f>+T32+X32+AB32</f>
        <v>#REF!</v>
      </c>
      <c r="AC33" s="39"/>
      <c r="AD33" s="27"/>
      <c r="AE33" s="61"/>
    </row>
    <row r="34" spans="2:31" s="13" customFormat="1" ht="30" hidden="1" customHeight="1" thickBot="1" x14ac:dyDescent="0.4">
      <c r="H34" s="595"/>
      <c r="I34" s="20" t="s">
        <v>160</v>
      </c>
      <c r="J34" s="19"/>
      <c r="K34" s="35"/>
      <c r="L34" s="35"/>
      <c r="M34" s="35"/>
      <c r="N34" s="35"/>
      <c r="O34" s="35"/>
      <c r="P34" s="35"/>
      <c r="Q34" s="38"/>
      <c r="R34" s="35"/>
      <c r="S34" s="35"/>
      <c r="T34" s="28"/>
      <c r="U34" s="29"/>
      <c r="V34" s="29"/>
      <c r="W34" s="29"/>
      <c r="X34" s="29"/>
      <c r="Y34" s="29"/>
      <c r="Z34" s="29"/>
      <c r="AA34" s="29"/>
      <c r="AB34" s="29" t="e">
        <f>+P33+AB33</f>
        <v>#REF!</v>
      </c>
      <c r="AC34" s="40"/>
      <c r="AD34" s="41"/>
      <c r="AE34" s="61"/>
    </row>
    <row r="35" spans="2:31" ht="30" hidden="1" customHeight="1" x14ac:dyDescent="0.35">
      <c r="H35" s="24"/>
      <c r="I35" s="422" t="s">
        <v>161</v>
      </c>
      <c r="J35" s="422"/>
      <c r="K35" s="46"/>
      <c r="L35" s="46"/>
      <c r="M35" s="46"/>
      <c r="N35" s="46"/>
      <c r="O35" s="46" t="e">
        <f>+O27/O31</f>
        <v>#REF!</v>
      </c>
      <c r="P35" s="47" t="e">
        <f>+(O27+#REF!+#REF!+#REF!+#REF!+#REF!+#REF!+P27)/(O31+#REF!+#REF!+#REF!+#REF!+#REF!+#REF!+P31)</f>
        <v>#REF!</v>
      </c>
      <c r="Q35" s="48" t="e">
        <f>+(O27+#REF!+#REF!+#REF!+#REF!+#REF!+#REF!+P27+Q27)/(O31+#REF!+#REF!+#REF!+#REF!+#REF!+#REF!+P31+Q31)</f>
        <v>#REF!</v>
      </c>
      <c r="R35" s="46" t="e">
        <f>+(O27+#REF!+#REF!+#REF!+#REF!+#REF!+#REF!+P27+Q27+R27)/(O31+#REF!+#REF!+#REF!+#REF!+#REF!+#REF!+P31+Q31+R31)</f>
        <v>#REF!</v>
      </c>
      <c r="S35" s="46" t="e">
        <f>+(O27+#REF!+#REF!+#REF!+#REF!+#REF!+#REF!+P27+Q27+R27+S27)/(O31+#REF!+#REF!+#REF!+#REF!+#REF!+#REF!+P31+Q31+R31+S31)</f>
        <v>#REF!</v>
      </c>
      <c r="T35" s="47" t="e">
        <f>+(O27+#REF!+#REF!+#REF!+#REF!+#REF!+#REF!+P27+Q27+R27+S27+T27)/(O31+#REF!+#REF!+#REF!+#REF!+#REF!+#REF!+P31+Q31+R31+S31+T31)</f>
        <v>#REF!</v>
      </c>
      <c r="U35" s="46" t="e">
        <f>+(O27+#REF!+#REF!+#REF!+#REF!+#REF!+#REF!+P27+Q27+R27+S27+T27+U27)/(O31+#REF!+#REF!+#REF!+#REF!+#REF!+#REF!+P31+Q31+R31+S31+T31+U31)</f>
        <v>#REF!</v>
      </c>
      <c r="V35" s="46" t="e">
        <f>+(O27+#REF!+#REF!+#REF!+#REF!+#REF!+#REF!+P27+Q27+R27+S27+T27+U27+V27)/(O31+#REF!+#REF!+#REF!+#REF!+#REF!+#REF!+P31+Q31+R31+S31+T31+U31+V31)</f>
        <v>#REF!</v>
      </c>
      <c r="W35" s="46" t="e">
        <f>+(O27+#REF!+#REF!+#REF!+#REF!+#REF!+#REF!+P27+Q27+R27+S27+T27+U27+V27+W27)/(O31+#REF!+#REF!+#REF!+#REF!+#REF!+#REF!+P31+Q31+R31+S31+T31+U31+V31+W31)</f>
        <v>#REF!</v>
      </c>
      <c r="X35" s="47" t="e">
        <f>+(O27+#REF!+#REF!+#REF!+#REF!+#REF!+#REF!+P27+Q27+R27+S27+T27+U27+V27+W27+X27)/(O31+#REF!+#REF!+#REF!+#REF!+#REF!+#REF!+P31+Q31+R31+S31+T31+U31+V31+W31+X31)</f>
        <v>#REF!</v>
      </c>
      <c r="Y35" s="46" t="e">
        <f>+(O27+#REF!+#REF!+#REF!+#REF!+#REF!+#REF!+P27+Q27+R27+S27+T27+U27+V27+W27+X27+Y27)/(O31+#REF!+#REF!+#REF!+#REF!+#REF!+#REF!+P31+Q31+R31+S31+T31+U31+V31+W31+X31+Y31)</f>
        <v>#REF!</v>
      </c>
      <c r="Z35" s="46" t="e">
        <f>+(O27+#REF!+#REF!+#REF!+#REF!+#REF!+#REF!+P27+Q27+R27+S27+T27+U27+V27+W27+X27+Y27+Z27)/(O31+#REF!+#REF!+#REF!+#REF!+#REF!+#REF!+P31+Q31+R31+S31+T31+U31+V31+W31+X31+Y31+Z31)</f>
        <v>#REF!</v>
      </c>
      <c r="AA35" s="46" t="e">
        <f>+(O27+#REF!+#REF!+#REF!+#REF!+#REF!+#REF!+P27+Q27+R27+S27+T27+U27+V27+W27+X27+Y27+Z27+AA27)/(O31+#REF!+#REF!+#REF!+#REF!+#REF!+#REF!+P31+Q31+R31+S31+T31+U31+V31+W31+X31+Y31+Z31+AA31)</f>
        <v>#REF!</v>
      </c>
      <c r="AB35" s="47" t="e">
        <f>+(O27+#REF!+#REF!+#REF!+#REF!+#REF!+#REF!+P27+Q27+R27+S27+T27+U27+V27+W27+X27+Y27+Z27+AA27+AB27)/(O31+#REF!+#REF!+#REF!+#REF!+#REF!+#REF!+P31+Q31+R31+S31+T31+U31+V31+W31+X31+Y31+Z31+AA31+AB31)</f>
        <v>#REF!</v>
      </c>
      <c r="AC35" s="48" t="e">
        <f>+(O27+#REF!+#REF!+#REF!+#REF!+#REF!+#REF!+P27+Q27+R27+S27+T27+U27+V27+W27+X27+Y27+Z27+AA27+AB27+AC27)/(O31+#REF!+#REF!+#REF!+#REF!+#REF!+#REF!+P31+Q31+R31+S31+T31+U31+V31+W31+X31+Y31+Z31+AA31+AB31+AC31)</f>
        <v>#REF!</v>
      </c>
      <c r="AD35" s="46" t="e">
        <f>+(O27+#REF!+#REF!+#REF!+#REF!+#REF!+#REF!+P27+Q27+R27+S27+T27+U27+V27+W27+X27+Y27+Z27+AA27+AB27+AC27+AD27)/(O31+#REF!+#REF!+#REF!+#REF!+#REF!+#REF!+P31+Q31+R31+S31+T31+U31+V31+W31+X31+Y31+Z31+AA31+AB31+AC31+AD31)</f>
        <v>#REF!</v>
      </c>
      <c r="AE35" s="62"/>
    </row>
    <row r="36" spans="2:31" ht="30" hidden="1" customHeight="1" x14ac:dyDescent="0.35">
      <c r="H36" s="24"/>
      <c r="I36" s="423" t="s">
        <v>162</v>
      </c>
      <c r="J36" s="423"/>
      <c r="K36" s="47"/>
      <c r="L36" s="47"/>
      <c r="M36" s="47"/>
      <c r="N36" s="47"/>
      <c r="O36" s="47" t="e">
        <f>+O27/$F$27</f>
        <v>#DIV/0!</v>
      </c>
      <c r="P36" s="47" t="e">
        <f>+(O27+#REF!+#REF!+#REF!+#REF!+#REF!+#REF!+P27)/$F$27</f>
        <v>#REF!</v>
      </c>
      <c r="Q36" s="49" t="e">
        <f>+(O27+#REF!+#REF!+#REF!+#REF!+#REF!+#REF!+P27+Q27)/$F$27</f>
        <v>#REF!</v>
      </c>
      <c r="R36" s="47" t="e">
        <f>+(O27+#REF!+#REF!+#REF!+#REF!+#REF!+#REF!+P27+Q27+R27)/$F$27</f>
        <v>#REF!</v>
      </c>
      <c r="S36" s="47" t="e">
        <f>+(O27+#REF!+#REF!+#REF!+#REF!+#REF!+#REF!+P27+Q27+R27+S27)/$F$27</f>
        <v>#REF!</v>
      </c>
      <c r="T36" s="47" t="e">
        <f>+(O27+#REF!+#REF!+#REF!+#REF!+#REF!+#REF!+P27+Q27+R27+S27+T27)/$F$27</f>
        <v>#REF!</v>
      </c>
      <c r="U36" s="47" t="e">
        <f>+(O27+#REF!+#REF!+#REF!+#REF!+#REF!+#REF!+P27+Q27+R27+S27+T27+U27)/$F$27</f>
        <v>#REF!</v>
      </c>
      <c r="V36" s="47" t="e">
        <f>+(O27+#REF!+#REF!+#REF!+#REF!+#REF!+#REF!+P27+Q27+R27+S27+T27+U27+V27)/$F$27</f>
        <v>#REF!</v>
      </c>
      <c r="W36" s="47" t="e">
        <f>+(O27+#REF!+#REF!+#REF!+#REF!+#REF!+#REF!+P27+Q27+R27+S27+T27+U27+V27+W27)/$F$27</f>
        <v>#REF!</v>
      </c>
      <c r="X36" s="47" t="e">
        <f>+(O27+#REF!+#REF!+#REF!+#REF!+#REF!+#REF!+P27+Q27+R27+S27+T27+U27+V27+W27+X27)/$F$27</f>
        <v>#REF!</v>
      </c>
      <c r="Y36" s="47" t="e">
        <f>+(O27+#REF!+#REF!+#REF!+#REF!+#REF!+#REF!+P27+Q27+R27+S27+T27+U27+V27+W27+X27+Y27)/$F$27</f>
        <v>#REF!</v>
      </c>
      <c r="Z36" s="47" t="e">
        <f>+(O27+#REF!+#REF!+#REF!+#REF!+#REF!+#REF!+P27+Q27+R27+S27+T27+U27+V27+W27+X27+Y27+Z27)/$F$27</f>
        <v>#REF!</v>
      </c>
      <c r="AA36" s="47" t="e">
        <f>+(O27+#REF!+#REF!+#REF!+#REF!+#REF!+#REF!+P27+Q27+R27+S27+T27+U27+V27+W27+X27+Y27+Z27+AA27)/$F$27</f>
        <v>#REF!</v>
      </c>
      <c r="AB36" s="47" t="e">
        <f>+(O27+#REF!+#REF!+#REF!+#REF!+#REF!+#REF!+P27+Q27+R27+S27+T27+U27+V27+W27+X27+Y27+Z27+AA27+AB27)/$F$27</f>
        <v>#REF!</v>
      </c>
      <c r="AC36" s="49" t="e">
        <f>+(O27+#REF!+#REF!+#REF!+#REF!+#REF!+#REF!+P27+Q27+R27+S27+T27+U27+V27+W27+X27+Y27+Z27+AA27+AB27+AC27)/$F$27</f>
        <v>#REF!</v>
      </c>
      <c r="AD36" s="47" t="e">
        <f>+(O27+#REF!+#REF!+#REF!+#REF!+#REF!+#REF!+P27+Q27+R27+S27+T27+U27+V27+W27+X27+Y27+Z27+AA27+AB27+AC27+AD27)/$F$27</f>
        <v>#REF!</v>
      </c>
      <c r="AE36" s="63"/>
    </row>
    <row r="37" spans="2:31" ht="30" hidden="1" customHeight="1" x14ac:dyDescent="0.35">
      <c r="I37" s="422" t="s">
        <v>163</v>
      </c>
      <c r="J37" s="422"/>
      <c r="K37" s="50"/>
      <c r="L37" s="50"/>
      <c r="M37" s="50"/>
      <c r="N37" s="50"/>
      <c r="O37" s="50"/>
      <c r="P37" s="47" t="e">
        <f>+P28/P32</f>
        <v>#VALUE!</v>
      </c>
      <c r="Q37" s="51"/>
      <c r="R37" s="50"/>
      <c r="S37" s="50"/>
      <c r="T37" s="47" t="e">
        <f>+T28/T32</f>
        <v>#REF!</v>
      </c>
      <c r="U37" s="50"/>
      <c r="V37" s="50"/>
      <c r="W37" s="50"/>
      <c r="X37" s="47" t="e">
        <f>+X28/X32</f>
        <v>#REF!</v>
      </c>
      <c r="Y37" s="50"/>
      <c r="Z37" s="50"/>
      <c r="AA37" s="50"/>
      <c r="AB37" s="47" t="e">
        <f>+AB28/AB32</f>
        <v>#REF!</v>
      </c>
      <c r="AC37" s="51"/>
      <c r="AD37" s="50"/>
      <c r="AE37" s="64"/>
    </row>
    <row r="38" spans="2:31" ht="30" hidden="1" customHeight="1" x14ac:dyDescent="0.35">
      <c r="I38" s="423" t="s">
        <v>164</v>
      </c>
      <c r="J38" s="423"/>
      <c r="K38" s="50"/>
      <c r="L38" s="50"/>
      <c r="M38" s="50"/>
      <c r="N38" s="50"/>
      <c r="O38" s="50"/>
      <c r="P38" s="47" t="e">
        <f>+(#REF!+P28)/$F$27</f>
        <v>#REF!</v>
      </c>
      <c r="Q38" s="51"/>
      <c r="R38" s="50"/>
      <c r="S38" s="50"/>
      <c r="T38" s="47" t="e">
        <f>+(#REF!+P28+T28)/$F$27</f>
        <v>#REF!</v>
      </c>
      <c r="U38" s="50"/>
      <c r="V38" s="50"/>
      <c r="W38" s="50"/>
      <c r="X38" s="47" t="e">
        <f>+(#REF!+P28+T28+X28)/$F$27</f>
        <v>#REF!</v>
      </c>
      <c r="Y38" s="50"/>
      <c r="Z38" s="50"/>
      <c r="AA38" s="50"/>
      <c r="AB38" s="47" t="e">
        <f>+(#REF!+P28+T28+X28+AB28)/$F$27</f>
        <v>#REF!</v>
      </c>
      <c r="AC38" s="51"/>
      <c r="AD38" s="50"/>
      <c r="AE38" s="64"/>
    </row>
    <row r="39" spans="2:31" ht="30" hidden="1" customHeight="1" x14ac:dyDescent="0.35">
      <c r="I39" s="422" t="s">
        <v>165</v>
      </c>
      <c r="J39" s="422"/>
      <c r="K39" s="50"/>
      <c r="L39" s="50"/>
      <c r="M39" s="50"/>
      <c r="N39" s="50"/>
      <c r="O39" s="50"/>
      <c r="P39" s="47" t="e">
        <f>+(#REF!+P28)/(#REF!+P32)</f>
        <v>#REF!</v>
      </c>
      <c r="Q39" s="51"/>
      <c r="R39" s="50"/>
      <c r="S39" s="50"/>
      <c r="T39" s="50"/>
      <c r="U39" s="50"/>
      <c r="V39" s="50"/>
      <c r="W39" s="50"/>
      <c r="X39" s="50"/>
      <c r="Y39" s="50"/>
      <c r="Z39" s="50"/>
      <c r="AA39" s="50"/>
      <c r="AB39" s="47" t="e">
        <f>+(#REF!+P28+T28+X28+AB28)/(#REF!+P32+T32+X32+AB32)</f>
        <v>#REF!</v>
      </c>
      <c r="AC39" s="51"/>
      <c r="AD39" s="50"/>
      <c r="AE39" s="64"/>
    </row>
    <row r="40" spans="2:31" ht="30" hidden="1" customHeight="1" x14ac:dyDescent="0.35">
      <c r="I40" s="422" t="s">
        <v>166</v>
      </c>
      <c r="J40" s="422"/>
      <c r="K40" s="50"/>
      <c r="L40" s="50"/>
      <c r="M40" s="50"/>
      <c r="N40" s="50"/>
      <c r="O40" s="50"/>
      <c r="P40" s="47" t="e">
        <f>+(#REF!+P28)/$F$27</f>
        <v>#REF!</v>
      </c>
      <c r="Q40" s="51"/>
      <c r="R40" s="50"/>
      <c r="S40" s="50"/>
      <c r="T40" s="50"/>
      <c r="U40" s="50"/>
      <c r="V40" s="50"/>
      <c r="W40" s="50"/>
      <c r="X40" s="50"/>
      <c r="Y40" s="50"/>
      <c r="Z40" s="50"/>
      <c r="AA40" s="50"/>
      <c r="AB40" s="47" t="e">
        <f>+(+#REF!+P28+T28+X28+AB28)/$F$27</f>
        <v>#REF!</v>
      </c>
      <c r="AC40" s="51"/>
      <c r="AD40" s="50"/>
      <c r="AE40" s="64"/>
    </row>
    <row r="41" spans="2:31" ht="15" hidden="1" customHeight="1" x14ac:dyDescent="0.35"/>
    <row r="42" spans="2:31" ht="35.15" hidden="1" customHeight="1" x14ac:dyDescent="0.35">
      <c r="H42" s="625" t="s">
        <v>331</v>
      </c>
      <c r="I42" s="625"/>
      <c r="J42" s="30" t="e">
        <f>+#REF!</f>
        <v>#REF!</v>
      </c>
      <c r="K42" s="32"/>
      <c r="L42" s="32"/>
      <c r="M42" s="32"/>
      <c r="N42" s="32"/>
      <c r="O42" s="32"/>
    </row>
    <row r="43" spans="2:31" ht="35.15" hidden="1" customHeight="1" thickBot="1" x14ac:dyDescent="0.4">
      <c r="H43" s="625" t="s">
        <v>332</v>
      </c>
      <c r="I43" s="625"/>
      <c r="J43" s="25">
        <f>+F27</f>
        <v>0</v>
      </c>
      <c r="K43" s="32"/>
      <c r="L43" s="32"/>
      <c r="M43" s="32"/>
      <c r="N43" s="32"/>
      <c r="O43" s="32"/>
    </row>
    <row r="44" spans="2:31" ht="35.15" hidden="1" customHeight="1" thickBot="1" x14ac:dyDescent="0.4">
      <c r="H44" s="625" t="s">
        <v>333</v>
      </c>
      <c r="I44" s="625"/>
      <c r="J44" s="31" t="e">
        <f>+J42/J43</f>
        <v>#REF!</v>
      </c>
      <c r="K44" s="32"/>
      <c r="L44" s="32"/>
      <c r="M44" s="32"/>
      <c r="N44" s="32"/>
      <c r="O44" s="32"/>
    </row>
    <row r="45" spans="2:31" ht="15" hidden="1" customHeight="1" x14ac:dyDescent="0.35">
      <c r="B45" s="413" t="s">
        <v>51</v>
      </c>
      <c r="C45" s="413" t="s">
        <v>52</v>
      </c>
      <c r="D45" s="413" t="s">
        <v>53</v>
      </c>
      <c r="E45" s="413" t="s">
        <v>54</v>
      </c>
      <c r="F45" s="413" t="s">
        <v>29</v>
      </c>
      <c r="G45" s="415" t="s">
        <v>55</v>
      </c>
      <c r="M45" s="415" t="s">
        <v>167</v>
      </c>
      <c r="N45" s="32"/>
      <c r="O45" s="32"/>
    </row>
    <row r="46" spans="2:31" ht="15" hidden="1" customHeight="1" x14ac:dyDescent="0.35">
      <c r="B46" s="414"/>
      <c r="C46" s="414"/>
      <c r="D46" s="414"/>
      <c r="E46" s="414"/>
      <c r="F46" s="414"/>
      <c r="G46" s="414"/>
      <c r="M46" s="414"/>
      <c r="N46" s="32"/>
      <c r="O46" s="32"/>
    </row>
    <row r="47" spans="2:31" ht="15" hidden="1" customHeight="1" x14ac:dyDescent="0.35">
      <c r="B47" s="1" t="s">
        <v>99</v>
      </c>
      <c r="C47" s="13" t="s">
        <v>168</v>
      </c>
      <c r="D47" s="1" t="s">
        <v>130</v>
      </c>
      <c r="E47" s="1" t="s">
        <v>131</v>
      </c>
      <c r="F47" s="1" t="s">
        <v>169</v>
      </c>
      <c r="G47" s="1" t="s">
        <v>170</v>
      </c>
      <c r="M47" s="13" t="s">
        <v>171</v>
      </c>
      <c r="N47" s="32"/>
      <c r="O47" s="32"/>
    </row>
    <row r="48" spans="2:31" ht="15" hidden="1" customHeight="1" x14ac:dyDescent="0.35">
      <c r="B48" s="1" t="s">
        <v>116</v>
      </c>
      <c r="C48" s="13" t="s">
        <v>129</v>
      </c>
      <c r="D48" s="1" t="s">
        <v>172</v>
      </c>
      <c r="E48" s="1" t="s">
        <v>173</v>
      </c>
      <c r="F48" s="1" t="s">
        <v>174</v>
      </c>
      <c r="G48" s="1" t="s">
        <v>175</v>
      </c>
      <c r="M48" s="13" t="s">
        <v>92</v>
      </c>
    </row>
    <row r="49" spans="2:13" ht="15" hidden="1" customHeight="1" x14ac:dyDescent="0.35">
      <c r="B49" s="1" t="s">
        <v>83</v>
      </c>
      <c r="C49" s="13" t="s">
        <v>110</v>
      </c>
      <c r="D49" s="1" t="s">
        <v>85</v>
      </c>
      <c r="E49" s="1" t="s">
        <v>176</v>
      </c>
      <c r="F49" s="1" t="s">
        <v>177</v>
      </c>
      <c r="G49" s="1" t="s">
        <v>178</v>
      </c>
      <c r="M49" s="13" t="s">
        <v>179</v>
      </c>
    </row>
    <row r="50" spans="2:13" ht="15" hidden="1" customHeight="1" x14ac:dyDescent="0.35">
      <c r="B50" s="1" t="s">
        <v>109</v>
      </c>
      <c r="C50" s="13" t="s">
        <v>125</v>
      </c>
      <c r="D50" s="1" t="s">
        <v>180</v>
      </c>
      <c r="E50" s="1" t="s">
        <v>181</v>
      </c>
      <c r="F50" s="1" t="s">
        <v>182</v>
      </c>
      <c r="G50" s="1" t="s">
        <v>183</v>
      </c>
    </row>
    <row r="51" spans="2:13" ht="15" hidden="1" customHeight="1" x14ac:dyDescent="0.35">
      <c r="B51" s="1" t="s">
        <v>124</v>
      </c>
      <c r="C51" s="13" t="s">
        <v>142</v>
      </c>
      <c r="D51" s="1" t="s">
        <v>100</v>
      </c>
      <c r="E51" s="1" t="s">
        <v>184</v>
      </c>
      <c r="F51" s="1" t="s">
        <v>185</v>
      </c>
      <c r="G51" s="1" t="s">
        <v>186</v>
      </c>
    </row>
    <row r="52" spans="2:13" ht="15" hidden="1" customHeight="1" x14ac:dyDescent="0.35">
      <c r="B52" s="1" t="s">
        <v>187</v>
      </c>
      <c r="C52" s="13" t="s">
        <v>188</v>
      </c>
      <c r="D52" s="1" t="s">
        <v>111</v>
      </c>
      <c r="E52" s="1" t="s">
        <v>149</v>
      </c>
      <c r="F52" s="1" t="s">
        <v>189</v>
      </c>
      <c r="G52" s="1" t="s">
        <v>127</v>
      </c>
    </row>
    <row r="53" spans="2:13" ht="15" hidden="1" customHeight="1" x14ac:dyDescent="0.35">
      <c r="B53" s="1" t="s">
        <v>190</v>
      </c>
      <c r="C53" s="13" t="s">
        <v>191</v>
      </c>
      <c r="D53" s="1" t="s">
        <v>192</v>
      </c>
      <c r="E53" s="1" t="s">
        <v>193</v>
      </c>
      <c r="F53" s="1" t="s">
        <v>194</v>
      </c>
      <c r="G53" s="1" t="s">
        <v>195</v>
      </c>
    </row>
    <row r="54" spans="2:13" ht="15" hidden="1" customHeight="1" x14ac:dyDescent="0.35">
      <c r="B54" s="1" t="s">
        <v>196</v>
      </c>
      <c r="C54" s="13" t="s">
        <v>197</v>
      </c>
      <c r="E54" s="1" t="s">
        <v>126</v>
      </c>
      <c r="F54" s="1" t="s">
        <v>198</v>
      </c>
      <c r="G54" s="1" t="s">
        <v>150</v>
      </c>
    </row>
    <row r="55" spans="2:13" ht="15" hidden="1" customHeight="1" x14ac:dyDescent="0.35">
      <c r="C55" s="13" t="s">
        <v>117</v>
      </c>
      <c r="E55" s="1" t="s">
        <v>118</v>
      </c>
      <c r="F55" s="1" t="s">
        <v>199</v>
      </c>
      <c r="G55" s="1" t="s">
        <v>102</v>
      </c>
    </row>
    <row r="56" spans="2:13" ht="15" hidden="1" customHeight="1" x14ac:dyDescent="0.35">
      <c r="C56" s="13" t="s">
        <v>84</v>
      </c>
      <c r="E56" s="1" t="s">
        <v>200</v>
      </c>
      <c r="F56" s="1" t="s">
        <v>201</v>
      </c>
      <c r="G56" s="1" t="s">
        <v>132</v>
      </c>
    </row>
    <row r="57" spans="2:13" ht="15" hidden="1" customHeight="1" x14ac:dyDescent="0.35">
      <c r="C57" s="13"/>
      <c r="E57" s="1" t="s">
        <v>202</v>
      </c>
      <c r="F57" s="1" t="s">
        <v>203</v>
      </c>
      <c r="G57" s="1" t="s">
        <v>144</v>
      </c>
    </row>
    <row r="58" spans="2:13" ht="15" hidden="1" customHeight="1" x14ac:dyDescent="0.35">
      <c r="C58" s="13"/>
      <c r="E58" s="1" t="s">
        <v>204</v>
      </c>
      <c r="F58" s="1" t="s">
        <v>205</v>
      </c>
      <c r="G58" s="1" t="s">
        <v>206</v>
      </c>
    </row>
    <row r="59" spans="2:13" ht="15" hidden="1" customHeight="1" x14ac:dyDescent="0.35">
      <c r="E59" s="1" t="s">
        <v>86</v>
      </c>
      <c r="G59" s="1" t="s">
        <v>207</v>
      </c>
    </row>
    <row r="60" spans="2:13" ht="15" hidden="1" customHeight="1" x14ac:dyDescent="0.35">
      <c r="E60" s="1" t="s">
        <v>208</v>
      </c>
      <c r="G60" s="1" t="s">
        <v>209</v>
      </c>
    </row>
    <row r="61" spans="2:13" ht="15" hidden="1" customHeight="1" x14ac:dyDescent="0.35">
      <c r="E61" s="1" t="s">
        <v>101</v>
      </c>
      <c r="G61" s="1" t="s">
        <v>210</v>
      </c>
    </row>
    <row r="62" spans="2:13" ht="15" hidden="1" customHeight="1" x14ac:dyDescent="0.35">
      <c r="E62" s="1" t="s">
        <v>143</v>
      </c>
      <c r="G62" s="1" t="s">
        <v>211</v>
      </c>
    </row>
    <row r="63" spans="2:13" ht="15" hidden="1" customHeight="1" x14ac:dyDescent="0.35">
      <c r="E63" s="1" t="s">
        <v>212</v>
      </c>
      <c r="G63" s="1" t="s">
        <v>213</v>
      </c>
    </row>
    <row r="64" spans="2:13" ht="15" hidden="1" customHeight="1" x14ac:dyDescent="0.35">
      <c r="E64" s="1" t="s">
        <v>112</v>
      </c>
      <c r="G64" s="1" t="s">
        <v>214</v>
      </c>
    </row>
    <row r="65" spans="5:7" ht="15" hidden="1" customHeight="1" x14ac:dyDescent="0.35">
      <c r="E65" s="1" t="s">
        <v>215</v>
      </c>
      <c r="G65" s="1" t="s">
        <v>216</v>
      </c>
    </row>
    <row r="66" spans="5:7" ht="15" hidden="1" customHeight="1" x14ac:dyDescent="0.35">
      <c r="G66" s="1" t="s">
        <v>217</v>
      </c>
    </row>
    <row r="67" spans="5:7" ht="15" hidden="1" customHeight="1" x14ac:dyDescent="0.35">
      <c r="G67" s="1" t="s">
        <v>218</v>
      </c>
    </row>
    <row r="68" spans="5:7" ht="15" hidden="1" customHeight="1" x14ac:dyDescent="0.35">
      <c r="G68" s="1" t="s">
        <v>219</v>
      </c>
    </row>
    <row r="69" spans="5:7" ht="15" hidden="1" customHeight="1" x14ac:dyDescent="0.35">
      <c r="G69" s="1" t="s">
        <v>220</v>
      </c>
    </row>
    <row r="70" spans="5:7" ht="15" hidden="1" customHeight="1" x14ac:dyDescent="0.35">
      <c r="G70" s="1" t="s">
        <v>221</v>
      </c>
    </row>
    <row r="71" spans="5:7" ht="15" hidden="1" customHeight="1" x14ac:dyDescent="0.35">
      <c r="G71" s="1" t="s">
        <v>222</v>
      </c>
    </row>
    <row r="72" spans="5:7" ht="15" hidden="1" customHeight="1" x14ac:dyDescent="0.35">
      <c r="G72" s="1" t="s">
        <v>223</v>
      </c>
    </row>
    <row r="73" spans="5:7" ht="15" hidden="1" customHeight="1" x14ac:dyDescent="0.35">
      <c r="G73" s="1" t="s">
        <v>224</v>
      </c>
    </row>
    <row r="74" spans="5:7" ht="15" hidden="1" customHeight="1" x14ac:dyDescent="0.35">
      <c r="G74" s="1" t="s">
        <v>225</v>
      </c>
    </row>
    <row r="75" spans="5:7" ht="15" hidden="1" customHeight="1" x14ac:dyDescent="0.35">
      <c r="G75" s="1" t="s">
        <v>226</v>
      </c>
    </row>
    <row r="76" spans="5:7" ht="15" hidden="1" customHeight="1" x14ac:dyDescent="0.35">
      <c r="G76" s="1" t="s">
        <v>227</v>
      </c>
    </row>
    <row r="77" spans="5:7" ht="15" hidden="1" customHeight="1" x14ac:dyDescent="0.35">
      <c r="G77" s="1" t="s">
        <v>228</v>
      </c>
    </row>
    <row r="78" spans="5:7" ht="15" hidden="1" customHeight="1" x14ac:dyDescent="0.35">
      <c r="G78" s="1" t="s">
        <v>229</v>
      </c>
    </row>
    <row r="79" spans="5:7" ht="15" hidden="1" customHeight="1" x14ac:dyDescent="0.35">
      <c r="G79" s="1" t="s">
        <v>230</v>
      </c>
    </row>
    <row r="80" spans="5:7" ht="15" hidden="1" customHeight="1" x14ac:dyDescent="0.35">
      <c r="G80" s="1" t="s">
        <v>119</v>
      </c>
    </row>
    <row r="81" spans="7:7" ht="15" hidden="1" customHeight="1" x14ac:dyDescent="0.35">
      <c r="G81" s="1" t="s">
        <v>138</v>
      </c>
    </row>
    <row r="82" spans="7:7" ht="15" hidden="1" customHeight="1" x14ac:dyDescent="0.35">
      <c r="G82" s="1" t="s">
        <v>231</v>
      </c>
    </row>
    <row r="83" spans="7:7" ht="15" hidden="1" customHeight="1" x14ac:dyDescent="0.35">
      <c r="G83" s="1" t="s">
        <v>232</v>
      </c>
    </row>
    <row r="84" spans="7:7" ht="15" hidden="1" customHeight="1" x14ac:dyDescent="0.35">
      <c r="G84" s="1" t="s">
        <v>233</v>
      </c>
    </row>
    <row r="85" spans="7:7" ht="15" hidden="1" customHeight="1" x14ac:dyDescent="0.35">
      <c r="G85" s="1" t="s">
        <v>87</v>
      </c>
    </row>
    <row r="86" spans="7:7" ht="15" hidden="1" customHeight="1" x14ac:dyDescent="0.35">
      <c r="G86" s="1" t="s">
        <v>234</v>
      </c>
    </row>
    <row r="87" spans="7:7" ht="15" hidden="1" customHeight="1" x14ac:dyDescent="0.35">
      <c r="G87" s="1" t="s">
        <v>235</v>
      </c>
    </row>
    <row r="88" spans="7:7" ht="15" hidden="1" customHeight="1" x14ac:dyDescent="0.35">
      <c r="G88" s="1" t="s">
        <v>236</v>
      </c>
    </row>
    <row r="89" spans="7:7" ht="15" hidden="1" customHeight="1" x14ac:dyDescent="0.35">
      <c r="G89" s="1" t="s">
        <v>237</v>
      </c>
    </row>
    <row r="90" spans="7:7" ht="15" hidden="1" customHeight="1" x14ac:dyDescent="0.35">
      <c r="G90" s="1" t="s">
        <v>238</v>
      </c>
    </row>
    <row r="91" spans="7:7" ht="15" hidden="1" customHeight="1" x14ac:dyDescent="0.35">
      <c r="G91" s="1" t="s">
        <v>239</v>
      </c>
    </row>
    <row r="92" spans="7:7" ht="15" hidden="1" customHeight="1" x14ac:dyDescent="0.35">
      <c r="G92" s="1" t="s">
        <v>240</v>
      </c>
    </row>
    <row r="93" spans="7:7" ht="15" hidden="1" customHeight="1" x14ac:dyDescent="0.35">
      <c r="G93" s="1" t="s">
        <v>241</v>
      </c>
    </row>
    <row r="94" spans="7:7" ht="15" hidden="1" customHeight="1" x14ac:dyDescent="0.35">
      <c r="G94" s="1" t="s">
        <v>242</v>
      </c>
    </row>
    <row r="95" spans="7:7" ht="15" hidden="1" customHeight="1" x14ac:dyDescent="0.35">
      <c r="G95" s="1" t="s">
        <v>243</v>
      </c>
    </row>
    <row r="96" spans="7:7" ht="15" hidden="1" customHeight="1" x14ac:dyDescent="0.35">
      <c r="G96" s="1" t="s">
        <v>244</v>
      </c>
    </row>
    <row r="97" spans="7:7" ht="15" hidden="1" customHeight="1" x14ac:dyDescent="0.35">
      <c r="G97" s="1" t="s">
        <v>245</v>
      </c>
    </row>
    <row r="98" spans="7:7" ht="15" hidden="1" customHeight="1" x14ac:dyDescent="0.35">
      <c r="G98" s="1" t="s">
        <v>246</v>
      </c>
    </row>
    <row r="99" spans="7:7" ht="15" hidden="1" customHeight="1" x14ac:dyDescent="0.35">
      <c r="G99" s="1" t="s">
        <v>39</v>
      </c>
    </row>
    <row r="100" spans="7:7" ht="15" hidden="1" customHeight="1" x14ac:dyDescent="0.35">
      <c r="G100" s="1" t="s">
        <v>247</v>
      </c>
    </row>
    <row r="101" spans="7:7" ht="15" hidden="1" customHeight="1" x14ac:dyDescent="0.35">
      <c r="G101" s="1" t="s">
        <v>248</v>
      </c>
    </row>
    <row r="102" spans="7:7" ht="15" hidden="1" customHeight="1" x14ac:dyDescent="0.35">
      <c r="G102" s="1" t="s">
        <v>249</v>
      </c>
    </row>
    <row r="103" spans="7:7" ht="15" hidden="1" customHeight="1" x14ac:dyDescent="0.35">
      <c r="G103" s="1" t="s">
        <v>250</v>
      </c>
    </row>
    <row r="104" spans="7:7" ht="15" hidden="1" customHeight="1" x14ac:dyDescent="0.35">
      <c r="G104" s="1" t="s">
        <v>251</v>
      </c>
    </row>
    <row r="105" spans="7:7" ht="15" hidden="1" customHeight="1" x14ac:dyDescent="0.35">
      <c r="G105" s="1" t="s">
        <v>252</v>
      </c>
    </row>
    <row r="106" spans="7:7" ht="15" hidden="1" customHeight="1" x14ac:dyDescent="0.35">
      <c r="G106" s="1" t="s">
        <v>253</v>
      </c>
    </row>
  </sheetData>
  <sheetProtection formatCells="0" formatColumns="0" formatRows="0" insertColumns="0" insertRows="0" insertHyperlinks="0" deleteColumns="0" deleteRows="0" sort="0" autoFilter="0" pivotTables="0"/>
  <autoFilter ref="A13:AI13" xr:uid="{3BB1347B-EBF9-4B9E-B402-EBAAC9B87EF8}"/>
  <mergeCells count="228">
    <mergeCell ref="AH26:AH27"/>
    <mergeCell ref="AI26:AI27"/>
    <mergeCell ref="A28:A29"/>
    <mergeCell ref="B28:B29"/>
    <mergeCell ref="C28:C29"/>
    <mergeCell ref="D28:D29"/>
    <mergeCell ref="E28:E29"/>
    <mergeCell ref="F28:F29"/>
    <mergeCell ref="G28:G29"/>
    <mergeCell ref="I28:I29"/>
    <mergeCell ref="J28:J29"/>
    <mergeCell ref="K28:K29"/>
    <mergeCell ref="L28:L29"/>
    <mergeCell ref="M28:M29"/>
    <mergeCell ref="N28:N29"/>
    <mergeCell ref="O28:O29"/>
    <mergeCell ref="AF28:AF29"/>
    <mergeCell ref="AG28:AG29"/>
    <mergeCell ref="AH28:AH29"/>
    <mergeCell ref="AI28:AI29"/>
    <mergeCell ref="H26:H27"/>
    <mergeCell ref="H28:H29"/>
    <mergeCell ref="I26:I27"/>
    <mergeCell ref="J26:J27"/>
    <mergeCell ref="K26:K27"/>
    <mergeCell ref="L26:L27"/>
    <mergeCell ref="M26:M27"/>
    <mergeCell ref="N26:N27"/>
    <mergeCell ref="O26:O27"/>
    <mergeCell ref="AF26:AF27"/>
    <mergeCell ref="AG26:AG27"/>
    <mergeCell ref="A26:A27"/>
    <mergeCell ref="B26:B27"/>
    <mergeCell ref="C26:C27"/>
    <mergeCell ref="D26:D27"/>
    <mergeCell ref="E26:E27"/>
    <mergeCell ref="F26:F27"/>
    <mergeCell ref="G26:G27"/>
    <mergeCell ref="H42:I42"/>
    <mergeCell ref="H43:I43"/>
    <mergeCell ref="H44:I44"/>
    <mergeCell ref="I35:J35"/>
    <mergeCell ref="I36:J36"/>
    <mergeCell ref="I37:J37"/>
    <mergeCell ref="I38:J38"/>
    <mergeCell ref="I39:J39"/>
    <mergeCell ref="I40:J40"/>
    <mergeCell ref="O24:O25"/>
    <mergeCell ref="AF24:AF25"/>
    <mergeCell ref="AG24:AG25"/>
    <mergeCell ref="AH24:AH25"/>
    <mergeCell ref="I24:I25"/>
    <mergeCell ref="J24:J25"/>
    <mergeCell ref="K24:K25"/>
    <mergeCell ref="L24:L25"/>
    <mergeCell ref="M24:M25"/>
    <mergeCell ref="N24:N25"/>
    <mergeCell ref="A24:A25"/>
    <mergeCell ref="B24:B25"/>
    <mergeCell ref="C24:C25"/>
    <mergeCell ref="D24:D25"/>
    <mergeCell ref="E24:E25"/>
    <mergeCell ref="F24:F25"/>
    <mergeCell ref="G24:G25"/>
    <mergeCell ref="H24:H25"/>
    <mergeCell ref="L22:L23"/>
    <mergeCell ref="F22:F23"/>
    <mergeCell ref="G22:G23"/>
    <mergeCell ref="H22:H23"/>
    <mergeCell ref="I22:I23"/>
    <mergeCell ref="J22:J23"/>
    <mergeCell ref="K22:K23"/>
    <mergeCell ref="A22:A23"/>
    <mergeCell ref="B22:B23"/>
    <mergeCell ref="C22:C23"/>
    <mergeCell ref="D22:D23"/>
    <mergeCell ref="E22:E23"/>
    <mergeCell ref="L20:L21"/>
    <mergeCell ref="A20:A21"/>
    <mergeCell ref="M14:M15"/>
    <mergeCell ref="AF18:AF19"/>
    <mergeCell ref="AG18:AG19"/>
    <mergeCell ref="A16:A17"/>
    <mergeCell ref="B20:B21"/>
    <mergeCell ref="C20:C21"/>
    <mergeCell ref="D20:D21"/>
    <mergeCell ref="E20:E21"/>
    <mergeCell ref="F20:F21"/>
    <mergeCell ref="G20:G21"/>
    <mergeCell ref="H20:H21"/>
    <mergeCell ref="L18:L19"/>
    <mergeCell ref="F18:F19"/>
    <mergeCell ref="G18:G19"/>
    <mergeCell ref="H18:H19"/>
    <mergeCell ref="I18:I19"/>
    <mergeCell ref="J18:J19"/>
    <mergeCell ref="K18:K19"/>
    <mergeCell ref="O20:O21"/>
    <mergeCell ref="AF20:AF21"/>
    <mergeCell ref="AG20:AG21"/>
    <mergeCell ref="O16:O17"/>
    <mergeCell ref="AF16:AF17"/>
    <mergeCell ref="AG16:AG17"/>
    <mergeCell ref="AH16:AH17"/>
    <mergeCell ref="A18:A19"/>
    <mergeCell ref="B18:B19"/>
    <mergeCell ref="C18:C19"/>
    <mergeCell ref="D18:D19"/>
    <mergeCell ref="E18:E19"/>
    <mergeCell ref="I16:I17"/>
    <mergeCell ref="J16:J17"/>
    <mergeCell ref="K16:K17"/>
    <mergeCell ref="L16:L17"/>
    <mergeCell ref="M16:M17"/>
    <mergeCell ref="N16:N17"/>
    <mergeCell ref="AH18:AH19"/>
    <mergeCell ref="M18:M19"/>
    <mergeCell ref="N18:N19"/>
    <mergeCell ref="O18:O19"/>
    <mergeCell ref="L12:L13"/>
    <mergeCell ref="A12:A13"/>
    <mergeCell ref="B16:B17"/>
    <mergeCell ref="C16:C17"/>
    <mergeCell ref="D16:D17"/>
    <mergeCell ref="E16:E17"/>
    <mergeCell ref="F16:F17"/>
    <mergeCell ref="G16:G17"/>
    <mergeCell ref="H16:H17"/>
    <mergeCell ref="L14:L15"/>
    <mergeCell ref="I14:I15"/>
    <mergeCell ref="J14:J15"/>
    <mergeCell ref="K14:K15"/>
    <mergeCell ref="P12:P13"/>
    <mergeCell ref="Q12:Q13"/>
    <mergeCell ref="AH12:AH13"/>
    <mergeCell ref="B12:B13"/>
    <mergeCell ref="C12:C13"/>
    <mergeCell ref="D12:D13"/>
    <mergeCell ref="E12:E13"/>
    <mergeCell ref="F12:F13"/>
    <mergeCell ref="N14:N15"/>
    <mergeCell ref="O14:O15"/>
    <mergeCell ref="AF14:AF15"/>
    <mergeCell ref="AG14:AG15"/>
    <mergeCell ref="F14:F15"/>
    <mergeCell ref="G14:G15"/>
    <mergeCell ref="H14:H15"/>
    <mergeCell ref="AE12:AE13"/>
    <mergeCell ref="AF12:AF13"/>
    <mergeCell ref="AG12:AG13"/>
    <mergeCell ref="R12:R13"/>
    <mergeCell ref="G12:G13"/>
    <mergeCell ref="H12:H13"/>
    <mergeCell ref="I12:I13"/>
    <mergeCell ref="J12:J13"/>
    <mergeCell ref="K12:K13"/>
    <mergeCell ref="AE6:AF10"/>
    <mergeCell ref="AG6:AG10"/>
    <mergeCell ref="AI12:AI13"/>
    <mergeCell ref="A14:A15"/>
    <mergeCell ref="B14:B15"/>
    <mergeCell ref="C14:C15"/>
    <mergeCell ref="D14:D15"/>
    <mergeCell ref="E14:E15"/>
    <mergeCell ref="Y12:Y13"/>
    <mergeCell ref="Z12:Z13"/>
    <mergeCell ref="AA12:AA13"/>
    <mergeCell ref="AB12:AB13"/>
    <mergeCell ref="AC12:AC13"/>
    <mergeCell ref="AD12:AD13"/>
    <mergeCell ref="S12:S13"/>
    <mergeCell ref="T12:T13"/>
    <mergeCell ref="U12:U13"/>
    <mergeCell ref="V12:V13"/>
    <mergeCell ref="W12:W13"/>
    <mergeCell ref="X12:X13"/>
    <mergeCell ref="M12:M13"/>
    <mergeCell ref="N12:N13"/>
    <mergeCell ref="AH14:AH15"/>
    <mergeCell ref="O12:O13"/>
    <mergeCell ref="AI16:AI17"/>
    <mergeCell ref="AI14:AI15"/>
    <mergeCell ref="A1:C3"/>
    <mergeCell ref="D1:AI3"/>
    <mergeCell ref="A4:A5"/>
    <mergeCell ref="G4:G5"/>
    <mergeCell ref="A6:B10"/>
    <mergeCell ref="C6:D10"/>
    <mergeCell ref="E6:F10"/>
    <mergeCell ref="G6:G10"/>
    <mergeCell ref="H6:I10"/>
    <mergeCell ref="J6:J10"/>
    <mergeCell ref="AH6:AH10"/>
    <mergeCell ref="A11:F11"/>
    <mergeCell ref="G11:O11"/>
    <mergeCell ref="P11:AE11"/>
    <mergeCell ref="AF11:AI11"/>
    <mergeCell ref="K6:L10"/>
    <mergeCell ref="M6:M10"/>
    <mergeCell ref="N6:O10"/>
    <mergeCell ref="P6:R10"/>
    <mergeCell ref="S6:V10"/>
    <mergeCell ref="W6:Z10"/>
    <mergeCell ref="AA6:AD10"/>
    <mergeCell ref="B45:B46"/>
    <mergeCell ref="C45:C46"/>
    <mergeCell ref="D45:D46"/>
    <mergeCell ref="E45:E46"/>
    <mergeCell ref="F45:F46"/>
    <mergeCell ref="G45:G46"/>
    <mergeCell ref="M45:M46"/>
    <mergeCell ref="AI18:AI19"/>
    <mergeCell ref="AI20:AI21"/>
    <mergeCell ref="AI22:AI23"/>
    <mergeCell ref="AI24:AI25"/>
    <mergeCell ref="AH20:AH21"/>
    <mergeCell ref="M20:M21"/>
    <mergeCell ref="N20:N21"/>
    <mergeCell ref="AH22:AH23"/>
    <mergeCell ref="M22:M23"/>
    <mergeCell ref="N22:N23"/>
    <mergeCell ref="O22:O23"/>
    <mergeCell ref="AF22:AF23"/>
    <mergeCell ref="AG22:AG23"/>
    <mergeCell ref="H31:H34"/>
    <mergeCell ref="I20:I21"/>
    <mergeCell ref="J20:J21"/>
    <mergeCell ref="K20:K21"/>
  </mergeCells>
  <conditionalFormatting sqref="I4">
    <cfRule type="cellIs" dxfId="143" priority="19" operator="lessThanOrEqual">
      <formula>$C$4</formula>
    </cfRule>
  </conditionalFormatting>
  <conditionalFormatting sqref="J6">
    <cfRule type="cellIs" dxfId="142" priority="20" operator="greaterThanOrEqual">
      <formula>$C$5</formula>
    </cfRule>
    <cfRule type="cellIs" dxfId="141" priority="21" operator="lessThanOrEqual">
      <formula>$C$4</formula>
    </cfRule>
    <cfRule type="cellIs" dxfId="140" priority="22" operator="between">
      <formula>$C$5</formula>
      <formula>$C$4</formula>
    </cfRule>
  </conditionalFormatting>
  <conditionalFormatting sqref="P6">
    <cfRule type="cellIs" dxfId="139" priority="16" operator="greaterThanOrEqual">
      <formula>$I$5</formula>
    </cfRule>
    <cfRule type="cellIs" dxfId="138" priority="17" operator="lessThanOrEqual">
      <formula>$I$4</formula>
    </cfRule>
    <cfRule type="cellIs" dxfId="137" priority="18" operator="between">
      <formula>$I$5</formula>
      <formula>$I$4</formula>
    </cfRule>
  </conditionalFormatting>
  <conditionalFormatting sqref="R14:R29">
    <cfRule type="cellIs" dxfId="136" priority="13" operator="greaterThanOrEqual">
      <formula>$C$5</formula>
    </cfRule>
    <cfRule type="cellIs" dxfId="135" priority="14" operator="lessThanOrEqual">
      <formula>$C$4</formula>
    </cfRule>
    <cfRule type="cellIs" dxfId="134" priority="15" operator="between">
      <formula>$C$5</formula>
      <formula>$C$4</formula>
    </cfRule>
  </conditionalFormatting>
  <conditionalFormatting sqref="T35:T38 X35:X38 P35:P40 AB35:AB40 K36:O36 Q36:S36 U36:W36 Y36:AA36 AC36:AE36 J44">
    <cfRule type="cellIs" dxfId="133" priority="23" operator="greaterThanOrEqual">
      <formula>$D$9</formula>
    </cfRule>
    <cfRule type="cellIs" dxfId="132" priority="24" operator="lessThanOrEqual">
      <formula>$C$6</formula>
    </cfRule>
    <cfRule type="cellIs" dxfId="131" priority="25" operator="between">
      <formula>$C$6</formula>
      <formula>$D$9</formula>
    </cfRule>
  </conditionalFormatting>
  <conditionalFormatting sqref="W6">
    <cfRule type="cellIs" dxfId="130" priority="10" operator="greaterThanOrEqual">
      <formula>$I$5</formula>
    </cfRule>
    <cfRule type="cellIs" dxfId="129" priority="11" operator="lessThanOrEqual">
      <formula>$I$4</formula>
    </cfRule>
    <cfRule type="cellIs" dxfId="128" priority="12" operator="between">
      <formula>$I$5</formula>
      <formula>$I$4</formula>
    </cfRule>
  </conditionalFormatting>
  <conditionalFormatting sqref="AE6">
    <cfRule type="cellIs" dxfId="127" priority="1" operator="greaterThanOrEqual">
      <formula>$I$5</formula>
    </cfRule>
    <cfRule type="cellIs" dxfId="126" priority="2" operator="lessThanOrEqual">
      <formula>$I$4</formula>
    </cfRule>
    <cfRule type="cellIs" dxfId="125" priority="3" operator="between">
      <formula>$I$5</formula>
      <formula>$I$4</formula>
    </cfRule>
  </conditionalFormatting>
  <conditionalFormatting sqref="AH6">
    <cfRule type="cellIs" dxfId="124" priority="4" operator="greaterThanOrEqual">
      <formula>$I$5</formula>
    </cfRule>
    <cfRule type="cellIs" dxfId="123" priority="5" operator="lessThanOrEqual">
      <formula>$I$4</formula>
    </cfRule>
    <cfRule type="cellIs" dxfId="122" priority="6" operator="between">
      <formula>$I$5</formula>
      <formula>$I$4</formula>
    </cfRule>
  </conditionalFormatting>
  <dataValidations count="10">
    <dataValidation allowBlank="1" showErrorMessage="1" sqref="R14:R29" xr:uid="{668C2E6E-6849-4D50-8400-DEB90648B25D}"/>
    <dataValidation type="decimal" allowBlank="1" showInputMessage="1" showErrorMessage="1" prompt="% de avance en la actividad - indique el % programado de avance durante esta semana_x000a_" sqref="S14:U23 S25:U25 V14:AE29 S27:U27 S29:U29" xr:uid="{4BE4BED8-21FD-428F-B66B-9D3BF53F8CD3}">
      <formula1>0</formula1>
      <formula2>1</formula2>
    </dataValidation>
    <dataValidation type="decimal" allowBlank="1" showInputMessage="1" showErrorMessage="1" prompt="campo calculado  - indica el % de avance  que aporta la activadad a todo el proyecto" sqref="Q23 Q21 Q19 Q15 Q17 Q25 Q27 Q29" xr:uid="{616FA6CA-97C2-40F1-9899-3A03C23AB2B3}">
      <formula1>0</formula1>
      <formula2>1</formula2>
    </dataValidation>
    <dataValidation type="decimal" allowBlank="1" showInputMessage="1" showErrorMessage="1" prompt="valor porcentual de la activida - Indique el peso porcentual de la actividad dentro del proyecto" sqref="Q14 Q22 Q18 Q16 Q20 Q24 Q26 Q28" xr:uid="{05BA2F3B-9109-46C6-850A-0F4DCC4FAB44}">
      <formula1>0</formula1>
      <formula2>1</formula2>
    </dataValidation>
    <dataValidation type="list" allowBlank="1" showInputMessage="1" showErrorMessage="1" sqref="B14:B29" xr:uid="{7BCF11F9-69B0-4C56-9F94-34C6BFE99640}">
      <formula1>$B$47:$B$54</formula1>
    </dataValidation>
    <dataValidation type="list" allowBlank="1" showInputMessage="1" showErrorMessage="1" sqref="C14:C29" xr:uid="{5E77D0F2-8070-4882-A380-57B7E46BFAF9}">
      <formula1>$C$47:$C$56</formula1>
    </dataValidation>
    <dataValidation type="list" allowBlank="1" showInputMessage="1" showErrorMessage="1" sqref="D14:D29" xr:uid="{81449EE0-525A-4CF1-AA34-A11EA32D7175}">
      <formula1>$D$48:$D$53</formula1>
    </dataValidation>
    <dataValidation type="list" allowBlank="1" showInputMessage="1" showErrorMessage="1" sqref="E14:E29" xr:uid="{C6985619-1580-4085-9A5D-0E416DE64A49}">
      <formula1>$E$47:$E$65</formula1>
    </dataValidation>
    <dataValidation type="list" allowBlank="1" showInputMessage="1" showErrorMessage="1" sqref="G14:G29" xr:uid="{0CCCE230-83C8-412D-B008-D8450F356FAE}">
      <formula1>$G$47:$G$106</formula1>
    </dataValidation>
    <dataValidation type="list" allowBlank="1" showInputMessage="1" showErrorMessage="1" sqref="M14:M29" xr:uid="{ACEB133C-17B2-4544-AD04-EC337A2EF8AD}">
      <formula1>$N$34:$N$36</formula1>
    </dataValidation>
  </dataValidations>
  <pageMargins left="0.7" right="0.7" top="0.75" bottom="0.75" header="0.3" footer="0.3"/>
  <pageSetup scale="13" orientation="portrait" r:id="rId1"/>
  <headerFooter>
    <oddFooter>&amp;C_x000D_&amp;1#&amp;"Calibri"&amp;10&amp;K008000 DOCUMENTO PÚBLICO</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A54E6-0E3C-4D28-A4A6-20A8902E70B4}">
  <sheetPr filterMode="1"/>
  <dimension ref="A1:AA481"/>
  <sheetViews>
    <sheetView view="pageBreakPreview" zoomScale="80" zoomScaleNormal="60" zoomScaleSheetLayoutView="80" workbookViewId="0">
      <selection activeCell="O381" sqref="O381:O480"/>
    </sheetView>
  </sheetViews>
  <sheetFormatPr baseColWidth="10" defaultColWidth="11.453125" defaultRowHeight="14.5" x14ac:dyDescent="0.35"/>
  <cols>
    <col min="1" max="1" width="77" style="67" customWidth="1"/>
    <col min="2" max="2" width="28.90625" style="67" customWidth="1"/>
    <col min="3" max="3" width="30.453125" style="67" customWidth="1"/>
    <col min="4" max="4" width="19.453125" style="67" customWidth="1"/>
    <col min="5" max="5" width="31.6328125" style="67" customWidth="1"/>
    <col min="6" max="6" width="29.08984375" style="67" customWidth="1"/>
    <col min="7" max="7" width="29.36328125" style="67" customWidth="1"/>
    <col min="8" max="8" width="30.453125" style="67" customWidth="1"/>
    <col min="9" max="9" width="22.36328125" style="67" bestFit="1" customWidth="1"/>
    <col min="10" max="10" width="18.54296875" style="67" customWidth="1"/>
    <col min="11" max="11" width="27.54296875" style="67" customWidth="1"/>
    <col min="12" max="13" width="23" style="67" customWidth="1"/>
    <col min="14" max="14" width="25.6328125" style="67" bestFit="1" customWidth="1"/>
    <col min="15" max="15" width="51.08984375" style="67" bestFit="1" customWidth="1"/>
    <col min="16" max="16" width="23" style="67" customWidth="1"/>
    <col min="17" max="17" width="30.54296875" style="67" bestFit="1" customWidth="1"/>
    <col min="18" max="18" width="27.08984375" style="67" bestFit="1" customWidth="1"/>
    <col min="19" max="19" width="32" style="67" bestFit="1" customWidth="1"/>
    <col min="20" max="22" width="23" style="67" customWidth="1"/>
    <col min="23" max="16384" width="11.453125" style="67"/>
  </cols>
  <sheetData>
    <row r="1" spans="1:27" ht="39.9" customHeight="1" x14ac:dyDescent="0.35">
      <c r="A1" s="639"/>
      <c r="B1" s="641" t="s">
        <v>334</v>
      </c>
      <c r="C1" s="642"/>
      <c r="D1" s="642"/>
      <c r="E1" s="642"/>
      <c r="F1" s="642"/>
      <c r="G1" s="642"/>
      <c r="H1" s="642"/>
      <c r="I1" s="642"/>
      <c r="J1" s="642"/>
      <c r="K1" s="642"/>
      <c r="L1" s="642"/>
      <c r="M1" s="642"/>
      <c r="N1" s="642"/>
      <c r="O1" s="642"/>
      <c r="P1" s="642"/>
      <c r="Q1" s="642"/>
      <c r="R1" s="642"/>
      <c r="S1" s="642"/>
      <c r="T1" s="642"/>
      <c r="U1" s="642"/>
      <c r="V1" s="642"/>
    </row>
    <row r="2" spans="1:27" ht="39.9" customHeight="1" x14ac:dyDescent="0.35">
      <c r="A2" s="640"/>
      <c r="B2" s="641"/>
      <c r="C2" s="642"/>
      <c r="D2" s="642"/>
      <c r="E2" s="642"/>
      <c r="F2" s="642"/>
      <c r="G2" s="642"/>
      <c r="H2" s="642"/>
      <c r="I2" s="642"/>
      <c r="J2" s="642"/>
      <c r="K2" s="642"/>
      <c r="L2" s="642"/>
      <c r="M2" s="642"/>
      <c r="N2" s="642"/>
      <c r="O2" s="642"/>
      <c r="P2" s="642"/>
      <c r="Q2" s="642"/>
      <c r="R2" s="642"/>
      <c r="S2" s="642"/>
      <c r="T2" s="642"/>
      <c r="U2" s="642"/>
      <c r="V2" s="642"/>
    </row>
    <row r="3" spans="1:27" ht="39.9" customHeight="1" x14ac:dyDescent="0.35">
      <c r="A3" s="640"/>
      <c r="B3" s="641"/>
      <c r="C3" s="642"/>
      <c r="D3" s="642"/>
      <c r="E3" s="642"/>
      <c r="F3" s="642"/>
      <c r="G3" s="642"/>
      <c r="H3" s="642"/>
      <c r="I3" s="642"/>
      <c r="J3" s="642"/>
      <c r="K3" s="642"/>
      <c r="L3" s="642"/>
      <c r="M3" s="642"/>
      <c r="N3" s="642"/>
      <c r="O3" s="642"/>
      <c r="P3" s="642"/>
      <c r="Q3" s="642"/>
      <c r="R3" s="642"/>
      <c r="S3" s="642"/>
      <c r="T3" s="642"/>
      <c r="U3" s="642"/>
      <c r="V3" s="642"/>
    </row>
    <row r="4" spans="1:27" s="55" customFormat="1" ht="46" hidden="1" x14ac:dyDescent="0.35">
      <c r="A4" s="447" t="s">
        <v>34</v>
      </c>
      <c r="B4" s="10"/>
      <c r="C4" s="10"/>
      <c r="D4" s="9"/>
      <c r="E4" s="447" t="s">
        <v>36</v>
      </c>
      <c r="F4" s="8" t="s">
        <v>35</v>
      </c>
      <c r="G4" s="10">
        <v>0.7</v>
      </c>
      <c r="H4" s="56"/>
      <c r="I4" s="57"/>
      <c r="J4" s="57"/>
      <c r="K4" s="57"/>
      <c r="L4" s="57"/>
      <c r="M4" s="57"/>
      <c r="N4" s="57"/>
      <c r="O4" s="57"/>
      <c r="P4" s="57"/>
      <c r="Q4" s="57"/>
      <c r="R4" s="57"/>
      <c r="S4" s="57"/>
      <c r="T4" s="57"/>
      <c r="U4" s="57"/>
      <c r="V4" s="57"/>
      <c r="W4" s="57"/>
      <c r="X4" s="57"/>
      <c r="Y4" s="57"/>
      <c r="Z4" s="57"/>
      <c r="AA4" s="57"/>
    </row>
    <row r="5" spans="1:27" s="55" customFormat="1" ht="46" hidden="1" x14ac:dyDescent="0.35">
      <c r="A5" s="638"/>
      <c r="B5" s="11"/>
      <c r="C5" s="11"/>
      <c r="D5" s="11">
        <v>1</v>
      </c>
      <c r="E5" s="638"/>
      <c r="F5" s="8" t="s">
        <v>37</v>
      </c>
      <c r="G5" s="11">
        <v>0.95</v>
      </c>
      <c r="H5" s="56"/>
      <c r="I5" s="57"/>
      <c r="J5" s="57"/>
      <c r="K5" s="57"/>
      <c r="L5" s="57"/>
      <c r="M5" s="57"/>
      <c r="N5" s="57"/>
      <c r="O5" s="57"/>
      <c r="P5" s="57"/>
      <c r="Q5" s="57"/>
      <c r="R5" s="57"/>
      <c r="S5" s="57"/>
      <c r="T5" s="57"/>
      <c r="U5" s="57"/>
      <c r="V5" s="57"/>
      <c r="W5" s="57"/>
      <c r="X5" s="57"/>
      <c r="Y5" s="57"/>
      <c r="Z5" s="57"/>
      <c r="AA5" s="57"/>
    </row>
    <row r="6" spans="1:27" s="1" customFormat="1" ht="20.149999999999999" hidden="1" customHeight="1" x14ac:dyDescent="0.35">
      <c r="A6" s="609" t="s">
        <v>38</v>
      </c>
      <c r="B6" s="643"/>
      <c r="C6" s="603" t="s">
        <v>40</v>
      </c>
      <c r="D6" s="604"/>
      <c r="E6" s="536">
        <v>1</v>
      </c>
      <c r="F6" s="603" t="s">
        <v>256</v>
      </c>
      <c r="G6" s="604"/>
      <c r="H6" s="482">
        <f>262/315</f>
        <v>0.83174603174603179</v>
      </c>
      <c r="I6" s="603" t="s">
        <v>41</v>
      </c>
      <c r="J6" s="604"/>
      <c r="K6" s="536">
        <v>0.95</v>
      </c>
      <c r="L6" s="609" t="s">
        <v>42</v>
      </c>
      <c r="M6" s="611"/>
      <c r="N6" s="470">
        <f>(92/187)</f>
        <v>0.49197860962566847</v>
      </c>
      <c r="O6" s="472"/>
      <c r="P6" s="632" t="s">
        <v>43</v>
      </c>
      <c r="Q6" s="633"/>
      <c r="R6" s="626">
        <f>184/193</f>
        <v>0.95336787564766834</v>
      </c>
      <c r="S6" s="627"/>
      <c r="T6" s="632" t="s">
        <v>44</v>
      </c>
      <c r="U6" s="633"/>
      <c r="V6" s="474"/>
    </row>
    <row r="7" spans="1:27" s="1" customFormat="1" ht="14.9" hidden="1" customHeight="1" x14ac:dyDescent="0.35">
      <c r="A7" s="612"/>
      <c r="B7" s="644"/>
      <c r="C7" s="605"/>
      <c r="D7" s="606"/>
      <c r="E7" s="537"/>
      <c r="F7" s="605"/>
      <c r="G7" s="606"/>
      <c r="H7" s="483"/>
      <c r="I7" s="605"/>
      <c r="J7" s="606"/>
      <c r="K7" s="537"/>
      <c r="L7" s="612"/>
      <c r="M7" s="614"/>
      <c r="N7" s="473"/>
      <c r="O7" s="475"/>
      <c r="P7" s="634"/>
      <c r="Q7" s="635"/>
      <c r="R7" s="628"/>
      <c r="S7" s="629"/>
      <c r="T7" s="634"/>
      <c r="U7" s="635"/>
      <c r="V7" s="474"/>
    </row>
    <row r="8" spans="1:27" s="1" customFormat="1" ht="14.9" hidden="1" customHeight="1" x14ac:dyDescent="0.35">
      <c r="A8" s="612"/>
      <c r="B8" s="644"/>
      <c r="C8" s="605"/>
      <c r="D8" s="606"/>
      <c r="E8" s="537"/>
      <c r="F8" s="605"/>
      <c r="G8" s="606"/>
      <c r="H8" s="483"/>
      <c r="I8" s="605"/>
      <c r="J8" s="606"/>
      <c r="K8" s="537"/>
      <c r="L8" s="612"/>
      <c r="M8" s="614"/>
      <c r="N8" s="473"/>
      <c r="O8" s="475"/>
      <c r="P8" s="634"/>
      <c r="Q8" s="635"/>
      <c r="R8" s="628"/>
      <c r="S8" s="629"/>
      <c r="T8" s="634"/>
      <c r="U8" s="635"/>
      <c r="V8" s="474"/>
    </row>
    <row r="9" spans="1:27" s="1" customFormat="1" ht="14.9" hidden="1" customHeight="1" x14ac:dyDescent="0.35">
      <c r="A9" s="612"/>
      <c r="B9" s="644"/>
      <c r="C9" s="605"/>
      <c r="D9" s="606"/>
      <c r="E9" s="537"/>
      <c r="F9" s="605"/>
      <c r="G9" s="606"/>
      <c r="H9" s="483"/>
      <c r="I9" s="605"/>
      <c r="J9" s="606"/>
      <c r="K9" s="537"/>
      <c r="L9" s="612"/>
      <c r="M9" s="614"/>
      <c r="N9" s="473"/>
      <c r="O9" s="475"/>
      <c r="P9" s="634"/>
      <c r="Q9" s="635"/>
      <c r="R9" s="628"/>
      <c r="S9" s="629"/>
      <c r="T9" s="634"/>
      <c r="U9" s="635"/>
      <c r="V9" s="474"/>
    </row>
    <row r="10" spans="1:27" s="1" customFormat="1" ht="15" hidden="1" customHeight="1" x14ac:dyDescent="0.35">
      <c r="A10" s="615"/>
      <c r="B10" s="645"/>
      <c r="C10" s="646"/>
      <c r="D10" s="647"/>
      <c r="E10" s="599"/>
      <c r="F10" s="646"/>
      <c r="G10" s="647"/>
      <c r="H10" s="484"/>
      <c r="I10" s="607"/>
      <c r="J10" s="608"/>
      <c r="K10" s="599"/>
      <c r="L10" s="615"/>
      <c r="M10" s="617"/>
      <c r="N10" s="539"/>
      <c r="O10" s="540"/>
      <c r="P10" s="648"/>
      <c r="Q10" s="649"/>
      <c r="R10" s="630"/>
      <c r="S10" s="631"/>
      <c r="T10" s="636"/>
      <c r="U10" s="637"/>
      <c r="V10" s="474"/>
    </row>
    <row r="11" spans="1:27" ht="80.150000000000006" customHeight="1" x14ac:dyDescent="0.35">
      <c r="A11" s="167" t="s">
        <v>335</v>
      </c>
      <c r="B11" s="168" t="s">
        <v>336</v>
      </c>
      <c r="C11" s="167" t="s">
        <v>337</v>
      </c>
      <c r="D11" s="167" t="s">
        <v>338</v>
      </c>
      <c r="E11" s="169" t="s">
        <v>339</v>
      </c>
      <c r="F11" s="169" t="s">
        <v>340</v>
      </c>
      <c r="G11" s="167" t="s">
        <v>341</v>
      </c>
      <c r="H11" s="167" t="s">
        <v>342</v>
      </c>
      <c r="I11" s="170" t="s">
        <v>343</v>
      </c>
      <c r="J11" s="167" t="s">
        <v>344</v>
      </c>
      <c r="K11" s="171" t="s">
        <v>345</v>
      </c>
      <c r="L11" s="172" t="s">
        <v>346</v>
      </c>
      <c r="M11" s="167" t="s">
        <v>347</v>
      </c>
      <c r="N11" s="167" t="s">
        <v>348</v>
      </c>
      <c r="O11" s="167" t="s">
        <v>349</v>
      </c>
      <c r="P11" s="167" t="s">
        <v>350</v>
      </c>
      <c r="Q11" s="173" t="s">
        <v>351</v>
      </c>
      <c r="R11" s="173" t="s">
        <v>352</v>
      </c>
      <c r="S11" s="167" t="s">
        <v>353</v>
      </c>
      <c r="T11" s="167" t="s">
        <v>354</v>
      </c>
      <c r="U11" s="168" t="s">
        <v>355</v>
      </c>
    </row>
    <row r="12" spans="1:27" ht="41.5" hidden="1" customHeight="1" x14ac:dyDescent="0.35">
      <c r="A12" s="247" t="s">
        <v>356</v>
      </c>
      <c r="B12" s="247" t="s">
        <v>183</v>
      </c>
      <c r="C12" s="247" t="s">
        <v>127</v>
      </c>
      <c r="D12" s="248">
        <v>84121702</v>
      </c>
      <c r="E12" s="249" t="s">
        <v>357</v>
      </c>
      <c r="F12" s="247" t="s">
        <v>358</v>
      </c>
      <c r="G12" s="250" t="s">
        <v>75</v>
      </c>
      <c r="H12" s="250" t="s">
        <v>75</v>
      </c>
      <c r="I12" s="251">
        <v>730</v>
      </c>
      <c r="J12" s="252" t="s">
        <v>359</v>
      </c>
      <c r="K12" s="253">
        <v>346626554</v>
      </c>
      <c r="L12" s="254">
        <v>0.19</v>
      </c>
      <c r="M12" s="255">
        <v>65859045.259999998</v>
      </c>
      <c r="N12" s="256">
        <v>412485599.25999999</v>
      </c>
      <c r="O12" s="257" t="s">
        <v>360</v>
      </c>
      <c r="P12" s="258" t="s">
        <v>361</v>
      </c>
      <c r="Q12" s="259">
        <v>0</v>
      </c>
      <c r="R12" s="259">
        <v>179699422.41999999</v>
      </c>
      <c r="S12" s="259">
        <v>213949155</v>
      </c>
      <c r="T12" s="259">
        <v>18837022</v>
      </c>
      <c r="U12" s="260" t="s">
        <v>362</v>
      </c>
    </row>
    <row r="13" spans="1:27" ht="41.5" hidden="1" customHeight="1" x14ac:dyDescent="0.35">
      <c r="A13" s="247" t="s">
        <v>356</v>
      </c>
      <c r="B13" s="247" t="s">
        <v>183</v>
      </c>
      <c r="C13" s="247" t="s">
        <v>127</v>
      </c>
      <c r="D13" s="248">
        <v>80101500</v>
      </c>
      <c r="E13" s="249" t="s">
        <v>363</v>
      </c>
      <c r="F13" s="247" t="s">
        <v>364</v>
      </c>
      <c r="G13" s="252" t="s">
        <v>70</v>
      </c>
      <c r="H13" s="250" t="s">
        <v>70</v>
      </c>
      <c r="I13" s="251">
        <v>153</v>
      </c>
      <c r="J13" s="252" t="s">
        <v>359</v>
      </c>
      <c r="K13" s="253">
        <v>52060000</v>
      </c>
      <c r="L13" s="254">
        <v>0</v>
      </c>
      <c r="M13" s="255">
        <v>0</v>
      </c>
      <c r="N13" s="256">
        <v>52060000</v>
      </c>
      <c r="O13" s="257" t="s">
        <v>365</v>
      </c>
      <c r="P13" s="258" t="s">
        <v>91</v>
      </c>
      <c r="Q13" s="259">
        <v>52060000</v>
      </c>
      <c r="R13" s="259">
        <v>0</v>
      </c>
      <c r="S13" s="259">
        <v>0</v>
      </c>
      <c r="T13" s="259">
        <v>0</v>
      </c>
      <c r="U13" s="247" t="s">
        <v>366</v>
      </c>
    </row>
    <row r="14" spans="1:27" ht="41.5" hidden="1" customHeight="1" x14ac:dyDescent="0.35">
      <c r="A14" s="247" t="s">
        <v>356</v>
      </c>
      <c r="B14" s="247" t="s">
        <v>183</v>
      </c>
      <c r="C14" s="247" t="s">
        <v>127</v>
      </c>
      <c r="D14" s="248">
        <v>43231500</v>
      </c>
      <c r="E14" s="249" t="s">
        <v>367</v>
      </c>
      <c r="F14" s="247" t="s">
        <v>368</v>
      </c>
      <c r="G14" s="250" t="s">
        <v>73</v>
      </c>
      <c r="H14" s="250" t="s">
        <v>73</v>
      </c>
      <c r="I14" s="251">
        <v>365</v>
      </c>
      <c r="J14" s="252" t="s">
        <v>359</v>
      </c>
      <c r="K14" s="253">
        <v>31587142</v>
      </c>
      <c r="L14" s="254">
        <v>0.19</v>
      </c>
      <c r="M14" s="255">
        <v>6001556.9800000004</v>
      </c>
      <c r="N14" s="256">
        <v>37588698.980000004</v>
      </c>
      <c r="O14" s="257" t="s">
        <v>360</v>
      </c>
      <c r="P14" s="258" t="s">
        <v>361</v>
      </c>
      <c r="Q14" s="259">
        <v>24259939</v>
      </c>
      <c r="R14" s="259">
        <v>13328761</v>
      </c>
      <c r="S14" s="259">
        <v>0</v>
      </c>
      <c r="T14" s="259">
        <v>0</v>
      </c>
      <c r="U14" s="247" t="s">
        <v>362</v>
      </c>
    </row>
    <row r="15" spans="1:27" ht="41.5" hidden="1" customHeight="1" x14ac:dyDescent="0.35">
      <c r="A15" s="247" t="s">
        <v>356</v>
      </c>
      <c r="B15" s="247" t="s">
        <v>183</v>
      </c>
      <c r="C15" s="247" t="s">
        <v>127</v>
      </c>
      <c r="D15" s="248">
        <v>43231500</v>
      </c>
      <c r="E15" s="249" t="s">
        <v>367</v>
      </c>
      <c r="F15" s="247" t="s">
        <v>369</v>
      </c>
      <c r="G15" s="250" t="s">
        <v>72</v>
      </c>
      <c r="H15" s="250" t="s">
        <v>72</v>
      </c>
      <c r="I15" s="251">
        <v>365</v>
      </c>
      <c r="J15" s="252" t="s">
        <v>359</v>
      </c>
      <c r="K15" s="253">
        <v>69025000</v>
      </c>
      <c r="L15" s="254">
        <v>0.19</v>
      </c>
      <c r="M15" s="255">
        <v>13114750</v>
      </c>
      <c r="N15" s="256">
        <v>82139750</v>
      </c>
      <c r="O15" s="257" t="s">
        <v>365</v>
      </c>
      <c r="P15" s="258" t="s">
        <v>91</v>
      </c>
      <c r="Q15" s="259">
        <v>82139750</v>
      </c>
      <c r="R15" s="259">
        <v>0</v>
      </c>
      <c r="S15" s="259">
        <v>0</v>
      </c>
      <c r="T15" s="259">
        <v>0</v>
      </c>
      <c r="U15" s="247" t="s">
        <v>370</v>
      </c>
    </row>
    <row r="16" spans="1:27" ht="41.5" hidden="1" customHeight="1" x14ac:dyDescent="0.35">
      <c r="A16" s="247" t="s">
        <v>356</v>
      </c>
      <c r="B16" s="247" t="s">
        <v>183</v>
      </c>
      <c r="C16" s="247" t="s">
        <v>127</v>
      </c>
      <c r="D16" s="248">
        <v>80101510</v>
      </c>
      <c r="E16" s="249" t="s">
        <v>371</v>
      </c>
      <c r="F16" s="247" t="s">
        <v>372</v>
      </c>
      <c r="G16" s="250" t="s">
        <v>66</v>
      </c>
      <c r="H16" s="250" t="s">
        <v>67</v>
      </c>
      <c r="I16" s="251">
        <v>1095</v>
      </c>
      <c r="J16" s="252" t="s">
        <v>373</v>
      </c>
      <c r="K16" s="253">
        <v>563593664</v>
      </c>
      <c r="L16" s="254">
        <v>0.19</v>
      </c>
      <c r="M16" s="255">
        <v>107082796.16</v>
      </c>
      <c r="N16" s="256">
        <v>670676460.15999997</v>
      </c>
      <c r="O16" s="257" t="s">
        <v>360</v>
      </c>
      <c r="P16" s="258" t="s">
        <v>374</v>
      </c>
      <c r="Q16" s="259">
        <v>223558824</v>
      </c>
      <c r="R16" s="259">
        <v>223558824</v>
      </c>
      <c r="S16" s="259">
        <v>223558813</v>
      </c>
      <c r="T16" s="259">
        <v>0</v>
      </c>
      <c r="U16" s="247" t="s">
        <v>375</v>
      </c>
    </row>
    <row r="17" spans="1:21" ht="41.5" hidden="1" customHeight="1" x14ac:dyDescent="0.35">
      <c r="A17" s="247" t="s">
        <v>356</v>
      </c>
      <c r="B17" s="247" t="s">
        <v>183</v>
      </c>
      <c r="C17" s="247" t="s">
        <v>127</v>
      </c>
      <c r="D17" s="248">
        <v>81112106</v>
      </c>
      <c r="E17" s="249" t="s">
        <v>376</v>
      </c>
      <c r="F17" s="247" t="s">
        <v>377</v>
      </c>
      <c r="G17" s="250" t="s">
        <v>66</v>
      </c>
      <c r="H17" s="250" t="s">
        <v>67</v>
      </c>
      <c r="I17" s="251">
        <v>1095</v>
      </c>
      <c r="J17" s="252" t="s">
        <v>373</v>
      </c>
      <c r="K17" s="253">
        <v>1302182760</v>
      </c>
      <c r="L17" s="254">
        <v>0.19</v>
      </c>
      <c r="M17" s="255">
        <v>247414724.40000001</v>
      </c>
      <c r="N17" s="256">
        <v>1549597484.4000001</v>
      </c>
      <c r="O17" s="257" t="s">
        <v>360</v>
      </c>
      <c r="P17" s="258" t="s">
        <v>374</v>
      </c>
      <c r="Q17" s="259">
        <v>516532495</v>
      </c>
      <c r="R17" s="259">
        <v>516532495</v>
      </c>
      <c r="S17" s="259">
        <v>516532495</v>
      </c>
      <c r="T17" s="259">
        <v>0</v>
      </c>
      <c r="U17" s="247" t="s">
        <v>375</v>
      </c>
    </row>
    <row r="18" spans="1:21" ht="41.5" hidden="1" customHeight="1" x14ac:dyDescent="0.35">
      <c r="A18" s="247" t="s">
        <v>356</v>
      </c>
      <c r="B18" s="247" t="s">
        <v>183</v>
      </c>
      <c r="C18" s="247" t="s">
        <v>127</v>
      </c>
      <c r="D18" s="248">
        <v>80101500</v>
      </c>
      <c r="E18" s="249" t="s">
        <v>363</v>
      </c>
      <c r="F18" s="247" t="s">
        <v>378</v>
      </c>
      <c r="G18" s="250" t="s">
        <v>66</v>
      </c>
      <c r="H18" s="250" t="s">
        <v>66</v>
      </c>
      <c r="I18" s="251">
        <v>229</v>
      </c>
      <c r="J18" s="252" t="s">
        <v>359</v>
      </c>
      <c r="K18" s="253">
        <v>44800000</v>
      </c>
      <c r="L18" s="254">
        <v>0</v>
      </c>
      <c r="M18" s="255">
        <v>0</v>
      </c>
      <c r="N18" s="256">
        <v>44800000</v>
      </c>
      <c r="O18" s="257" t="s">
        <v>365</v>
      </c>
      <c r="P18" s="258" t="s">
        <v>91</v>
      </c>
      <c r="Q18" s="259">
        <v>44800000</v>
      </c>
      <c r="R18" s="259">
        <v>0</v>
      </c>
      <c r="S18" s="259">
        <v>0</v>
      </c>
      <c r="T18" s="259">
        <v>0</v>
      </c>
      <c r="U18" s="247" t="s">
        <v>379</v>
      </c>
    </row>
    <row r="19" spans="1:21" ht="41.5" hidden="1" customHeight="1" x14ac:dyDescent="0.35">
      <c r="A19" s="247" t="s">
        <v>356</v>
      </c>
      <c r="B19" s="247" t="s">
        <v>183</v>
      </c>
      <c r="C19" s="247" t="s">
        <v>127</v>
      </c>
      <c r="D19" s="248">
        <v>43231500</v>
      </c>
      <c r="E19" s="249" t="s">
        <v>367</v>
      </c>
      <c r="F19" s="247" t="s">
        <v>380</v>
      </c>
      <c r="G19" s="250" t="s">
        <v>72</v>
      </c>
      <c r="H19" s="250" t="s">
        <v>72</v>
      </c>
      <c r="I19" s="251">
        <v>180</v>
      </c>
      <c r="J19" s="252" t="s">
        <v>381</v>
      </c>
      <c r="K19" s="253">
        <v>125000000</v>
      </c>
      <c r="L19" s="254">
        <v>0.19</v>
      </c>
      <c r="M19" s="255">
        <v>23750000</v>
      </c>
      <c r="N19" s="256">
        <v>148750000</v>
      </c>
      <c r="O19" s="257" t="s">
        <v>365</v>
      </c>
      <c r="P19" s="258" t="s">
        <v>91</v>
      </c>
      <c r="Q19" s="259">
        <v>148750000</v>
      </c>
      <c r="R19" s="259">
        <v>0</v>
      </c>
      <c r="S19" s="259">
        <v>0</v>
      </c>
      <c r="T19" s="259">
        <v>0</v>
      </c>
      <c r="U19" s="247" t="s">
        <v>362</v>
      </c>
    </row>
    <row r="20" spans="1:21" ht="41.5" hidden="1" customHeight="1" x14ac:dyDescent="0.35">
      <c r="A20" s="247" t="s">
        <v>356</v>
      </c>
      <c r="B20" s="247" t="s">
        <v>183</v>
      </c>
      <c r="C20" s="247" t="s">
        <v>127</v>
      </c>
      <c r="D20" s="261">
        <v>43231500</v>
      </c>
      <c r="E20" s="249" t="s">
        <v>367</v>
      </c>
      <c r="F20" s="262" t="s">
        <v>382</v>
      </c>
      <c r="G20" s="250" t="s">
        <v>66</v>
      </c>
      <c r="H20" s="250" t="s">
        <v>66</v>
      </c>
      <c r="I20" s="251">
        <v>180</v>
      </c>
      <c r="J20" s="252" t="s">
        <v>359</v>
      </c>
      <c r="K20" s="253">
        <v>55000000</v>
      </c>
      <c r="L20" s="254">
        <v>0.19</v>
      </c>
      <c r="M20" s="255">
        <v>10450000</v>
      </c>
      <c r="N20" s="256">
        <v>65450000</v>
      </c>
      <c r="O20" s="257" t="s">
        <v>365</v>
      </c>
      <c r="P20" s="258" t="s">
        <v>91</v>
      </c>
      <c r="Q20" s="259">
        <v>65450000</v>
      </c>
      <c r="R20" s="259">
        <v>0</v>
      </c>
      <c r="S20" s="259">
        <v>0</v>
      </c>
      <c r="T20" s="259">
        <v>0</v>
      </c>
      <c r="U20" s="247" t="s">
        <v>362</v>
      </c>
    </row>
    <row r="21" spans="1:21" ht="41.5" hidden="1" customHeight="1" x14ac:dyDescent="0.35">
      <c r="A21" s="247" t="s">
        <v>356</v>
      </c>
      <c r="B21" s="247" t="s">
        <v>183</v>
      </c>
      <c r="C21" s="247" t="s">
        <v>127</v>
      </c>
      <c r="D21" s="248">
        <v>80101500</v>
      </c>
      <c r="E21" s="249" t="s">
        <v>363</v>
      </c>
      <c r="F21" s="247" t="s">
        <v>383</v>
      </c>
      <c r="G21" s="250" t="s">
        <v>74</v>
      </c>
      <c r="H21" s="250" t="s">
        <v>74</v>
      </c>
      <c r="I21" s="251">
        <v>365</v>
      </c>
      <c r="J21" s="252" t="s">
        <v>359</v>
      </c>
      <c r="K21" s="253">
        <v>13287857</v>
      </c>
      <c r="L21" s="254">
        <v>0.19</v>
      </c>
      <c r="M21" s="255">
        <v>2524692.83</v>
      </c>
      <c r="N21" s="256">
        <v>15812549.83</v>
      </c>
      <c r="O21" s="257" t="s">
        <v>360</v>
      </c>
      <c r="P21" s="258" t="s">
        <v>361</v>
      </c>
      <c r="Q21" s="259">
        <v>0</v>
      </c>
      <c r="R21" s="259">
        <v>15812550</v>
      </c>
      <c r="S21" s="259">
        <v>0</v>
      </c>
      <c r="T21" s="259">
        <v>0</v>
      </c>
      <c r="U21" s="247" t="s">
        <v>384</v>
      </c>
    </row>
    <row r="22" spans="1:21" ht="41.5" hidden="1" customHeight="1" x14ac:dyDescent="0.35">
      <c r="A22" s="247" t="s">
        <v>356</v>
      </c>
      <c r="B22" s="247" t="s">
        <v>183</v>
      </c>
      <c r="C22" s="247" t="s">
        <v>127</v>
      </c>
      <c r="D22" s="248">
        <v>80101500</v>
      </c>
      <c r="E22" s="249" t="s">
        <v>363</v>
      </c>
      <c r="F22" s="247" t="s">
        <v>385</v>
      </c>
      <c r="G22" s="250" t="s">
        <v>74</v>
      </c>
      <c r="H22" s="250" t="s">
        <v>74</v>
      </c>
      <c r="I22" s="251">
        <v>365</v>
      </c>
      <c r="J22" s="252" t="s">
        <v>359</v>
      </c>
      <c r="K22" s="253">
        <v>16065000</v>
      </c>
      <c r="L22" s="254">
        <v>0.19</v>
      </c>
      <c r="M22" s="255">
        <v>3052350</v>
      </c>
      <c r="N22" s="256">
        <v>19117350</v>
      </c>
      <c r="O22" s="257" t="s">
        <v>360</v>
      </c>
      <c r="P22" s="258" t="s">
        <v>361</v>
      </c>
      <c r="Q22" s="259">
        <v>0</v>
      </c>
      <c r="R22" s="259">
        <v>19117350</v>
      </c>
      <c r="S22" s="259">
        <v>0</v>
      </c>
      <c r="T22" s="259">
        <v>0</v>
      </c>
      <c r="U22" s="247" t="s">
        <v>384</v>
      </c>
    </row>
    <row r="23" spans="1:21" ht="41.5" hidden="1" customHeight="1" x14ac:dyDescent="0.35">
      <c r="A23" s="247" t="s">
        <v>356</v>
      </c>
      <c r="B23" s="247" t="s">
        <v>183</v>
      </c>
      <c r="C23" s="247" t="s">
        <v>127</v>
      </c>
      <c r="D23" s="248">
        <v>43231500</v>
      </c>
      <c r="E23" s="249" t="s">
        <v>367</v>
      </c>
      <c r="F23" s="247" t="s">
        <v>386</v>
      </c>
      <c r="G23" s="250" t="s">
        <v>68</v>
      </c>
      <c r="H23" s="250" t="s">
        <v>68</v>
      </c>
      <c r="I23" s="251">
        <v>730</v>
      </c>
      <c r="J23" s="252" t="s">
        <v>381</v>
      </c>
      <c r="K23" s="253">
        <v>387760752</v>
      </c>
      <c r="L23" s="254">
        <v>0.19</v>
      </c>
      <c r="M23" s="255">
        <v>73674542.879999995</v>
      </c>
      <c r="N23" s="256">
        <v>461435294.88</v>
      </c>
      <c r="O23" s="257" t="s">
        <v>360</v>
      </c>
      <c r="P23" s="258" t="s">
        <v>361</v>
      </c>
      <c r="Q23" s="259">
        <v>0</v>
      </c>
      <c r="R23" s="259">
        <v>230717647</v>
      </c>
      <c r="S23" s="259">
        <v>230717647</v>
      </c>
      <c r="T23" s="259">
        <v>0</v>
      </c>
      <c r="U23" s="247" t="s">
        <v>384</v>
      </c>
    </row>
    <row r="24" spans="1:21" ht="41.5" hidden="1" customHeight="1" x14ac:dyDescent="0.35">
      <c r="A24" s="247" t="s">
        <v>356</v>
      </c>
      <c r="B24" s="247" t="s">
        <v>183</v>
      </c>
      <c r="C24" s="247" t="s">
        <v>127</v>
      </c>
      <c r="D24" s="248">
        <v>80101500</v>
      </c>
      <c r="E24" s="249" t="s">
        <v>363</v>
      </c>
      <c r="F24" s="247" t="s">
        <v>387</v>
      </c>
      <c r="G24" s="250" t="s">
        <v>66</v>
      </c>
      <c r="H24" s="250" t="s">
        <v>66</v>
      </c>
      <c r="I24" s="251">
        <v>229</v>
      </c>
      <c r="J24" s="252" t="s">
        <v>359</v>
      </c>
      <c r="K24" s="253">
        <v>20000000</v>
      </c>
      <c r="L24" s="254">
        <v>0</v>
      </c>
      <c r="M24" s="255">
        <v>0</v>
      </c>
      <c r="N24" s="256">
        <v>20000000</v>
      </c>
      <c r="O24" s="257" t="s">
        <v>365</v>
      </c>
      <c r="P24" s="258" t="s">
        <v>91</v>
      </c>
      <c r="Q24" s="259">
        <v>20000000</v>
      </c>
      <c r="R24" s="259">
        <v>0</v>
      </c>
      <c r="S24" s="259">
        <v>0</v>
      </c>
      <c r="T24" s="259">
        <v>0</v>
      </c>
      <c r="U24" s="247" t="s">
        <v>384</v>
      </c>
    </row>
    <row r="25" spans="1:21" ht="41.5" hidden="1" customHeight="1" x14ac:dyDescent="0.35">
      <c r="A25" s="247" t="s">
        <v>356</v>
      </c>
      <c r="B25" s="247" t="s">
        <v>183</v>
      </c>
      <c r="C25" s="247" t="s">
        <v>127</v>
      </c>
      <c r="D25" s="248">
        <v>80101500</v>
      </c>
      <c r="E25" s="249" t="s">
        <v>363</v>
      </c>
      <c r="F25" s="247" t="s">
        <v>388</v>
      </c>
      <c r="G25" s="250" t="s">
        <v>67</v>
      </c>
      <c r="H25" s="250" t="s">
        <v>67</v>
      </c>
      <c r="I25" s="251">
        <v>180</v>
      </c>
      <c r="J25" s="252" t="s">
        <v>373</v>
      </c>
      <c r="K25" s="253">
        <v>250000000</v>
      </c>
      <c r="L25" s="254">
        <v>0.19</v>
      </c>
      <c r="M25" s="255">
        <v>47500000</v>
      </c>
      <c r="N25" s="256">
        <v>297500000</v>
      </c>
      <c r="O25" s="257" t="s">
        <v>365</v>
      </c>
      <c r="P25" s="258" t="s">
        <v>91</v>
      </c>
      <c r="Q25" s="259">
        <v>297500000</v>
      </c>
      <c r="R25" s="259">
        <v>0</v>
      </c>
      <c r="S25" s="259">
        <v>0</v>
      </c>
      <c r="T25" s="259">
        <v>0</v>
      </c>
      <c r="U25" s="247" t="s">
        <v>389</v>
      </c>
    </row>
    <row r="26" spans="1:21" ht="41.5" hidden="1" customHeight="1" x14ac:dyDescent="0.35">
      <c r="A26" s="247" t="s">
        <v>356</v>
      </c>
      <c r="B26" s="247" t="s">
        <v>183</v>
      </c>
      <c r="C26" s="247" t="s">
        <v>127</v>
      </c>
      <c r="D26" s="248">
        <v>92121604</v>
      </c>
      <c r="E26" s="249" t="s">
        <v>390</v>
      </c>
      <c r="F26" s="247" t="s">
        <v>391</v>
      </c>
      <c r="G26" s="250" t="s">
        <v>67</v>
      </c>
      <c r="H26" s="250" t="s">
        <v>67</v>
      </c>
      <c r="I26" s="251">
        <v>365</v>
      </c>
      <c r="J26" s="252" t="s">
        <v>381</v>
      </c>
      <c r="K26" s="253">
        <v>114000000</v>
      </c>
      <c r="L26" s="254">
        <v>0.19</v>
      </c>
      <c r="M26" s="255">
        <v>21660000</v>
      </c>
      <c r="N26" s="256">
        <v>135660000</v>
      </c>
      <c r="O26" s="257" t="s">
        <v>365</v>
      </c>
      <c r="P26" s="258" t="s">
        <v>91</v>
      </c>
      <c r="Q26" s="259">
        <v>135660000</v>
      </c>
      <c r="R26" s="259">
        <v>0</v>
      </c>
      <c r="S26" s="259">
        <v>0</v>
      </c>
      <c r="T26" s="259">
        <v>0</v>
      </c>
      <c r="U26" s="247" t="s">
        <v>389</v>
      </c>
    </row>
    <row r="27" spans="1:21" ht="41.5" hidden="1" customHeight="1" x14ac:dyDescent="0.35">
      <c r="A27" s="247" t="s">
        <v>356</v>
      </c>
      <c r="B27" s="247" t="s">
        <v>183</v>
      </c>
      <c r="C27" s="247" t="s">
        <v>127</v>
      </c>
      <c r="D27" s="248">
        <v>80101500</v>
      </c>
      <c r="E27" s="249" t="s">
        <v>363</v>
      </c>
      <c r="F27" s="262" t="s">
        <v>392</v>
      </c>
      <c r="G27" s="250" t="s">
        <v>66</v>
      </c>
      <c r="H27" s="250" t="s">
        <v>66</v>
      </c>
      <c r="I27" s="251">
        <v>229</v>
      </c>
      <c r="J27" s="252" t="s">
        <v>359</v>
      </c>
      <c r="K27" s="253">
        <v>20000000</v>
      </c>
      <c r="L27" s="254">
        <v>0</v>
      </c>
      <c r="M27" s="255">
        <v>0</v>
      </c>
      <c r="N27" s="256">
        <v>20000000</v>
      </c>
      <c r="O27" s="257" t="s">
        <v>365</v>
      </c>
      <c r="P27" s="258" t="s">
        <v>91</v>
      </c>
      <c r="Q27" s="259">
        <v>20000000</v>
      </c>
      <c r="R27" s="259">
        <v>0</v>
      </c>
      <c r="S27" s="259">
        <v>0</v>
      </c>
      <c r="T27" s="259">
        <v>0</v>
      </c>
      <c r="U27" s="247" t="s">
        <v>393</v>
      </c>
    </row>
    <row r="28" spans="1:21" ht="41.5" hidden="1" customHeight="1" x14ac:dyDescent="0.35">
      <c r="A28" s="247" t="s">
        <v>356</v>
      </c>
      <c r="B28" s="247" t="s">
        <v>183</v>
      </c>
      <c r="C28" s="247" t="s">
        <v>127</v>
      </c>
      <c r="D28" s="248">
        <v>80101500</v>
      </c>
      <c r="E28" s="249" t="s">
        <v>363</v>
      </c>
      <c r="F28" s="247" t="s">
        <v>394</v>
      </c>
      <c r="G28" s="250" t="s">
        <v>68</v>
      </c>
      <c r="H28" s="250" t="s">
        <v>69</v>
      </c>
      <c r="I28" s="251">
        <v>120</v>
      </c>
      <c r="J28" s="252" t="s">
        <v>381</v>
      </c>
      <c r="K28" s="253">
        <v>94382880</v>
      </c>
      <c r="L28" s="254">
        <v>0.19</v>
      </c>
      <c r="M28" s="255">
        <v>17932747.199999999</v>
      </c>
      <c r="N28" s="256">
        <v>112315627.2</v>
      </c>
      <c r="O28" s="257" t="s">
        <v>365</v>
      </c>
      <c r="P28" s="258" t="s">
        <v>91</v>
      </c>
      <c r="Q28" s="259">
        <v>112315627</v>
      </c>
      <c r="R28" s="259">
        <v>0</v>
      </c>
      <c r="S28" s="259">
        <v>0</v>
      </c>
      <c r="T28" s="259">
        <v>0</v>
      </c>
      <c r="U28" s="247" t="s">
        <v>395</v>
      </c>
    </row>
    <row r="29" spans="1:21" ht="41.5" hidden="1" customHeight="1" x14ac:dyDescent="0.35">
      <c r="A29" s="247" t="s">
        <v>356</v>
      </c>
      <c r="B29" s="247" t="s">
        <v>183</v>
      </c>
      <c r="C29" s="247" t="s">
        <v>183</v>
      </c>
      <c r="D29" s="248">
        <v>80101500</v>
      </c>
      <c r="E29" s="249" t="s">
        <v>363</v>
      </c>
      <c r="F29" s="247" t="s">
        <v>396</v>
      </c>
      <c r="G29" s="250" t="s">
        <v>66</v>
      </c>
      <c r="H29" s="250" t="s">
        <v>66</v>
      </c>
      <c r="I29" s="251">
        <v>240</v>
      </c>
      <c r="J29" s="252" t="s">
        <v>359</v>
      </c>
      <c r="K29" s="253">
        <v>56366649</v>
      </c>
      <c r="L29" s="254">
        <v>0.19</v>
      </c>
      <c r="M29" s="255">
        <v>10709663.310000001</v>
      </c>
      <c r="N29" s="256">
        <v>67076312.310000002</v>
      </c>
      <c r="O29" s="257" t="s">
        <v>365</v>
      </c>
      <c r="P29" s="258" t="s">
        <v>91</v>
      </c>
      <c r="Q29" s="259">
        <v>67076312.310000002</v>
      </c>
      <c r="R29" s="259">
        <v>0</v>
      </c>
      <c r="S29" s="259">
        <v>0</v>
      </c>
      <c r="T29" s="259">
        <v>0</v>
      </c>
      <c r="U29" s="247" t="s">
        <v>397</v>
      </c>
    </row>
    <row r="30" spans="1:21" ht="41.5" hidden="1" customHeight="1" x14ac:dyDescent="0.35">
      <c r="A30" s="247" t="s">
        <v>356</v>
      </c>
      <c r="B30" s="247" t="s">
        <v>183</v>
      </c>
      <c r="C30" s="247" t="s">
        <v>183</v>
      </c>
      <c r="D30" s="248">
        <v>80101500</v>
      </c>
      <c r="E30" s="249" t="s">
        <v>363</v>
      </c>
      <c r="F30" s="247" t="s">
        <v>398</v>
      </c>
      <c r="G30" s="250" t="s">
        <v>72</v>
      </c>
      <c r="H30" s="250" t="s">
        <v>72</v>
      </c>
      <c r="I30" s="251">
        <v>180</v>
      </c>
      <c r="J30" s="252" t="s">
        <v>359</v>
      </c>
      <c r="K30" s="253">
        <v>204568830</v>
      </c>
      <c r="L30" s="254">
        <v>0.19</v>
      </c>
      <c r="M30" s="255">
        <v>38868077.700000003</v>
      </c>
      <c r="N30" s="256">
        <v>243436907.69999999</v>
      </c>
      <c r="O30" s="257" t="s">
        <v>365</v>
      </c>
      <c r="P30" s="258" t="s">
        <v>91</v>
      </c>
      <c r="Q30" s="259">
        <v>243436907.69999999</v>
      </c>
      <c r="R30" s="259">
        <v>0</v>
      </c>
      <c r="S30" s="259">
        <v>0</v>
      </c>
      <c r="T30" s="259">
        <v>0</v>
      </c>
      <c r="U30" s="247" t="s">
        <v>397</v>
      </c>
    </row>
    <row r="31" spans="1:21" ht="41.5" hidden="1" customHeight="1" x14ac:dyDescent="0.35">
      <c r="A31" s="247" t="s">
        <v>356</v>
      </c>
      <c r="B31" s="247" t="s">
        <v>183</v>
      </c>
      <c r="C31" s="247" t="s">
        <v>399</v>
      </c>
      <c r="D31" s="248">
        <v>93151507</v>
      </c>
      <c r="E31" s="249" t="s">
        <v>400</v>
      </c>
      <c r="F31" s="247" t="s">
        <v>401</v>
      </c>
      <c r="G31" s="250" t="s">
        <v>66</v>
      </c>
      <c r="H31" s="250" t="s">
        <v>66</v>
      </c>
      <c r="I31" s="251">
        <v>240</v>
      </c>
      <c r="J31" s="252" t="s">
        <v>359</v>
      </c>
      <c r="K31" s="253">
        <v>64400000</v>
      </c>
      <c r="L31" s="254">
        <v>0</v>
      </c>
      <c r="M31" s="255">
        <v>0</v>
      </c>
      <c r="N31" s="256">
        <v>64400000</v>
      </c>
      <c r="O31" s="257" t="s">
        <v>365</v>
      </c>
      <c r="P31" s="258" t="s">
        <v>91</v>
      </c>
      <c r="Q31" s="259">
        <v>64400000</v>
      </c>
      <c r="R31" s="259">
        <v>0</v>
      </c>
      <c r="S31" s="259">
        <v>0</v>
      </c>
      <c r="T31" s="259">
        <v>0</v>
      </c>
      <c r="U31" s="247" t="s">
        <v>402</v>
      </c>
    </row>
    <row r="32" spans="1:21" ht="41.5" hidden="1" customHeight="1" x14ac:dyDescent="0.35">
      <c r="A32" s="247" t="s">
        <v>356</v>
      </c>
      <c r="B32" s="247" t="s">
        <v>183</v>
      </c>
      <c r="C32" s="247" t="s">
        <v>399</v>
      </c>
      <c r="D32" s="261">
        <v>84111600</v>
      </c>
      <c r="E32" s="249" t="s">
        <v>403</v>
      </c>
      <c r="F32" s="247" t="s">
        <v>404</v>
      </c>
      <c r="G32" s="250" t="s">
        <v>73</v>
      </c>
      <c r="H32" s="250" t="s">
        <v>74</v>
      </c>
      <c r="I32" s="251">
        <v>60</v>
      </c>
      <c r="J32" s="252" t="s">
        <v>359</v>
      </c>
      <c r="K32" s="253">
        <v>167249465</v>
      </c>
      <c r="L32" s="254">
        <v>0.19</v>
      </c>
      <c r="M32" s="255">
        <v>31777398.350000001</v>
      </c>
      <c r="N32" s="256">
        <v>199026863.34999999</v>
      </c>
      <c r="O32" s="257" t="s">
        <v>365</v>
      </c>
      <c r="P32" s="258" t="s">
        <v>91</v>
      </c>
      <c r="Q32" s="259">
        <v>199026863</v>
      </c>
      <c r="R32" s="259">
        <v>0</v>
      </c>
      <c r="S32" s="259">
        <v>0</v>
      </c>
      <c r="T32" s="259">
        <v>0</v>
      </c>
      <c r="U32" s="247" t="s">
        <v>402</v>
      </c>
    </row>
    <row r="33" spans="1:21" ht="41.5" hidden="1" customHeight="1" x14ac:dyDescent="0.35">
      <c r="A33" s="247" t="s">
        <v>356</v>
      </c>
      <c r="B33" s="247" t="s">
        <v>150</v>
      </c>
      <c r="C33" s="247" t="s">
        <v>132</v>
      </c>
      <c r="D33" s="261">
        <v>80111600</v>
      </c>
      <c r="E33" s="249" t="s">
        <v>405</v>
      </c>
      <c r="F33" s="247" t="s">
        <v>406</v>
      </c>
      <c r="G33" s="250" t="s">
        <v>71</v>
      </c>
      <c r="H33" s="250" t="s">
        <v>73</v>
      </c>
      <c r="I33" s="251">
        <v>360</v>
      </c>
      <c r="J33" s="252" t="s">
        <v>373</v>
      </c>
      <c r="K33" s="253">
        <v>11489774253</v>
      </c>
      <c r="L33" s="254"/>
      <c r="M33" s="255">
        <v>198459737.10307601</v>
      </c>
      <c r="N33" s="256">
        <v>11688233990.103077</v>
      </c>
      <c r="O33" s="257" t="s">
        <v>365</v>
      </c>
      <c r="P33" s="258" t="s">
        <v>91</v>
      </c>
      <c r="Q33" s="259">
        <v>11688233990.103077</v>
      </c>
      <c r="R33" s="259">
        <v>0</v>
      </c>
      <c r="S33" s="259">
        <v>0</v>
      </c>
      <c r="T33" s="259">
        <v>0</v>
      </c>
      <c r="U33" s="247" t="s">
        <v>407</v>
      </c>
    </row>
    <row r="34" spans="1:21" ht="41.5" hidden="1" customHeight="1" x14ac:dyDescent="0.35">
      <c r="A34" s="247" t="s">
        <v>356</v>
      </c>
      <c r="B34" s="247" t="s">
        <v>150</v>
      </c>
      <c r="C34" s="247" t="s">
        <v>132</v>
      </c>
      <c r="D34" s="261">
        <v>84131601</v>
      </c>
      <c r="E34" s="249" t="s">
        <v>408</v>
      </c>
      <c r="F34" s="247" t="s">
        <v>409</v>
      </c>
      <c r="G34" s="250" t="s">
        <v>71</v>
      </c>
      <c r="H34" s="250" t="s">
        <v>73</v>
      </c>
      <c r="I34" s="251">
        <v>360</v>
      </c>
      <c r="J34" s="252" t="s">
        <v>373</v>
      </c>
      <c r="K34" s="253">
        <v>1700000000</v>
      </c>
      <c r="L34" s="254">
        <v>0</v>
      </c>
      <c r="M34" s="255">
        <v>0</v>
      </c>
      <c r="N34" s="256">
        <v>1700000000</v>
      </c>
      <c r="O34" s="257" t="s">
        <v>365</v>
      </c>
      <c r="P34" s="258" t="s">
        <v>91</v>
      </c>
      <c r="Q34" s="259">
        <v>1700000000</v>
      </c>
      <c r="R34" s="259">
        <v>0</v>
      </c>
      <c r="S34" s="259">
        <v>0</v>
      </c>
      <c r="T34" s="259">
        <v>0</v>
      </c>
      <c r="U34" s="247" t="s">
        <v>407</v>
      </c>
    </row>
    <row r="35" spans="1:21" ht="41.5" hidden="1" customHeight="1" x14ac:dyDescent="0.35">
      <c r="A35" s="247" t="s">
        <v>356</v>
      </c>
      <c r="B35" s="247" t="s">
        <v>150</v>
      </c>
      <c r="C35" s="247" t="s">
        <v>410</v>
      </c>
      <c r="D35" s="261">
        <v>80131702</v>
      </c>
      <c r="E35" s="249" t="s">
        <v>411</v>
      </c>
      <c r="F35" s="247" t="s">
        <v>412</v>
      </c>
      <c r="G35" s="263" t="s">
        <v>66</v>
      </c>
      <c r="H35" s="263" t="s">
        <v>66</v>
      </c>
      <c r="I35" s="251">
        <v>365</v>
      </c>
      <c r="J35" s="252" t="s">
        <v>359</v>
      </c>
      <c r="K35" s="253">
        <v>11479560</v>
      </c>
      <c r="L35" s="254">
        <v>0.19</v>
      </c>
      <c r="M35" s="255">
        <v>2181116.4</v>
      </c>
      <c r="N35" s="256">
        <v>13660676.4</v>
      </c>
      <c r="O35" s="257" t="s">
        <v>365</v>
      </c>
      <c r="P35" s="258" t="s">
        <v>91</v>
      </c>
      <c r="Q35" s="259">
        <v>13660676</v>
      </c>
      <c r="R35" s="259">
        <v>0</v>
      </c>
      <c r="S35" s="259">
        <v>0</v>
      </c>
      <c r="T35" s="259">
        <v>0</v>
      </c>
      <c r="U35" s="247" t="s">
        <v>413</v>
      </c>
    </row>
    <row r="36" spans="1:21" ht="41.5" hidden="1" customHeight="1" x14ac:dyDescent="0.35">
      <c r="A36" s="247" t="s">
        <v>356</v>
      </c>
      <c r="B36" s="247" t="s">
        <v>150</v>
      </c>
      <c r="C36" s="247" t="s">
        <v>410</v>
      </c>
      <c r="D36" s="261">
        <v>80111504</v>
      </c>
      <c r="E36" s="249" t="s">
        <v>414</v>
      </c>
      <c r="F36" s="247" t="s">
        <v>415</v>
      </c>
      <c r="G36" s="250" t="s">
        <v>70</v>
      </c>
      <c r="H36" s="250" t="s">
        <v>70</v>
      </c>
      <c r="I36" s="251">
        <v>210</v>
      </c>
      <c r="J36" s="252" t="s">
        <v>381</v>
      </c>
      <c r="K36" s="253">
        <v>88151786</v>
      </c>
      <c r="L36" s="254">
        <v>0.19</v>
      </c>
      <c r="M36" s="255">
        <v>16748839.34</v>
      </c>
      <c r="N36" s="256">
        <v>104900625.34</v>
      </c>
      <c r="O36" s="257" t="s">
        <v>365</v>
      </c>
      <c r="P36" s="258" t="s">
        <v>91</v>
      </c>
      <c r="Q36" s="259">
        <v>104900625</v>
      </c>
      <c r="R36" s="259">
        <v>0</v>
      </c>
      <c r="S36" s="259">
        <v>0</v>
      </c>
      <c r="T36" s="259">
        <v>0</v>
      </c>
      <c r="U36" s="247" t="s">
        <v>413</v>
      </c>
    </row>
    <row r="37" spans="1:21" ht="41.5" hidden="1" customHeight="1" x14ac:dyDescent="0.35">
      <c r="A37" s="247" t="s">
        <v>356</v>
      </c>
      <c r="B37" s="247" t="s">
        <v>150</v>
      </c>
      <c r="C37" s="247" t="s">
        <v>410</v>
      </c>
      <c r="D37" s="261">
        <v>80111703</v>
      </c>
      <c r="E37" s="249" t="s">
        <v>416</v>
      </c>
      <c r="F37" s="247" t="s">
        <v>417</v>
      </c>
      <c r="G37" s="250" t="s">
        <v>77</v>
      </c>
      <c r="H37" s="250" t="s">
        <v>77</v>
      </c>
      <c r="I37" s="251">
        <v>365</v>
      </c>
      <c r="J37" s="252" t="s">
        <v>359</v>
      </c>
      <c r="K37" s="253">
        <v>16999287</v>
      </c>
      <c r="L37" s="254">
        <v>0.19</v>
      </c>
      <c r="M37" s="255">
        <v>3229864.5300000003</v>
      </c>
      <c r="N37" s="256">
        <v>20229151.530000001</v>
      </c>
      <c r="O37" s="257" t="s">
        <v>365</v>
      </c>
      <c r="P37" s="258" t="s">
        <v>91</v>
      </c>
      <c r="Q37" s="259">
        <v>20229152</v>
      </c>
      <c r="R37" s="259">
        <v>0</v>
      </c>
      <c r="S37" s="259">
        <v>0</v>
      </c>
      <c r="T37" s="259">
        <v>0</v>
      </c>
      <c r="U37" s="247" t="s">
        <v>413</v>
      </c>
    </row>
    <row r="38" spans="1:21" ht="41.5" hidden="1" customHeight="1" x14ac:dyDescent="0.35">
      <c r="A38" s="247" t="s">
        <v>356</v>
      </c>
      <c r="B38" s="247" t="s">
        <v>150</v>
      </c>
      <c r="C38" s="247" t="s">
        <v>410</v>
      </c>
      <c r="D38" s="261">
        <v>93131608</v>
      </c>
      <c r="E38" s="249" t="s">
        <v>418</v>
      </c>
      <c r="F38" s="247" t="s">
        <v>419</v>
      </c>
      <c r="G38" s="264" t="s">
        <v>66</v>
      </c>
      <c r="H38" s="263" t="s">
        <v>66</v>
      </c>
      <c r="I38" s="251">
        <v>365</v>
      </c>
      <c r="J38" s="252" t="s">
        <v>359</v>
      </c>
      <c r="K38" s="253">
        <v>20000000</v>
      </c>
      <c r="L38" s="254">
        <v>0.19</v>
      </c>
      <c r="M38" s="255">
        <v>3800000</v>
      </c>
      <c r="N38" s="256">
        <v>23800000</v>
      </c>
      <c r="O38" s="257" t="s">
        <v>365</v>
      </c>
      <c r="P38" s="258" t="s">
        <v>91</v>
      </c>
      <c r="Q38" s="259">
        <v>23800000</v>
      </c>
      <c r="R38" s="259">
        <v>0</v>
      </c>
      <c r="S38" s="259">
        <v>0</v>
      </c>
      <c r="T38" s="259">
        <v>0</v>
      </c>
      <c r="U38" s="247" t="s">
        <v>413</v>
      </c>
    </row>
    <row r="39" spans="1:21" ht="41.5" hidden="1" customHeight="1" x14ac:dyDescent="0.35">
      <c r="A39" s="247" t="s">
        <v>356</v>
      </c>
      <c r="B39" s="247" t="s">
        <v>150</v>
      </c>
      <c r="C39" s="247" t="s">
        <v>410</v>
      </c>
      <c r="D39" s="261">
        <v>80111504</v>
      </c>
      <c r="E39" s="249" t="s">
        <v>414</v>
      </c>
      <c r="F39" s="247" t="s">
        <v>420</v>
      </c>
      <c r="G39" s="263" t="s">
        <v>66</v>
      </c>
      <c r="H39" s="263" t="s">
        <v>66</v>
      </c>
      <c r="I39" s="251">
        <v>365</v>
      </c>
      <c r="J39" s="252" t="s">
        <v>359</v>
      </c>
      <c r="K39" s="253">
        <v>16647480</v>
      </c>
      <c r="L39" s="254">
        <v>0.19</v>
      </c>
      <c r="M39" s="255">
        <v>3163021.2</v>
      </c>
      <c r="N39" s="256">
        <v>19810501.199999999</v>
      </c>
      <c r="O39" s="257" t="s">
        <v>365</v>
      </c>
      <c r="P39" s="258" t="s">
        <v>91</v>
      </c>
      <c r="Q39" s="259">
        <v>19810501</v>
      </c>
      <c r="R39" s="259">
        <v>0</v>
      </c>
      <c r="S39" s="259">
        <v>0</v>
      </c>
      <c r="T39" s="259">
        <v>0</v>
      </c>
      <c r="U39" s="247" t="s">
        <v>413</v>
      </c>
    </row>
    <row r="40" spans="1:21" ht="41.5" hidden="1" customHeight="1" x14ac:dyDescent="0.35">
      <c r="A40" s="247" t="s">
        <v>356</v>
      </c>
      <c r="B40" s="247" t="s">
        <v>150</v>
      </c>
      <c r="C40" s="247" t="s">
        <v>410</v>
      </c>
      <c r="D40" s="261">
        <v>80111504</v>
      </c>
      <c r="E40" s="249" t="s">
        <v>414</v>
      </c>
      <c r="F40" s="247" t="s">
        <v>420</v>
      </c>
      <c r="G40" s="264" t="s">
        <v>66</v>
      </c>
      <c r="H40" s="263" t="s">
        <v>66</v>
      </c>
      <c r="I40" s="251">
        <v>365</v>
      </c>
      <c r="J40" s="252" t="s">
        <v>359</v>
      </c>
      <c r="K40" s="253">
        <v>33294960</v>
      </c>
      <c r="L40" s="254">
        <v>0.19</v>
      </c>
      <c r="M40" s="255">
        <v>6326042.4000000004</v>
      </c>
      <c r="N40" s="256">
        <v>39621002.399999999</v>
      </c>
      <c r="O40" s="257" t="s">
        <v>365</v>
      </c>
      <c r="P40" s="258" t="s">
        <v>91</v>
      </c>
      <c r="Q40" s="265">
        <v>29621002</v>
      </c>
      <c r="R40" s="259">
        <v>0</v>
      </c>
      <c r="S40" s="259">
        <v>0</v>
      </c>
      <c r="T40" s="259">
        <v>0</v>
      </c>
      <c r="U40" s="247" t="s">
        <v>413</v>
      </c>
    </row>
    <row r="41" spans="1:21" ht="41.5" hidden="1" customHeight="1" x14ac:dyDescent="0.35">
      <c r="A41" s="247" t="s">
        <v>356</v>
      </c>
      <c r="B41" s="247" t="s">
        <v>150</v>
      </c>
      <c r="C41" s="247" t="s">
        <v>410</v>
      </c>
      <c r="D41" s="261">
        <v>80111504</v>
      </c>
      <c r="E41" s="249" t="s">
        <v>414</v>
      </c>
      <c r="F41" s="247" t="s">
        <v>421</v>
      </c>
      <c r="G41" s="263" t="s">
        <v>66</v>
      </c>
      <c r="H41" s="263" t="s">
        <v>66</v>
      </c>
      <c r="I41" s="251">
        <v>365</v>
      </c>
      <c r="J41" s="252" t="s">
        <v>359</v>
      </c>
      <c r="K41" s="253">
        <v>23800000</v>
      </c>
      <c r="L41" s="254">
        <v>0.19</v>
      </c>
      <c r="M41" s="255">
        <v>4522000</v>
      </c>
      <c r="N41" s="256">
        <v>28322000</v>
      </c>
      <c r="O41" s="257" t="s">
        <v>365</v>
      </c>
      <c r="P41" s="258" t="s">
        <v>91</v>
      </c>
      <c r="Q41" s="259">
        <v>28322000</v>
      </c>
      <c r="R41" s="259">
        <v>0</v>
      </c>
      <c r="S41" s="259">
        <v>0</v>
      </c>
      <c r="T41" s="259">
        <v>0</v>
      </c>
      <c r="U41" s="247" t="s">
        <v>413</v>
      </c>
    </row>
    <row r="42" spans="1:21" ht="41.5" hidden="1" customHeight="1" x14ac:dyDescent="0.35">
      <c r="A42" s="247" t="s">
        <v>356</v>
      </c>
      <c r="B42" s="247" t="s">
        <v>150</v>
      </c>
      <c r="C42" s="247" t="s">
        <v>410</v>
      </c>
      <c r="D42" s="261">
        <v>80111703</v>
      </c>
      <c r="E42" s="249" t="s">
        <v>416</v>
      </c>
      <c r="F42" s="247" t="s">
        <v>422</v>
      </c>
      <c r="G42" s="250" t="s">
        <v>66</v>
      </c>
      <c r="H42" s="250" t="s">
        <v>66</v>
      </c>
      <c r="I42" s="251">
        <v>720</v>
      </c>
      <c r="J42" s="252" t="s">
        <v>381</v>
      </c>
      <c r="K42" s="253">
        <v>317122848</v>
      </c>
      <c r="L42" s="254">
        <v>0.19</v>
      </c>
      <c r="M42" s="255">
        <v>60253341.119999997</v>
      </c>
      <c r="N42" s="256">
        <v>377376189.12</v>
      </c>
      <c r="O42" s="257" t="s">
        <v>360</v>
      </c>
      <c r="P42" s="258" t="s">
        <v>374</v>
      </c>
      <c r="Q42" s="259">
        <v>188688095</v>
      </c>
      <c r="R42" s="259">
        <v>188688095</v>
      </c>
      <c r="S42" s="259">
        <v>0</v>
      </c>
      <c r="T42" s="259">
        <v>0</v>
      </c>
      <c r="U42" s="247" t="s">
        <v>413</v>
      </c>
    </row>
    <row r="43" spans="1:21" ht="41.5" hidden="1" customHeight="1" x14ac:dyDescent="0.35">
      <c r="A43" s="247" t="s">
        <v>356</v>
      </c>
      <c r="B43" s="247" t="s">
        <v>150</v>
      </c>
      <c r="C43" s="247" t="s">
        <v>410</v>
      </c>
      <c r="D43" s="261">
        <v>80111504</v>
      </c>
      <c r="E43" s="249" t="s">
        <v>414</v>
      </c>
      <c r="F43" s="247" t="s">
        <v>423</v>
      </c>
      <c r="G43" s="250" t="s">
        <v>72</v>
      </c>
      <c r="H43" s="250" t="s">
        <v>77</v>
      </c>
      <c r="I43" s="251">
        <v>180</v>
      </c>
      <c r="J43" s="252" t="s">
        <v>359</v>
      </c>
      <c r="K43" s="253">
        <v>80000000</v>
      </c>
      <c r="L43" s="254">
        <v>0.19</v>
      </c>
      <c r="M43" s="255">
        <v>15200000</v>
      </c>
      <c r="N43" s="256">
        <v>95200000</v>
      </c>
      <c r="O43" s="257" t="s">
        <v>365</v>
      </c>
      <c r="P43" s="258" t="s">
        <v>91</v>
      </c>
      <c r="Q43" s="259">
        <v>95200000</v>
      </c>
      <c r="R43" s="259">
        <v>0</v>
      </c>
      <c r="S43" s="259">
        <v>0</v>
      </c>
      <c r="T43" s="259">
        <v>0</v>
      </c>
      <c r="U43" s="247" t="s">
        <v>413</v>
      </c>
    </row>
    <row r="44" spans="1:21" ht="41.5" hidden="1" customHeight="1" x14ac:dyDescent="0.35">
      <c r="A44" s="247" t="s">
        <v>356</v>
      </c>
      <c r="B44" s="247" t="s">
        <v>150</v>
      </c>
      <c r="C44" s="247" t="s">
        <v>410</v>
      </c>
      <c r="D44" s="261">
        <v>80111504</v>
      </c>
      <c r="E44" s="249" t="s">
        <v>414</v>
      </c>
      <c r="F44" s="247" t="s">
        <v>424</v>
      </c>
      <c r="G44" s="250" t="s">
        <v>72</v>
      </c>
      <c r="H44" s="250" t="s">
        <v>77</v>
      </c>
      <c r="I44" s="251">
        <v>180</v>
      </c>
      <c r="J44" s="252" t="s">
        <v>359</v>
      </c>
      <c r="K44" s="253">
        <v>96926554</v>
      </c>
      <c r="L44" s="254">
        <v>0.19</v>
      </c>
      <c r="M44" s="255">
        <v>18416045.260000002</v>
      </c>
      <c r="N44" s="256">
        <v>115342599.26000001</v>
      </c>
      <c r="O44" s="257" t="s">
        <v>365</v>
      </c>
      <c r="P44" s="258" t="s">
        <v>91</v>
      </c>
      <c r="Q44" s="259">
        <v>115342599</v>
      </c>
      <c r="R44" s="259">
        <v>0</v>
      </c>
      <c r="S44" s="259">
        <v>0</v>
      </c>
      <c r="T44" s="259">
        <v>0</v>
      </c>
      <c r="U44" s="247" t="s">
        <v>413</v>
      </c>
    </row>
    <row r="45" spans="1:21" ht="41.5" hidden="1" customHeight="1" x14ac:dyDescent="0.35">
      <c r="A45" s="247" t="s">
        <v>356</v>
      </c>
      <c r="B45" s="247" t="s">
        <v>150</v>
      </c>
      <c r="C45" s="247" t="s">
        <v>410</v>
      </c>
      <c r="D45" s="261">
        <v>80111504</v>
      </c>
      <c r="E45" s="249" t="s">
        <v>414</v>
      </c>
      <c r="F45" s="247" t="s">
        <v>425</v>
      </c>
      <c r="G45" s="250" t="s">
        <v>72</v>
      </c>
      <c r="H45" s="250" t="s">
        <v>77</v>
      </c>
      <c r="I45" s="251">
        <v>180</v>
      </c>
      <c r="J45" s="252" t="s">
        <v>359</v>
      </c>
      <c r="K45" s="253">
        <v>70796229</v>
      </c>
      <c r="L45" s="254">
        <v>0.19</v>
      </c>
      <c r="M45" s="255">
        <v>13451283.51</v>
      </c>
      <c r="N45" s="256">
        <v>84247512.510000005</v>
      </c>
      <c r="O45" s="257" t="s">
        <v>365</v>
      </c>
      <c r="P45" s="258" t="s">
        <v>91</v>
      </c>
      <c r="Q45" s="259">
        <v>84247513</v>
      </c>
      <c r="R45" s="259">
        <v>0</v>
      </c>
      <c r="S45" s="259">
        <v>0</v>
      </c>
      <c r="T45" s="259">
        <v>0</v>
      </c>
      <c r="U45" s="247" t="s">
        <v>413</v>
      </c>
    </row>
    <row r="46" spans="1:21" ht="41.5" hidden="1" customHeight="1" x14ac:dyDescent="0.35">
      <c r="A46" s="247" t="s">
        <v>356</v>
      </c>
      <c r="B46" s="247" t="s">
        <v>150</v>
      </c>
      <c r="C46" s="247" t="s">
        <v>410</v>
      </c>
      <c r="D46" s="261">
        <v>84111600</v>
      </c>
      <c r="E46" s="249" t="s">
        <v>403</v>
      </c>
      <c r="F46" s="247" t="s">
        <v>426</v>
      </c>
      <c r="G46" s="263" t="s">
        <v>66</v>
      </c>
      <c r="H46" s="263" t="s">
        <v>66</v>
      </c>
      <c r="I46" s="251">
        <v>180</v>
      </c>
      <c r="J46" s="252" t="s">
        <v>359</v>
      </c>
      <c r="K46" s="253">
        <v>35000000</v>
      </c>
      <c r="L46" s="254">
        <v>0.19</v>
      </c>
      <c r="M46" s="255">
        <v>6650000</v>
      </c>
      <c r="N46" s="256">
        <v>41650000</v>
      </c>
      <c r="O46" s="257" t="s">
        <v>365</v>
      </c>
      <c r="P46" s="258" t="s">
        <v>91</v>
      </c>
      <c r="Q46" s="259">
        <v>41650000</v>
      </c>
      <c r="R46" s="259">
        <v>0</v>
      </c>
      <c r="S46" s="259">
        <v>0</v>
      </c>
      <c r="T46" s="259">
        <v>0</v>
      </c>
      <c r="U46" s="247" t="s">
        <v>413</v>
      </c>
    </row>
    <row r="47" spans="1:21" ht="41.5" hidden="1" customHeight="1" x14ac:dyDescent="0.35">
      <c r="A47" s="247" t="s">
        <v>356</v>
      </c>
      <c r="B47" s="247" t="s">
        <v>150</v>
      </c>
      <c r="C47" s="247" t="s">
        <v>427</v>
      </c>
      <c r="D47" s="261">
        <v>90141500</v>
      </c>
      <c r="E47" s="249" t="s">
        <v>428</v>
      </c>
      <c r="F47" s="247" t="s">
        <v>429</v>
      </c>
      <c r="G47" s="264" t="s">
        <v>66</v>
      </c>
      <c r="H47" s="263" t="s">
        <v>66</v>
      </c>
      <c r="I47" s="251">
        <v>240</v>
      </c>
      <c r="J47" s="252" t="s">
        <v>359</v>
      </c>
      <c r="K47" s="253">
        <v>25000000</v>
      </c>
      <c r="L47" s="254">
        <v>0</v>
      </c>
      <c r="M47" s="255">
        <v>0</v>
      </c>
      <c r="N47" s="256">
        <v>25000000</v>
      </c>
      <c r="O47" s="257" t="s">
        <v>365</v>
      </c>
      <c r="P47" s="258" t="s">
        <v>91</v>
      </c>
      <c r="Q47" s="259">
        <v>25000000</v>
      </c>
      <c r="R47" s="259">
        <v>0</v>
      </c>
      <c r="S47" s="259">
        <v>0</v>
      </c>
      <c r="T47" s="259">
        <v>0</v>
      </c>
      <c r="U47" s="247" t="s">
        <v>430</v>
      </c>
    </row>
    <row r="48" spans="1:21" ht="41.5" hidden="1" customHeight="1" x14ac:dyDescent="0.35">
      <c r="A48" s="247" t="s">
        <v>356</v>
      </c>
      <c r="B48" s="247" t="s">
        <v>150</v>
      </c>
      <c r="C48" s="247" t="s">
        <v>427</v>
      </c>
      <c r="D48" s="261">
        <v>90141500</v>
      </c>
      <c r="E48" s="249" t="s">
        <v>428</v>
      </c>
      <c r="F48" s="247" t="s">
        <v>431</v>
      </c>
      <c r="G48" s="264" t="s">
        <v>66</v>
      </c>
      <c r="H48" s="263" t="s">
        <v>66</v>
      </c>
      <c r="I48" s="251">
        <v>240</v>
      </c>
      <c r="J48" s="252" t="s">
        <v>359</v>
      </c>
      <c r="K48" s="253">
        <v>24450000</v>
      </c>
      <c r="L48" s="254">
        <v>0</v>
      </c>
      <c r="M48" s="255">
        <v>0</v>
      </c>
      <c r="N48" s="256">
        <v>24450000</v>
      </c>
      <c r="O48" s="257" t="s">
        <v>365</v>
      </c>
      <c r="P48" s="258" t="s">
        <v>91</v>
      </c>
      <c r="Q48" s="259">
        <v>24450000</v>
      </c>
      <c r="R48" s="259">
        <v>0</v>
      </c>
      <c r="S48" s="259">
        <v>0</v>
      </c>
      <c r="T48" s="259">
        <v>0</v>
      </c>
      <c r="U48" s="247" t="s">
        <v>430</v>
      </c>
    </row>
    <row r="49" spans="1:21" ht="41.5" hidden="1" customHeight="1" x14ac:dyDescent="0.35">
      <c r="A49" s="247" t="s">
        <v>356</v>
      </c>
      <c r="B49" s="247" t="s">
        <v>150</v>
      </c>
      <c r="C49" s="247" t="s">
        <v>427</v>
      </c>
      <c r="D49" s="261">
        <v>90141500</v>
      </c>
      <c r="E49" s="249" t="s">
        <v>428</v>
      </c>
      <c r="F49" s="247" t="s">
        <v>432</v>
      </c>
      <c r="G49" s="264" t="s">
        <v>66</v>
      </c>
      <c r="H49" s="263" t="s">
        <v>66</v>
      </c>
      <c r="I49" s="251">
        <v>240</v>
      </c>
      <c r="J49" s="252" t="s">
        <v>359</v>
      </c>
      <c r="K49" s="253">
        <v>14480000</v>
      </c>
      <c r="L49" s="254">
        <v>0</v>
      </c>
      <c r="M49" s="255">
        <v>0</v>
      </c>
      <c r="N49" s="256">
        <v>14480000</v>
      </c>
      <c r="O49" s="257" t="s">
        <v>365</v>
      </c>
      <c r="P49" s="258" t="s">
        <v>91</v>
      </c>
      <c r="Q49" s="259">
        <v>14480000</v>
      </c>
      <c r="R49" s="259">
        <v>0</v>
      </c>
      <c r="S49" s="259">
        <v>0</v>
      </c>
      <c r="T49" s="259">
        <v>0</v>
      </c>
      <c r="U49" s="247" t="s">
        <v>430</v>
      </c>
    </row>
    <row r="50" spans="1:21" ht="41.5" hidden="1" customHeight="1" x14ac:dyDescent="0.35">
      <c r="A50" s="247" t="s">
        <v>356</v>
      </c>
      <c r="B50" s="247" t="s">
        <v>150</v>
      </c>
      <c r="C50" s="247" t="s">
        <v>427</v>
      </c>
      <c r="D50" s="261">
        <v>80141607</v>
      </c>
      <c r="E50" s="249" t="s">
        <v>433</v>
      </c>
      <c r="F50" s="266" t="s">
        <v>434</v>
      </c>
      <c r="G50" s="264" t="s">
        <v>66</v>
      </c>
      <c r="H50" s="263" t="s">
        <v>66</v>
      </c>
      <c r="I50" s="251">
        <v>365</v>
      </c>
      <c r="J50" s="252" t="s">
        <v>359</v>
      </c>
      <c r="K50" s="253">
        <v>677954805</v>
      </c>
      <c r="L50" s="254">
        <v>0.19</v>
      </c>
      <c r="M50" s="255">
        <v>128811413</v>
      </c>
      <c r="N50" s="256">
        <v>806766218</v>
      </c>
      <c r="O50" s="257" t="s">
        <v>365</v>
      </c>
      <c r="P50" s="258" t="s">
        <v>91</v>
      </c>
      <c r="Q50" s="259">
        <v>806766218</v>
      </c>
      <c r="R50" s="259">
        <v>0</v>
      </c>
      <c r="S50" s="259">
        <v>0</v>
      </c>
      <c r="T50" s="259">
        <v>0</v>
      </c>
      <c r="U50" s="247" t="s">
        <v>430</v>
      </c>
    </row>
    <row r="51" spans="1:21" ht="41.5" hidden="1" customHeight="1" x14ac:dyDescent="0.35">
      <c r="A51" s="247" t="s">
        <v>356</v>
      </c>
      <c r="B51" s="247" t="s">
        <v>150</v>
      </c>
      <c r="C51" s="247" t="s">
        <v>427</v>
      </c>
      <c r="D51" s="261">
        <v>80141607</v>
      </c>
      <c r="E51" s="249" t="s">
        <v>433</v>
      </c>
      <c r="F51" s="266" t="s">
        <v>434</v>
      </c>
      <c r="G51" s="250" t="s">
        <v>72</v>
      </c>
      <c r="H51" s="250" t="s">
        <v>72</v>
      </c>
      <c r="I51" s="251">
        <v>180</v>
      </c>
      <c r="J51" s="252" t="s">
        <v>359</v>
      </c>
      <c r="K51" s="253">
        <v>281602817</v>
      </c>
      <c r="L51" s="254">
        <v>0.19</v>
      </c>
      <c r="M51" s="255">
        <v>53504535.230000004</v>
      </c>
      <c r="N51" s="256">
        <v>335107352.23000002</v>
      </c>
      <c r="O51" s="257" t="s">
        <v>365</v>
      </c>
      <c r="P51" s="258" t="s">
        <v>91</v>
      </c>
      <c r="Q51" s="259">
        <v>335107352.23000002</v>
      </c>
      <c r="R51" s="259">
        <v>0</v>
      </c>
      <c r="S51" s="259">
        <v>0</v>
      </c>
      <c r="T51" s="259">
        <v>0</v>
      </c>
      <c r="U51" s="247" t="s">
        <v>430</v>
      </c>
    </row>
    <row r="52" spans="1:21" ht="41.5" hidden="1" customHeight="1" x14ac:dyDescent="0.35">
      <c r="A52" s="247" t="s">
        <v>356</v>
      </c>
      <c r="B52" s="247" t="s">
        <v>150</v>
      </c>
      <c r="C52" s="247" t="s">
        <v>427</v>
      </c>
      <c r="D52" s="261">
        <v>42181500</v>
      </c>
      <c r="E52" s="249" t="s">
        <v>435</v>
      </c>
      <c r="F52" s="247" t="s">
        <v>436</v>
      </c>
      <c r="G52" s="263" t="s">
        <v>66</v>
      </c>
      <c r="H52" s="263" t="s">
        <v>66</v>
      </c>
      <c r="I52" s="251">
        <v>365</v>
      </c>
      <c r="J52" s="252" t="s">
        <v>359</v>
      </c>
      <c r="K52" s="253">
        <v>78000000</v>
      </c>
      <c r="L52" s="254">
        <v>0</v>
      </c>
      <c r="M52" s="255">
        <v>0</v>
      </c>
      <c r="N52" s="256">
        <v>78000000</v>
      </c>
      <c r="O52" s="257" t="s">
        <v>365</v>
      </c>
      <c r="P52" s="258" t="s">
        <v>91</v>
      </c>
      <c r="Q52" s="265">
        <v>93058000</v>
      </c>
      <c r="R52" s="259">
        <v>0</v>
      </c>
      <c r="S52" s="259">
        <v>0</v>
      </c>
      <c r="T52" s="259">
        <v>0</v>
      </c>
      <c r="U52" s="247" t="s">
        <v>430</v>
      </c>
    </row>
    <row r="53" spans="1:21" ht="41.5" hidden="1" customHeight="1" x14ac:dyDescent="0.35">
      <c r="A53" s="247" t="s">
        <v>356</v>
      </c>
      <c r="B53" s="247" t="s">
        <v>150</v>
      </c>
      <c r="C53" s="247" t="s">
        <v>427</v>
      </c>
      <c r="D53" s="261">
        <v>80101500</v>
      </c>
      <c r="E53" s="249" t="s">
        <v>363</v>
      </c>
      <c r="F53" s="247" t="s">
        <v>437</v>
      </c>
      <c r="G53" s="264" t="s">
        <v>66</v>
      </c>
      <c r="H53" s="263" t="s">
        <v>66</v>
      </c>
      <c r="I53" s="251">
        <v>240</v>
      </c>
      <c r="J53" s="252" t="s">
        <v>359</v>
      </c>
      <c r="K53" s="253">
        <v>46218487</v>
      </c>
      <c r="L53" s="254">
        <v>0.19</v>
      </c>
      <c r="M53" s="255">
        <v>8781512.5299999993</v>
      </c>
      <c r="N53" s="256">
        <v>54999999.530000001</v>
      </c>
      <c r="O53" s="257" t="s">
        <v>365</v>
      </c>
      <c r="P53" s="258" t="s">
        <v>91</v>
      </c>
      <c r="Q53" s="259">
        <v>54999999.530000001</v>
      </c>
      <c r="R53" s="259">
        <v>0</v>
      </c>
      <c r="S53" s="259">
        <v>0</v>
      </c>
      <c r="T53" s="259">
        <v>0</v>
      </c>
      <c r="U53" s="247" t="s">
        <v>430</v>
      </c>
    </row>
    <row r="54" spans="1:21" ht="41.5" hidden="1" customHeight="1" x14ac:dyDescent="0.35">
      <c r="A54" s="247" t="s">
        <v>356</v>
      </c>
      <c r="B54" s="247" t="s">
        <v>150</v>
      </c>
      <c r="C54" s="247" t="s">
        <v>427</v>
      </c>
      <c r="D54" s="261">
        <v>84131602</v>
      </c>
      <c r="E54" s="249" t="s">
        <v>438</v>
      </c>
      <c r="F54" s="247" t="s">
        <v>439</v>
      </c>
      <c r="G54" s="250" t="s">
        <v>74</v>
      </c>
      <c r="H54" s="250" t="s">
        <v>76</v>
      </c>
      <c r="I54" s="251">
        <v>365</v>
      </c>
      <c r="J54" s="252" t="s">
        <v>359</v>
      </c>
      <c r="K54" s="253">
        <v>11728274885</v>
      </c>
      <c r="L54" s="254">
        <v>0.05</v>
      </c>
      <c r="M54" s="255">
        <v>586413744.25</v>
      </c>
      <c r="N54" s="256">
        <v>12314688629.25</v>
      </c>
      <c r="O54" s="257" t="s">
        <v>365</v>
      </c>
      <c r="P54" s="258" t="s">
        <v>91</v>
      </c>
      <c r="Q54" s="259">
        <v>12314688629.25</v>
      </c>
      <c r="R54" s="259">
        <v>0</v>
      </c>
      <c r="S54" s="259">
        <v>0</v>
      </c>
      <c r="T54" s="259">
        <v>0</v>
      </c>
      <c r="U54" s="247" t="s">
        <v>440</v>
      </c>
    </row>
    <row r="55" spans="1:21" ht="41.5" hidden="1" customHeight="1" x14ac:dyDescent="0.35">
      <c r="A55" s="247" t="s">
        <v>356</v>
      </c>
      <c r="B55" s="247" t="s">
        <v>150</v>
      </c>
      <c r="C55" s="247" t="s">
        <v>427</v>
      </c>
      <c r="D55" s="261">
        <v>84131601</v>
      </c>
      <c r="E55" s="249" t="s">
        <v>408</v>
      </c>
      <c r="F55" s="266" t="s">
        <v>441</v>
      </c>
      <c r="G55" s="250" t="s">
        <v>67</v>
      </c>
      <c r="H55" s="250" t="s">
        <v>67</v>
      </c>
      <c r="I55" s="251">
        <v>274</v>
      </c>
      <c r="J55" s="252" t="s">
        <v>373</v>
      </c>
      <c r="K55" s="253">
        <v>1095000000</v>
      </c>
      <c r="L55" s="254">
        <v>0</v>
      </c>
      <c r="M55" s="255">
        <v>0</v>
      </c>
      <c r="N55" s="256">
        <v>1095000000</v>
      </c>
      <c r="O55" s="257" t="s">
        <v>365</v>
      </c>
      <c r="P55" s="258" t="s">
        <v>91</v>
      </c>
      <c r="Q55" s="259">
        <v>1095000000</v>
      </c>
      <c r="R55" s="259">
        <v>0</v>
      </c>
      <c r="S55" s="259">
        <v>0</v>
      </c>
      <c r="T55" s="259">
        <v>0</v>
      </c>
      <c r="U55" s="247" t="s">
        <v>440</v>
      </c>
    </row>
    <row r="56" spans="1:21" ht="41.5" hidden="1" customHeight="1" x14ac:dyDescent="0.35">
      <c r="A56" s="247" t="s">
        <v>356</v>
      </c>
      <c r="B56" s="247" t="s">
        <v>150</v>
      </c>
      <c r="C56" s="247" t="s">
        <v>427</v>
      </c>
      <c r="D56" s="261">
        <v>84131601</v>
      </c>
      <c r="E56" s="249" t="s">
        <v>408</v>
      </c>
      <c r="F56" s="266" t="s">
        <v>441</v>
      </c>
      <c r="G56" s="250" t="s">
        <v>67</v>
      </c>
      <c r="H56" s="250" t="s">
        <v>67</v>
      </c>
      <c r="I56" s="251">
        <v>274</v>
      </c>
      <c r="J56" s="252" t="s">
        <v>373</v>
      </c>
      <c r="K56" s="253">
        <v>300000000</v>
      </c>
      <c r="L56" s="254">
        <v>0</v>
      </c>
      <c r="M56" s="255">
        <v>0</v>
      </c>
      <c r="N56" s="256">
        <v>300000000</v>
      </c>
      <c r="O56" s="257" t="s">
        <v>365</v>
      </c>
      <c r="P56" s="258" t="s">
        <v>91</v>
      </c>
      <c r="Q56" s="259">
        <v>300000000</v>
      </c>
      <c r="R56" s="259">
        <v>0</v>
      </c>
      <c r="S56" s="259">
        <v>0</v>
      </c>
      <c r="T56" s="259">
        <v>0</v>
      </c>
      <c r="U56" s="247" t="s">
        <v>440</v>
      </c>
    </row>
    <row r="57" spans="1:21" ht="41.5" hidden="1" customHeight="1" x14ac:dyDescent="0.35">
      <c r="A57" s="247" t="s">
        <v>356</v>
      </c>
      <c r="B57" s="247" t="s">
        <v>150</v>
      </c>
      <c r="C57" s="247" t="s">
        <v>427</v>
      </c>
      <c r="D57" s="261">
        <v>84131601</v>
      </c>
      <c r="E57" s="249" t="s">
        <v>408</v>
      </c>
      <c r="F57" s="266" t="s">
        <v>442</v>
      </c>
      <c r="G57" s="250" t="s">
        <v>74</v>
      </c>
      <c r="H57" s="250" t="s">
        <v>75</v>
      </c>
      <c r="I57" s="251">
        <v>365</v>
      </c>
      <c r="J57" s="252" t="s">
        <v>359</v>
      </c>
      <c r="K57" s="253">
        <v>1606000000</v>
      </c>
      <c r="L57" s="254">
        <v>0</v>
      </c>
      <c r="M57" s="255">
        <v>0</v>
      </c>
      <c r="N57" s="256">
        <v>1606000000</v>
      </c>
      <c r="O57" s="257" t="s">
        <v>365</v>
      </c>
      <c r="P57" s="258" t="s">
        <v>91</v>
      </c>
      <c r="Q57" s="259">
        <v>1606000000</v>
      </c>
      <c r="R57" s="259">
        <v>0</v>
      </c>
      <c r="S57" s="259">
        <v>0</v>
      </c>
      <c r="T57" s="259">
        <v>0</v>
      </c>
      <c r="U57" s="247" t="s">
        <v>440</v>
      </c>
    </row>
    <row r="58" spans="1:21" ht="41.5" hidden="1" customHeight="1" x14ac:dyDescent="0.35">
      <c r="A58" s="247" t="s">
        <v>356</v>
      </c>
      <c r="B58" s="247" t="s">
        <v>150</v>
      </c>
      <c r="C58" s="247" t="s">
        <v>427</v>
      </c>
      <c r="D58" s="261">
        <v>84131601</v>
      </c>
      <c r="E58" s="249" t="s">
        <v>408</v>
      </c>
      <c r="F58" s="266" t="s">
        <v>442</v>
      </c>
      <c r="G58" s="250" t="s">
        <v>74</v>
      </c>
      <c r="H58" s="250" t="s">
        <v>75</v>
      </c>
      <c r="I58" s="251">
        <v>365</v>
      </c>
      <c r="J58" s="252" t="s">
        <v>359</v>
      </c>
      <c r="K58" s="253">
        <v>440000000</v>
      </c>
      <c r="L58" s="254">
        <v>0</v>
      </c>
      <c r="M58" s="255">
        <v>0</v>
      </c>
      <c r="N58" s="256">
        <v>440000000</v>
      </c>
      <c r="O58" s="257" t="s">
        <v>365</v>
      </c>
      <c r="P58" s="258" t="s">
        <v>91</v>
      </c>
      <c r="Q58" s="259">
        <v>440000000</v>
      </c>
      <c r="R58" s="259">
        <v>0</v>
      </c>
      <c r="S58" s="259">
        <v>0</v>
      </c>
      <c r="T58" s="259">
        <v>0</v>
      </c>
      <c r="U58" s="247" t="s">
        <v>440</v>
      </c>
    </row>
    <row r="59" spans="1:21" ht="41.5" hidden="1" customHeight="1" x14ac:dyDescent="0.35">
      <c r="A59" s="247" t="s">
        <v>356</v>
      </c>
      <c r="B59" s="247" t="s">
        <v>150</v>
      </c>
      <c r="C59" s="247" t="s">
        <v>427</v>
      </c>
      <c r="D59" s="261">
        <v>84131601</v>
      </c>
      <c r="E59" s="249" t="s">
        <v>408</v>
      </c>
      <c r="F59" s="247" t="s">
        <v>443</v>
      </c>
      <c r="G59" s="250" t="s">
        <v>67</v>
      </c>
      <c r="H59" s="250" t="s">
        <v>67</v>
      </c>
      <c r="I59" s="251">
        <v>274</v>
      </c>
      <c r="J59" s="267" t="s">
        <v>373</v>
      </c>
      <c r="K59" s="253">
        <v>105000000</v>
      </c>
      <c r="L59" s="254">
        <v>0</v>
      </c>
      <c r="M59" s="255">
        <v>0</v>
      </c>
      <c r="N59" s="256">
        <v>105000000</v>
      </c>
      <c r="O59" s="257" t="s">
        <v>365</v>
      </c>
      <c r="P59" s="258" t="s">
        <v>91</v>
      </c>
      <c r="Q59" s="259">
        <v>105000000</v>
      </c>
      <c r="R59" s="259">
        <v>0</v>
      </c>
      <c r="S59" s="259">
        <v>0</v>
      </c>
      <c r="T59" s="259">
        <v>0</v>
      </c>
      <c r="U59" s="247" t="s">
        <v>440</v>
      </c>
    </row>
    <row r="60" spans="1:21" ht="41.5" hidden="1" customHeight="1" x14ac:dyDescent="0.35">
      <c r="A60" s="247" t="s">
        <v>356</v>
      </c>
      <c r="B60" s="247" t="s">
        <v>150</v>
      </c>
      <c r="C60" s="247" t="s">
        <v>427</v>
      </c>
      <c r="D60" s="261">
        <v>84131601</v>
      </c>
      <c r="E60" s="249" t="s">
        <v>408</v>
      </c>
      <c r="F60" s="247" t="s">
        <v>444</v>
      </c>
      <c r="G60" s="250" t="s">
        <v>74</v>
      </c>
      <c r="H60" s="250" t="s">
        <v>75</v>
      </c>
      <c r="I60" s="251">
        <v>365</v>
      </c>
      <c r="J60" s="252" t="s">
        <v>359</v>
      </c>
      <c r="K60" s="253">
        <v>154000000</v>
      </c>
      <c r="L60" s="254">
        <v>0</v>
      </c>
      <c r="M60" s="255">
        <v>0</v>
      </c>
      <c r="N60" s="256">
        <v>154000000</v>
      </c>
      <c r="O60" s="257" t="s">
        <v>365</v>
      </c>
      <c r="P60" s="258" t="s">
        <v>91</v>
      </c>
      <c r="Q60" s="259">
        <v>154000000</v>
      </c>
      <c r="R60" s="259">
        <v>0</v>
      </c>
      <c r="S60" s="259">
        <v>0</v>
      </c>
      <c r="T60" s="259">
        <v>0</v>
      </c>
      <c r="U60" s="247" t="s">
        <v>440</v>
      </c>
    </row>
    <row r="61" spans="1:21" ht="41.5" hidden="1" customHeight="1" x14ac:dyDescent="0.35">
      <c r="A61" s="247" t="s">
        <v>356</v>
      </c>
      <c r="B61" s="247" t="s">
        <v>150</v>
      </c>
      <c r="C61" s="247" t="s">
        <v>427</v>
      </c>
      <c r="D61" s="261">
        <v>84131501</v>
      </c>
      <c r="E61" s="249" t="s">
        <v>445</v>
      </c>
      <c r="F61" s="247" t="s">
        <v>446</v>
      </c>
      <c r="G61" s="250" t="s">
        <v>67</v>
      </c>
      <c r="H61" s="250" t="s">
        <v>67</v>
      </c>
      <c r="I61" s="251">
        <v>274</v>
      </c>
      <c r="J61" s="252" t="s">
        <v>381</v>
      </c>
      <c r="K61" s="253">
        <v>151260504</v>
      </c>
      <c r="L61" s="254">
        <v>0.19</v>
      </c>
      <c r="M61" s="255">
        <v>28739495.760000002</v>
      </c>
      <c r="N61" s="256">
        <v>179999999.75999999</v>
      </c>
      <c r="O61" s="257" t="s">
        <v>365</v>
      </c>
      <c r="P61" s="258" t="s">
        <v>91</v>
      </c>
      <c r="Q61" s="259">
        <v>179999999.75999999</v>
      </c>
      <c r="R61" s="259">
        <v>0</v>
      </c>
      <c r="S61" s="259">
        <v>0</v>
      </c>
      <c r="T61" s="259">
        <v>0</v>
      </c>
      <c r="U61" s="247" t="s">
        <v>440</v>
      </c>
    </row>
    <row r="62" spans="1:21" ht="41.5" hidden="1" customHeight="1" x14ac:dyDescent="0.35">
      <c r="A62" s="247" t="s">
        <v>356</v>
      </c>
      <c r="B62" s="247" t="s">
        <v>150</v>
      </c>
      <c r="C62" s="247" t="s">
        <v>427</v>
      </c>
      <c r="D62" s="261">
        <v>84131501</v>
      </c>
      <c r="E62" s="249" t="s">
        <v>445</v>
      </c>
      <c r="F62" s="247" t="s">
        <v>447</v>
      </c>
      <c r="G62" s="250" t="s">
        <v>74</v>
      </c>
      <c r="H62" s="250" t="s">
        <v>75</v>
      </c>
      <c r="I62" s="251">
        <v>365</v>
      </c>
      <c r="J62" s="252" t="s">
        <v>359</v>
      </c>
      <c r="K62" s="253">
        <v>201680672</v>
      </c>
      <c r="L62" s="254">
        <v>0.19</v>
      </c>
      <c r="M62" s="255">
        <v>38319327.68</v>
      </c>
      <c r="N62" s="256">
        <v>239999999.68000001</v>
      </c>
      <c r="O62" s="257" t="s">
        <v>365</v>
      </c>
      <c r="P62" s="258" t="s">
        <v>91</v>
      </c>
      <c r="Q62" s="259">
        <v>239999999.68000001</v>
      </c>
      <c r="R62" s="259">
        <v>0</v>
      </c>
      <c r="S62" s="259">
        <v>0</v>
      </c>
      <c r="T62" s="259">
        <v>0</v>
      </c>
      <c r="U62" s="247" t="s">
        <v>440</v>
      </c>
    </row>
    <row r="63" spans="1:21" ht="41.5" hidden="1" customHeight="1" x14ac:dyDescent="0.35">
      <c r="A63" s="247" t="s">
        <v>356</v>
      </c>
      <c r="B63" s="247" t="s">
        <v>150</v>
      </c>
      <c r="C63" s="247" t="s">
        <v>427</v>
      </c>
      <c r="D63" s="261">
        <v>80121610</v>
      </c>
      <c r="E63" s="249" t="s">
        <v>448</v>
      </c>
      <c r="F63" s="247" t="s">
        <v>449</v>
      </c>
      <c r="G63" s="264" t="s">
        <v>70</v>
      </c>
      <c r="H63" s="263" t="s">
        <v>71</v>
      </c>
      <c r="I63" s="251">
        <v>548</v>
      </c>
      <c r="J63" s="252" t="s">
        <v>359</v>
      </c>
      <c r="K63" s="253">
        <v>571959686</v>
      </c>
      <c r="L63" s="254">
        <v>0.19</v>
      </c>
      <c r="M63" s="255">
        <v>108672340.34</v>
      </c>
      <c r="N63" s="256">
        <v>680632026.34000003</v>
      </c>
      <c r="O63" s="257" t="s">
        <v>360</v>
      </c>
      <c r="P63" s="258" t="s">
        <v>361</v>
      </c>
      <c r="Q63" s="265">
        <v>0</v>
      </c>
      <c r="R63" s="265">
        <v>0</v>
      </c>
      <c r="S63" s="265">
        <v>0</v>
      </c>
      <c r="T63" s="265">
        <v>0</v>
      </c>
      <c r="U63" s="247" t="s">
        <v>440</v>
      </c>
    </row>
    <row r="64" spans="1:21" ht="41.5" hidden="1" customHeight="1" x14ac:dyDescent="0.35">
      <c r="A64" s="247" t="s">
        <v>356</v>
      </c>
      <c r="B64" s="247" t="s">
        <v>150</v>
      </c>
      <c r="C64" s="247" t="s">
        <v>450</v>
      </c>
      <c r="D64" s="261">
        <v>84121806</v>
      </c>
      <c r="E64" s="249" t="s">
        <v>451</v>
      </c>
      <c r="F64" s="247" t="s">
        <v>452</v>
      </c>
      <c r="G64" s="250" t="s">
        <v>76</v>
      </c>
      <c r="H64" s="250" t="s">
        <v>76</v>
      </c>
      <c r="I64" s="251">
        <v>365</v>
      </c>
      <c r="J64" s="252" t="s">
        <v>359</v>
      </c>
      <c r="K64" s="253">
        <v>68000000</v>
      </c>
      <c r="L64" s="254">
        <v>0.19</v>
      </c>
      <c r="M64" s="255">
        <v>12920000</v>
      </c>
      <c r="N64" s="256">
        <v>80920000</v>
      </c>
      <c r="O64" s="257" t="s">
        <v>360</v>
      </c>
      <c r="P64" s="258" t="s">
        <v>361</v>
      </c>
      <c r="Q64" s="259">
        <v>0</v>
      </c>
      <c r="R64" s="259">
        <v>80920000</v>
      </c>
      <c r="S64" s="259">
        <v>0</v>
      </c>
      <c r="T64" s="259">
        <v>0</v>
      </c>
      <c r="U64" s="247" t="s">
        <v>453</v>
      </c>
    </row>
    <row r="65" spans="1:21" ht="41.5" hidden="1" customHeight="1" x14ac:dyDescent="0.35">
      <c r="A65" s="247" t="s">
        <v>356</v>
      </c>
      <c r="B65" s="247" t="s">
        <v>150</v>
      </c>
      <c r="C65" s="247" t="s">
        <v>450</v>
      </c>
      <c r="D65" s="261">
        <v>80101706</v>
      </c>
      <c r="E65" s="249" t="s">
        <v>454</v>
      </c>
      <c r="F65" s="247" t="s">
        <v>455</v>
      </c>
      <c r="G65" s="263" t="s">
        <v>66</v>
      </c>
      <c r="H65" s="263" t="s">
        <v>66</v>
      </c>
      <c r="I65" s="251">
        <v>240</v>
      </c>
      <c r="J65" s="252" t="s">
        <v>359</v>
      </c>
      <c r="K65" s="253">
        <v>62784000</v>
      </c>
      <c r="L65" s="254">
        <v>0</v>
      </c>
      <c r="M65" s="255">
        <v>0</v>
      </c>
      <c r="N65" s="256">
        <v>62784000</v>
      </c>
      <c r="O65" s="257" t="s">
        <v>365</v>
      </c>
      <c r="P65" s="258" t="s">
        <v>91</v>
      </c>
      <c r="Q65" s="259">
        <v>62784000</v>
      </c>
      <c r="R65" s="259">
        <v>0</v>
      </c>
      <c r="S65" s="259">
        <v>0</v>
      </c>
      <c r="T65" s="259">
        <v>0</v>
      </c>
      <c r="U65" s="247" t="s">
        <v>456</v>
      </c>
    </row>
    <row r="66" spans="1:21" ht="41.5" hidden="1" customHeight="1" x14ac:dyDescent="0.35">
      <c r="A66" s="247" t="s">
        <v>356</v>
      </c>
      <c r="B66" s="247" t="s">
        <v>150</v>
      </c>
      <c r="C66" s="247" t="s">
        <v>450</v>
      </c>
      <c r="D66" s="261">
        <v>80101706</v>
      </c>
      <c r="E66" s="249" t="s">
        <v>454</v>
      </c>
      <c r="F66" s="247" t="s">
        <v>455</v>
      </c>
      <c r="G66" s="263" t="s">
        <v>74</v>
      </c>
      <c r="H66" s="263" t="s">
        <v>74</v>
      </c>
      <c r="I66" s="251">
        <v>90</v>
      </c>
      <c r="J66" s="252" t="s">
        <v>359</v>
      </c>
      <c r="K66" s="253">
        <v>23544000</v>
      </c>
      <c r="L66" s="254">
        <v>0</v>
      </c>
      <c r="M66" s="255">
        <v>0</v>
      </c>
      <c r="N66" s="256">
        <v>23544000</v>
      </c>
      <c r="O66" s="257" t="s">
        <v>365</v>
      </c>
      <c r="P66" s="258" t="s">
        <v>91</v>
      </c>
      <c r="Q66" s="259">
        <v>23544000</v>
      </c>
      <c r="R66" s="259">
        <v>0</v>
      </c>
      <c r="S66" s="259">
        <v>0</v>
      </c>
      <c r="T66" s="259">
        <v>0</v>
      </c>
      <c r="U66" s="247" t="s">
        <v>456</v>
      </c>
    </row>
    <row r="67" spans="1:21" ht="41.5" hidden="1" customHeight="1" x14ac:dyDescent="0.35">
      <c r="A67" s="247" t="s">
        <v>356</v>
      </c>
      <c r="B67" s="247" t="s">
        <v>150</v>
      </c>
      <c r="C67" s="247" t="s">
        <v>450</v>
      </c>
      <c r="D67" s="261">
        <v>80101706</v>
      </c>
      <c r="E67" s="249" t="s">
        <v>454</v>
      </c>
      <c r="F67" s="247" t="s">
        <v>457</v>
      </c>
      <c r="G67" s="263" t="s">
        <v>66</v>
      </c>
      <c r="H67" s="263" t="s">
        <v>66</v>
      </c>
      <c r="I67" s="251">
        <v>240</v>
      </c>
      <c r="J67" s="252" t="s">
        <v>359</v>
      </c>
      <c r="K67" s="253">
        <v>83296000</v>
      </c>
      <c r="L67" s="254">
        <v>0</v>
      </c>
      <c r="M67" s="255">
        <v>0</v>
      </c>
      <c r="N67" s="256">
        <v>83296000</v>
      </c>
      <c r="O67" s="257" t="s">
        <v>365</v>
      </c>
      <c r="P67" s="258" t="s">
        <v>91</v>
      </c>
      <c r="Q67" s="259">
        <v>83296000</v>
      </c>
      <c r="R67" s="259">
        <v>0</v>
      </c>
      <c r="S67" s="259">
        <v>0</v>
      </c>
      <c r="T67" s="259">
        <v>0</v>
      </c>
      <c r="U67" s="247" t="s">
        <v>458</v>
      </c>
    </row>
    <row r="68" spans="1:21" ht="41.5" hidden="1" customHeight="1" x14ac:dyDescent="0.35">
      <c r="A68" s="247" t="s">
        <v>356</v>
      </c>
      <c r="B68" s="247" t="s">
        <v>150</v>
      </c>
      <c r="C68" s="247" t="s">
        <v>450</v>
      </c>
      <c r="D68" s="261">
        <v>80101706</v>
      </c>
      <c r="E68" s="249" t="s">
        <v>454</v>
      </c>
      <c r="F68" s="247" t="s">
        <v>459</v>
      </c>
      <c r="G68" s="263" t="s">
        <v>66</v>
      </c>
      <c r="H68" s="263" t="s">
        <v>66</v>
      </c>
      <c r="I68" s="251">
        <v>240</v>
      </c>
      <c r="J68" s="252" t="s">
        <v>359</v>
      </c>
      <c r="K68" s="253">
        <v>83296000</v>
      </c>
      <c r="L68" s="254">
        <v>0</v>
      </c>
      <c r="M68" s="255">
        <v>0</v>
      </c>
      <c r="N68" s="256">
        <v>83296000</v>
      </c>
      <c r="O68" s="257" t="s">
        <v>365</v>
      </c>
      <c r="P68" s="258" t="s">
        <v>91</v>
      </c>
      <c r="Q68" s="259">
        <v>83296000</v>
      </c>
      <c r="R68" s="259">
        <v>0</v>
      </c>
      <c r="S68" s="259">
        <v>0</v>
      </c>
      <c r="T68" s="259">
        <v>0</v>
      </c>
      <c r="U68" s="247" t="s">
        <v>458</v>
      </c>
    </row>
    <row r="69" spans="1:21" ht="41.5" hidden="1" customHeight="1" x14ac:dyDescent="0.35">
      <c r="A69" s="247" t="s">
        <v>356</v>
      </c>
      <c r="B69" s="247" t="s">
        <v>150</v>
      </c>
      <c r="C69" s="247" t="s">
        <v>450</v>
      </c>
      <c r="D69" s="261">
        <v>80101706</v>
      </c>
      <c r="E69" s="249" t="s">
        <v>454</v>
      </c>
      <c r="F69" s="247" t="s">
        <v>460</v>
      </c>
      <c r="G69" s="263" t="s">
        <v>66</v>
      </c>
      <c r="H69" s="250" t="s">
        <v>66</v>
      </c>
      <c r="I69" s="251">
        <v>150</v>
      </c>
      <c r="J69" s="252" t="s">
        <v>359</v>
      </c>
      <c r="K69" s="253">
        <v>45000000</v>
      </c>
      <c r="L69" s="254">
        <v>0</v>
      </c>
      <c r="M69" s="255">
        <v>0</v>
      </c>
      <c r="N69" s="256">
        <v>45000000</v>
      </c>
      <c r="O69" s="257" t="s">
        <v>365</v>
      </c>
      <c r="P69" s="258" t="s">
        <v>91</v>
      </c>
      <c r="Q69" s="259">
        <v>45000000</v>
      </c>
      <c r="R69" s="259">
        <v>0</v>
      </c>
      <c r="S69" s="259">
        <v>0</v>
      </c>
      <c r="T69" s="259">
        <v>0</v>
      </c>
      <c r="U69" s="247" t="s">
        <v>461</v>
      </c>
    </row>
    <row r="70" spans="1:21" ht="41.5" hidden="1" customHeight="1" x14ac:dyDescent="0.35">
      <c r="A70" s="247" t="s">
        <v>356</v>
      </c>
      <c r="B70" s="247" t="s">
        <v>150</v>
      </c>
      <c r="C70" s="247" t="s">
        <v>450</v>
      </c>
      <c r="D70" s="261">
        <v>80101706</v>
      </c>
      <c r="E70" s="249" t="s">
        <v>454</v>
      </c>
      <c r="F70" s="247" t="s">
        <v>462</v>
      </c>
      <c r="G70" s="263" t="s">
        <v>71</v>
      </c>
      <c r="H70" s="263" t="s">
        <v>72</v>
      </c>
      <c r="I70" s="251">
        <v>360</v>
      </c>
      <c r="J70" s="252" t="s">
        <v>359</v>
      </c>
      <c r="K70" s="253">
        <v>96000000</v>
      </c>
      <c r="L70" s="254">
        <v>0.19</v>
      </c>
      <c r="M70" s="255">
        <v>18240000</v>
      </c>
      <c r="N70" s="256">
        <v>114240000</v>
      </c>
      <c r="O70" s="257" t="s">
        <v>360</v>
      </c>
      <c r="P70" s="258" t="s">
        <v>463</v>
      </c>
      <c r="Q70" s="259">
        <v>69496000</v>
      </c>
      <c r="R70" s="259">
        <v>44744000</v>
      </c>
      <c r="S70" s="259">
        <v>0</v>
      </c>
      <c r="T70" s="259">
        <v>0</v>
      </c>
      <c r="U70" s="247" t="s">
        <v>461</v>
      </c>
    </row>
    <row r="71" spans="1:21" ht="41.5" hidden="1" customHeight="1" x14ac:dyDescent="0.35">
      <c r="A71" s="247" t="s">
        <v>356</v>
      </c>
      <c r="B71" s="247" t="s">
        <v>150</v>
      </c>
      <c r="C71" s="247" t="s">
        <v>464</v>
      </c>
      <c r="D71" s="261">
        <v>73131505</v>
      </c>
      <c r="E71" s="249" t="s">
        <v>465</v>
      </c>
      <c r="F71" s="247" t="s">
        <v>466</v>
      </c>
      <c r="G71" s="250" t="s">
        <v>72</v>
      </c>
      <c r="H71" s="250" t="s">
        <v>75</v>
      </c>
      <c r="I71" s="251">
        <v>365</v>
      </c>
      <c r="J71" s="252" t="s">
        <v>359</v>
      </c>
      <c r="K71" s="253">
        <v>54025564</v>
      </c>
      <c r="L71" s="254">
        <v>0</v>
      </c>
      <c r="M71" s="255">
        <v>0</v>
      </c>
      <c r="N71" s="256">
        <v>54025564</v>
      </c>
      <c r="O71" s="257" t="s">
        <v>360</v>
      </c>
      <c r="P71" s="258" t="s">
        <v>361</v>
      </c>
      <c r="Q71" s="259">
        <v>12532330</v>
      </c>
      <c r="R71" s="259">
        <v>41493234</v>
      </c>
      <c r="S71" s="259">
        <v>0</v>
      </c>
      <c r="T71" s="259">
        <v>0</v>
      </c>
      <c r="U71" s="247" t="s">
        <v>467</v>
      </c>
    </row>
    <row r="72" spans="1:21" ht="41.5" hidden="1" customHeight="1" x14ac:dyDescent="0.35">
      <c r="A72" s="247" t="s">
        <v>356</v>
      </c>
      <c r="B72" s="247" t="s">
        <v>150</v>
      </c>
      <c r="C72" s="247" t="s">
        <v>464</v>
      </c>
      <c r="D72" s="261">
        <v>77101802</v>
      </c>
      <c r="E72" s="249" t="s">
        <v>468</v>
      </c>
      <c r="F72" s="247" t="s">
        <v>469</v>
      </c>
      <c r="G72" s="250" t="s">
        <v>72</v>
      </c>
      <c r="H72" s="250" t="s">
        <v>73</v>
      </c>
      <c r="I72" s="251">
        <v>365</v>
      </c>
      <c r="J72" s="252" t="s">
        <v>470</v>
      </c>
      <c r="K72" s="253">
        <v>1811363</v>
      </c>
      <c r="L72" s="254">
        <v>0.19</v>
      </c>
      <c r="M72" s="255">
        <v>344159</v>
      </c>
      <c r="N72" s="256">
        <v>2155522</v>
      </c>
      <c r="O72" s="257" t="s">
        <v>365</v>
      </c>
      <c r="P72" s="258" t="s">
        <v>91</v>
      </c>
      <c r="Q72" s="259">
        <v>2155522</v>
      </c>
      <c r="R72" s="259">
        <v>0</v>
      </c>
      <c r="S72" s="259">
        <v>0</v>
      </c>
      <c r="T72" s="259">
        <v>0</v>
      </c>
      <c r="U72" s="247" t="s">
        <v>471</v>
      </c>
    </row>
    <row r="73" spans="1:21" ht="41.5" hidden="1" customHeight="1" x14ac:dyDescent="0.35">
      <c r="A73" s="247" t="s">
        <v>356</v>
      </c>
      <c r="B73" s="247" t="s">
        <v>150</v>
      </c>
      <c r="C73" s="247" t="s">
        <v>464</v>
      </c>
      <c r="D73" s="261">
        <v>48101705</v>
      </c>
      <c r="E73" s="249" t="s">
        <v>472</v>
      </c>
      <c r="F73" s="247" t="s">
        <v>473</v>
      </c>
      <c r="G73" s="263" t="s">
        <v>71</v>
      </c>
      <c r="H73" s="263" t="s">
        <v>72</v>
      </c>
      <c r="I73" s="251">
        <v>365</v>
      </c>
      <c r="J73" s="252" t="s">
        <v>470</v>
      </c>
      <c r="K73" s="253">
        <v>4317520</v>
      </c>
      <c r="L73" s="254">
        <v>0.19</v>
      </c>
      <c r="M73" s="255">
        <v>820329</v>
      </c>
      <c r="N73" s="256">
        <v>5137849</v>
      </c>
      <c r="O73" s="257" t="s">
        <v>360</v>
      </c>
      <c r="P73" s="258" t="s">
        <v>361</v>
      </c>
      <c r="Q73" s="259">
        <v>2568924</v>
      </c>
      <c r="R73" s="259">
        <v>2568925</v>
      </c>
      <c r="S73" s="259">
        <v>0</v>
      </c>
      <c r="T73" s="259">
        <v>0</v>
      </c>
      <c r="U73" s="247" t="s">
        <v>471</v>
      </c>
    </row>
    <row r="74" spans="1:21" ht="41.5" hidden="1" customHeight="1" x14ac:dyDescent="0.35">
      <c r="A74" s="247" t="s">
        <v>356</v>
      </c>
      <c r="B74" s="247" t="s">
        <v>150</v>
      </c>
      <c r="C74" s="247" t="s">
        <v>464</v>
      </c>
      <c r="D74" s="261">
        <v>84131501</v>
      </c>
      <c r="E74" s="249" t="s">
        <v>445</v>
      </c>
      <c r="F74" s="247" t="s">
        <v>474</v>
      </c>
      <c r="G74" s="250" t="s">
        <v>67</v>
      </c>
      <c r="H74" s="250" t="s">
        <v>68</v>
      </c>
      <c r="I74" s="251">
        <v>365</v>
      </c>
      <c r="J74" s="252" t="s">
        <v>373</v>
      </c>
      <c r="K74" s="253">
        <v>1531000695</v>
      </c>
      <c r="L74" s="254">
        <v>0.19</v>
      </c>
      <c r="M74" s="255">
        <v>290890132</v>
      </c>
      <c r="N74" s="256">
        <v>1821890827</v>
      </c>
      <c r="O74" s="257" t="s">
        <v>365</v>
      </c>
      <c r="P74" s="258" t="s">
        <v>91</v>
      </c>
      <c r="Q74" s="259">
        <v>1821890827</v>
      </c>
      <c r="R74" s="259">
        <v>0</v>
      </c>
      <c r="S74" s="259">
        <v>0</v>
      </c>
      <c r="T74" s="259">
        <v>0</v>
      </c>
      <c r="U74" s="247" t="s">
        <v>467</v>
      </c>
    </row>
    <row r="75" spans="1:21" ht="41.5" hidden="1" customHeight="1" x14ac:dyDescent="0.35">
      <c r="A75" s="247" t="s">
        <v>356</v>
      </c>
      <c r="B75" s="247" t="s">
        <v>150</v>
      </c>
      <c r="C75" s="247" t="s">
        <v>464</v>
      </c>
      <c r="D75" s="261">
        <v>70171704</v>
      </c>
      <c r="E75" s="249" t="s">
        <v>475</v>
      </c>
      <c r="F75" s="247" t="s">
        <v>475</v>
      </c>
      <c r="G75" s="250" t="s">
        <v>74</v>
      </c>
      <c r="H75" s="250" t="s">
        <v>77</v>
      </c>
      <c r="I75" s="251">
        <v>365</v>
      </c>
      <c r="J75" s="252" t="s">
        <v>359</v>
      </c>
      <c r="K75" s="253">
        <v>14120000</v>
      </c>
      <c r="L75" s="254">
        <v>0.19</v>
      </c>
      <c r="M75" s="255">
        <v>2682800</v>
      </c>
      <c r="N75" s="256">
        <v>16802800</v>
      </c>
      <c r="O75" s="257" t="s">
        <v>360</v>
      </c>
      <c r="P75" s="258" t="s">
        <v>361</v>
      </c>
      <c r="Q75" s="259">
        <v>0</v>
      </c>
      <c r="R75" s="259">
        <v>16802800</v>
      </c>
      <c r="S75" s="259">
        <v>0</v>
      </c>
      <c r="T75" s="259">
        <v>0</v>
      </c>
      <c r="U75" s="247" t="s">
        <v>467</v>
      </c>
    </row>
    <row r="76" spans="1:21" ht="41.5" hidden="1" customHeight="1" x14ac:dyDescent="0.35">
      <c r="A76" s="247" t="s">
        <v>356</v>
      </c>
      <c r="B76" s="247" t="s">
        <v>150</v>
      </c>
      <c r="C76" s="247" t="s">
        <v>464</v>
      </c>
      <c r="D76" s="261">
        <v>80131802</v>
      </c>
      <c r="E76" s="249" t="s">
        <v>476</v>
      </c>
      <c r="F76" s="247" t="s">
        <v>477</v>
      </c>
      <c r="G76" s="250" t="s">
        <v>72</v>
      </c>
      <c r="H76" s="250" t="s">
        <v>74</v>
      </c>
      <c r="I76" s="251">
        <v>90</v>
      </c>
      <c r="J76" s="252" t="s">
        <v>359</v>
      </c>
      <c r="K76" s="253">
        <v>54097754</v>
      </c>
      <c r="L76" s="254">
        <v>0.19</v>
      </c>
      <c r="M76" s="255">
        <v>10278573</v>
      </c>
      <c r="N76" s="256">
        <v>64376327</v>
      </c>
      <c r="O76" s="257" t="s">
        <v>365</v>
      </c>
      <c r="P76" s="258" t="s">
        <v>91</v>
      </c>
      <c r="Q76" s="259">
        <v>64376327</v>
      </c>
      <c r="R76" s="259">
        <v>0</v>
      </c>
      <c r="S76" s="259">
        <v>0</v>
      </c>
      <c r="T76" s="259">
        <v>0</v>
      </c>
      <c r="U76" s="247" t="s">
        <v>478</v>
      </c>
    </row>
    <row r="77" spans="1:21" ht="41.5" hidden="1" customHeight="1" x14ac:dyDescent="0.35">
      <c r="A77" s="247" t="s">
        <v>356</v>
      </c>
      <c r="B77" s="247" t="s">
        <v>150</v>
      </c>
      <c r="C77" s="247" t="s">
        <v>464</v>
      </c>
      <c r="D77" s="261">
        <v>78102206</v>
      </c>
      <c r="E77" s="249" t="s">
        <v>479</v>
      </c>
      <c r="F77" s="247" t="s">
        <v>480</v>
      </c>
      <c r="G77" s="250" t="s">
        <v>67</v>
      </c>
      <c r="H77" s="250" t="s">
        <v>68</v>
      </c>
      <c r="I77" s="251">
        <v>365</v>
      </c>
      <c r="J77" s="252" t="s">
        <v>373</v>
      </c>
      <c r="K77" s="253">
        <v>2182645119</v>
      </c>
      <c r="L77" s="254">
        <v>0</v>
      </c>
      <c r="M77" s="255">
        <v>0</v>
      </c>
      <c r="N77" s="256">
        <v>2182645119</v>
      </c>
      <c r="O77" s="257" t="s">
        <v>360</v>
      </c>
      <c r="P77" s="258" t="s">
        <v>361</v>
      </c>
      <c r="Q77" s="259">
        <v>1636983839</v>
      </c>
      <c r="R77" s="259">
        <v>545661280</v>
      </c>
      <c r="S77" s="259">
        <v>0</v>
      </c>
      <c r="T77" s="259">
        <v>0</v>
      </c>
      <c r="U77" s="247" t="s">
        <v>471</v>
      </c>
    </row>
    <row r="78" spans="1:21" ht="41.5" hidden="1" customHeight="1" x14ac:dyDescent="0.35">
      <c r="A78" s="247" t="s">
        <v>356</v>
      </c>
      <c r="B78" s="247" t="s">
        <v>150</v>
      </c>
      <c r="C78" s="247" t="s">
        <v>464</v>
      </c>
      <c r="D78" s="261">
        <v>81161600</v>
      </c>
      <c r="E78" s="249" t="s">
        <v>481</v>
      </c>
      <c r="F78" s="247" t="s">
        <v>482</v>
      </c>
      <c r="G78" s="263" t="s">
        <v>72</v>
      </c>
      <c r="H78" s="263" t="s">
        <v>73</v>
      </c>
      <c r="I78" s="251">
        <v>365</v>
      </c>
      <c r="J78" s="252" t="s">
        <v>359</v>
      </c>
      <c r="K78" s="253">
        <v>170000000</v>
      </c>
      <c r="L78" s="254">
        <v>0.19</v>
      </c>
      <c r="M78" s="255">
        <v>32300000</v>
      </c>
      <c r="N78" s="256">
        <v>202300000</v>
      </c>
      <c r="O78" s="257" t="s">
        <v>360</v>
      </c>
      <c r="P78" s="258" t="s">
        <v>361</v>
      </c>
      <c r="Q78" s="259">
        <v>37310000</v>
      </c>
      <c r="R78" s="259">
        <v>164990000</v>
      </c>
      <c r="S78" s="259">
        <v>0</v>
      </c>
      <c r="T78" s="259">
        <v>0</v>
      </c>
      <c r="U78" s="247" t="s">
        <v>483</v>
      </c>
    </row>
    <row r="79" spans="1:21" ht="41.5" hidden="1" customHeight="1" x14ac:dyDescent="0.35">
      <c r="A79" s="247" t="s">
        <v>356</v>
      </c>
      <c r="B79" s="247" t="s">
        <v>150</v>
      </c>
      <c r="C79" s="247" t="s">
        <v>464</v>
      </c>
      <c r="D79" s="261">
        <v>72153600</v>
      </c>
      <c r="E79" s="249" t="s">
        <v>484</v>
      </c>
      <c r="F79" s="247" t="s">
        <v>485</v>
      </c>
      <c r="G79" s="250" t="s">
        <v>71</v>
      </c>
      <c r="H79" s="250" t="s">
        <v>73</v>
      </c>
      <c r="I79" s="251">
        <v>180</v>
      </c>
      <c r="J79" s="252" t="s">
        <v>373</v>
      </c>
      <c r="K79" s="253">
        <v>2800495064</v>
      </c>
      <c r="L79" s="254">
        <v>0.19</v>
      </c>
      <c r="M79" s="255">
        <v>532094062</v>
      </c>
      <c r="N79" s="256">
        <v>3332589126</v>
      </c>
      <c r="O79" s="257" t="s">
        <v>360</v>
      </c>
      <c r="P79" s="258" t="s">
        <v>361</v>
      </c>
      <c r="Q79" s="259">
        <v>1666294563</v>
      </c>
      <c r="R79" s="259">
        <v>1666294563</v>
      </c>
      <c r="S79" s="259">
        <v>0</v>
      </c>
      <c r="T79" s="259">
        <v>0</v>
      </c>
      <c r="U79" s="247" t="s">
        <v>486</v>
      </c>
    </row>
    <row r="80" spans="1:21" ht="41.5" hidden="1" customHeight="1" x14ac:dyDescent="0.35">
      <c r="A80" s="247" t="s">
        <v>356</v>
      </c>
      <c r="B80" s="247" t="s">
        <v>150</v>
      </c>
      <c r="C80" s="247" t="s">
        <v>464</v>
      </c>
      <c r="D80" s="261">
        <v>95122401</v>
      </c>
      <c r="E80" s="249" t="s">
        <v>487</v>
      </c>
      <c r="F80" s="247" t="s">
        <v>488</v>
      </c>
      <c r="G80" s="250" t="s">
        <v>74</v>
      </c>
      <c r="H80" s="250" t="s">
        <v>77</v>
      </c>
      <c r="I80" s="251">
        <v>365</v>
      </c>
      <c r="J80" s="252" t="s">
        <v>359</v>
      </c>
      <c r="K80" s="253">
        <v>25044592</v>
      </c>
      <c r="L80" s="254">
        <v>0.19</v>
      </c>
      <c r="M80" s="255">
        <v>4758472</v>
      </c>
      <c r="N80" s="256">
        <v>29803064</v>
      </c>
      <c r="O80" s="257" t="s">
        <v>360</v>
      </c>
      <c r="P80" s="258" t="s">
        <v>361</v>
      </c>
      <c r="Q80" s="259">
        <v>0</v>
      </c>
      <c r="R80" s="259">
        <v>29803064</v>
      </c>
      <c r="S80" s="259">
        <v>0</v>
      </c>
      <c r="T80" s="259">
        <v>0</v>
      </c>
      <c r="U80" s="247" t="s">
        <v>467</v>
      </c>
    </row>
    <row r="81" spans="1:21" ht="41.5" hidden="1" customHeight="1" x14ac:dyDescent="0.35">
      <c r="A81" s="247" t="s">
        <v>356</v>
      </c>
      <c r="B81" s="247" t="s">
        <v>150</v>
      </c>
      <c r="C81" s="247" t="s">
        <v>464</v>
      </c>
      <c r="D81" s="261">
        <v>77111600</v>
      </c>
      <c r="E81" s="249" t="s">
        <v>489</v>
      </c>
      <c r="F81" s="247" t="s">
        <v>490</v>
      </c>
      <c r="G81" s="250" t="s">
        <v>72</v>
      </c>
      <c r="H81" s="250" t="s">
        <v>73</v>
      </c>
      <c r="I81" s="251">
        <v>90</v>
      </c>
      <c r="J81" s="252" t="s">
        <v>470</v>
      </c>
      <c r="K81" s="253">
        <v>945296</v>
      </c>
      <c r="L81" s="254">
        <v>0</v>
      </c>
      <c r="M81" s="255">
        <v>0</v>
      </c>
      <c r="N81" s="256">
        <v>945296</v>
      </c>
      <c r="O81" s="257" t="s">
        <v>365</v>
      </c>
      <c r="P81" s="258" t="s">
        <v>91</v>
      </c>
      <c r="Q81" s="259">
        <v>945296</v>
      </c>
      <c r="R81" s="259">
        <v>0</v>
      </c>
      <c r="S81" s="259">
        <v>0</v>
      </c>
      <c r="T81" s="259">
        <v>0</v>
      </c>
      <c r="U81" s="247" t="s">
        <v>491</v>
      </c>
    </row>
    <row r="82" spans="1:21" ht="41.5" hidden="1" customHeight="1" x14ac:dyDescent="0.35">
      <c r="A82" s="247" t="s">
        <v>356</v>
      </c>
      <c r="B82" s="247" t="s">
        <v>150</v>
      </c>
      <c r="C82" s="247" t="s">
        <v>464</v>
      </c>
      <c r="D82" s="261">
        <v>70111501</v>
      </c>
      <c r="E82" s="249" t="s">
        <v>492</v>
      </c>
      <c r="F82" s="247" t="s">
        <v>493</v>
      </c>
      <c r="G82" s="250" t="s">
        <v>75</v>
      </c>
      <c r="H82" s="250" t="s">
        <v>76</v>
      </c>
      <c r="I82" s="251">
        <v>30</v>
      </c>
      <c r="J82" s="252" t="s">
        <v>359</v>
      </c>
      <c r="K82" s="253">
        <v>82069160</v>
      </c>
      <c r="L82" s="254">
        <v>0</v>
      </c>
      <c r="M82" s="255">
        <v>0</v>
      </c>
      <c r="N82" s="256">
        <v>82069160</v>
      </c>
      <c r="O82" s="257" t="s">
        <v>365</v>
      </c>
      <c r="P82" s="258" t="s">
        <v>91</v>
      </c>
      <c r="Q82" s="259">
        <v>82069160</v>
      </c>
      <c r="R82" s="259">
        <v>0</v>
      </c>
      <c r="S82" s="259">
        <v>0</v>
      </c>
      <c r="T82" s="259">
        <v>0</v>
      </c>
      <c r="U82" s="247" t="s">
        <v>491</v>
      </c>
    </row>
    <row r="83" spans="1:21" ht="41.5" hidden="1" customHeight="1" x14ac:dyDescent="0.35">
      <c r="A83" s="247" t="s">
        <v>356</v>
      </c>
      <c r="B83" s="247" t="s">
        <v>150</v>
      </c>
      <c r="C83" s="247" t="s">
        <v>464</v>
      </c>
      <c r="D83" s="261">
        <v>46191505</v>
      </c>
      <c r="E83" s="249" t="s">
        <v>494</v>
      </c>
      <c r="F83" s="247" t="s">
        <v>495</v>
      </c>
      <c r="G83" s="250" t="s">
        <v>72</v>
      </c>
      <c r="H83" s="250" t="s">
        <v>76</v>
      </c>
      <c r="I83" s="251">
        <v>90</v>
      </c>
      <c r="J83" s="252" t="s">
        <v>381</v>
      </c>
      <c r="K83" s="253">
        <v>191195177</v>
      </c>
      <c r="L83" s="254">
        <v>0.19</v>
      </c>
      <c r="M83" s="255">
        <v>36327084</v>
      </c>
      <c r="N83" s="256">
        <v>227522261</v>
      </c>
      <c r="O83" s="257" t="s">
        <v>365</v>
      </c>
      <c r="P83" s="258" t="s">
        <v>91</v>
      </c>
      <c r="Q83" s="259">
        <v>227522261</v>
      </c>
      <c r="R83" s="259">
        <v>0</v>
      </c>
      <c r="S83" s="259">
        <v>0</v>
      </c>
      <c r="T83" s="259">
        <v>0</v>
      </c>
      <c r="U83" s="247" t="s">
        <v>496</v>
      </c>
    </row>
    <row r="84" spans="1:21" ht="41.5" hidden="1" customHeight="1" x14ac:dyDescent="0.35">
      <c r="A84" s="247" t="s">
        <v>356</v>
      </c>
      <c r="B84" s="247" t="s">
        <v>150</v>
      </c>
      <c r="C84" s="247" t="s">
        <v>464</v>
      </c>
      <c r="D84" s="261">
        <v>46171608</v>
      </c>
      <c r="E84" s="249" t="s">
        <v>497</v>
      </c>
      <c r="F84" s="247" t="s">
        <v>498</v>
      </c>
      <c r="G84" s="250" t="s">
        <v>67</v>
      </c>
      <c r="H84" s="250" t="s">
        <v>69</v>
      </c>
      <c r="I84" s="251">
        <v>365</v>
      </c>
      <c r="J84" s="252" t="s">
        <v>381</v>
      </c>
      <c r="K84" s="253">
        <v>100840336</v>
      </c>
      <c r="L84" s="254">
        <v>0.19</v>
      </c>
      <c r="M84" s="255">
        <v>19159664</v>
      </c>
      <c r="N84" s="256">
        <v>120000000</v>
      </c>
      <c r="O84" s="257" t="s">
        <v>365</v>
      </c>
      <c r="P84" s="258" t="s">
        <v>91</v>
      </c>
      <c r="Q84" s="259">
        <v>120000000</v>
      </c>
      <c r="R84" s="259">
        <v>0</v>
      </c>
      <c r="S84" s="259">
        <v>0</v>
      </c>
      <c r="T84" s="259">
        <v>0</v>
      </c>
      <c r="U84" s="247" t="s">
        <v>467</v>
      </c>
    </row>
    <row r="85" spans="1:21" ht="41.5" hidden="1" customHeight="1" x14ac:dyDescent="0.35">
      <c r="A85" s="247" t="s">
        <v>356</v>
      </c>
      <c r="B85" s="247" t="s">
        <v>150</v>
      </c>
      <c r="C85" s="247" t="s">
        <v>464</v>
      </c>
      <c r="D85" s="261">
        <v>81112200</v>
      </c>
      <c r="E85" s="249" t="s">
        <v>499</v>
      </c>
      <c r="F85" s="247" t="s">
        <v>500</v>
      </c>
      <c r="G85" s="250" t="s">
        <v>67</v>
      </c>
      <c r="H85" s="250" t="s">
        <v>69</v>
      </c>
      <c r="I85" s="251">
        <v>365</v>
      </c>
      <c r="J85" s="252" t="s">
        <v>381</v>
      </c>
      <c r="K85" s="253">
        <v>120000000</v>
      </c>
      <c r="L85" s="254">
        <v>0.19</v>
      </c>
      <c r="M85" s="255">
        <v>22800000</v>
      </c>
      <c r="N85" s="256">
        <v>142800000</v>
      </c>
      <c r="O85" s="257" t="s">
        <v>360</v>
      </c>
      <c r="P85" s="258" t="s">
        <v>361</v>
      </c>
      <c r="Q85" s="259">
        <v>107100000</v>
      </c>
      <c r="R85" s="259">
        <v>35700000</v>
      </c>
      <c r="S85" s="259">
        <v>0</v>
      </c>
      <c r="T85" s="259">
        <v>0</v>
      </c>
      <c r="U85" s="247" t="s">
        <v>467</v>
      </c>
    </row>
    <row r="86" spans="1:21" ht="41.5" hidden="1" customHeight="1" x14ac:dyDescent="0.35">
      <c r="A86" s="247" t="s">
        <v>356</v>
      </c>
      <c r="B86" s="247" t="s">
        <v>150</v>
      </c>
      <c r="C86" s="247" t="s">
        <v>464</v>
      </c>
      <c r="D86" s="248">
        <v>71161202</v>
      </c>
      <c r="E86" s="249" t="s">
        <v>501</v>
      </c>
      <c r="F86" s="247" t="s">
        <v>502</v>
      </c>
      <c r="G86" s="263" t="s">
        <v>66</v>
      </c>
      <c r="H86" s="250" t="s">
        <v>66</v>
      </c>
      <c r="I86" s="251">
        <v>360</v>
      </c>
      <c r="J86" s="252" t="s">
        <v>359</v>
      </c>
      <c r="K86" s="253">
        <v>19920000</v>
      </c>
      <c r="L86" s="254">
        <v>0</v>
      </c>
      <c r="M86" s="255">
        <v>0</v>
      </c>
      <c r="N86" s="256">
        <v>19920000</v>
      </c>
      <c r="O86" s="257" t="s">
        <v>365</v>
      </c>
      <c r="P86" s="258" t="s">
        <v>91</v>
      </c>
      <c r="Q86" s="259">
        <v>19920000</v>
      </c>
      <c r="R86" s="259">
        <v>0</v>
      </c>
      <c r="S86" s="259">
        <v>0</v>
      </c>
      <c r="T86" s="259">
        <v>0</v>
      </c>
      <c r="U86" s="247" t="s">
        <v>503</v>
      </c>
    </row>
    <row r="87" spans="1:21" ht="41.5" hidden="1" customHeight="1" x14ac:dyDescent="0.35">
      <c r="A87" s="247" t="s">
        <v>356</v>
      </c>
      <c r="B87" s="247" t="s">
        <v>150</v>
      </c>
      <c r="C87" s="247" t="s">
        <v>464</v>
      </c>
      <c r="D87" s="261">
        <v>77101804</v>
      </c>
      <c r="E87" s="249" t="s">
        <v>504</v>
      </c>
      <c r="F87" s="247" t="s">
        <v>505</v>
      </c>
      <c r="G87" s="250" t="s">
        <v>73</v>
      </c>
      <c r="H87" s="250" t="s">
        <v>75</v>
      </c>
      <c r="I87" s="251">
        <v>90</v>
      </c>
      <c r="J87" s="252" t="s">
        <v>359</v>
      </c>
      <c r="K87" s="253">
        <v>23012000</v>
      </c>
      <c r="L87" s="254">
        <v>0.19</v>
      </c>
      <c r="M87" s="255">
        <v>4372280</v>
      </c>
      <c r="N87" s="256">
        <v>27384280</v>
      </c>
      <c r="O87" s="257" t="s">
        <v>365</v>
      </c>
      <c r="P87" s="258" t="s">
        <v>91</v>
      </c>
      <c r="Q87" s="259">
        <v>27384280</v>
      </c>
      <c r="R87" s="259">
        <v>0</v>
      </c>
      <c r="S87" s="259">
        <v>0</v>
      </c>
      <c r="T87" s="259">
        <v>0</v>
      </c>
      <c r="U87" s="247" t="s">
        <v>506</v>
      </c>
    </row>
    <row r="88" spans="1:21" ht="41.5" hidden="1" customHeight="1" x14ac:dyDescent="0.35">
      <c r="A88" s="247" t="s">
        <v>356</v>
      </c>
      <c r="B88" s="247" t="s">
        <v>150</v>
      </c>
      <c r="C88" s="247" t="s">
        <v>464</v>
      </c>
      <c r="D88" s="261">
        <v>80101706</v>
      </c>
      <c r="E88" s="249" t="s">
        <v>454</v>
      </c>
      <c r="F88" s="247" t="s">
        <v>507</v>
      </c>
      <c r="G88" s="263" t="s">
        <v>66</v>
      </c>
      <c r="H88" s="263" t="s">
        <v>66</v>
      </c>
      <c r="I88" s="251">
        <v>240</v>
      </c>
      <c r="J88" s="252" t="s">
        <v>359</v>
      </c>
      <c r="K88" s="253">
        <v>50952000</v>
      </c>
      <c r="L88" s="254">
        <v>0</v>
      </c>
      <c r="M88" s="255">
        <v>0</v>
      </c>
      <c r="N88" s="256">
        <v>50952000</v>
      </c>
      <c r="O88" s="257" t="s">
        <v>365</v>
      </c>
      <c r="P88" s="258" t="s">
        <v>91</v>
      </c>
      <c r="Q88" s="259">
        <v>50952000</v>
      </c>
      <c r="R88" s="259">
        <v>0</v>
      </c>
      <c r="S88" s="259">
        <v>0</v>
      </c>
      <c r="T88" s="259">
        <v>0</v>
      </c>
      <c r="U88" s="247" t="s">
        <v>506</v>
      </c>
    </row>
    <row r="89" spans="1:21" ht="41.5" hidden="1" customHeight="1" x14ac:dyDescent="0.35">
      <c r="A89" s="247" t="s">
        <v>356</v>
      </c>
      <c r="B89" s="247" t="s">
        <v>150</v>
      </c>
      <c r="C89" s="247" t="s">
        <v>464</v>
      </c>
      <c r="D89" s="261">
        <v>55101506</v>
      </c>
      <c r="E89" s="249" t="s">
        <v>508</v>
      </c>
      <c r="F89" s="247" t="s">
        <v>509</v>
      </c>
      <c r="G89" s="263" t="s">
        <v>66</v>
      </c>
      <c r="H89" s="263" t="s">
        <v>66</v>
      </c>
      <c r="I89" s="251">
        <v>730</v>
      </c>
      <c r="J89" s="252" t="s">
        <v>470</v>
      </c>
      <c r="K89" s="253">
        <v>1595700</v>
      </c>
      <c r="L89" s="254">
        <v>0</v>
      </c>
      <c r="M89" s="255">
        <v>0</v>
      </c>
      <c r="N89" s="256">
        <v>1595700</v>
      </c>
      <c r="O89" s="257" t="s">
        <v>365</v>
      </c>
      <c r="P89" s="258" t="s">
        <v>91</v>
      </c>
      <c r="Q89" s="259">
        <v>1595700</v>
      </c>
      <c r="R89" s="259">
        <v>0</v>
      </c>
      <c r="S89" s="259">
        <v>0</v>
      </c>
      <c r="T89" s="259">
        <v>0</v>
      </c>
      <c r="U89" s="247" t="s">
        <v>510</v>
      </c>
    </row>
    <row r="90" spans="1:21" ht="41.5" hidden="1" customHeight="1" x14ac:dyDescent="0.35">
      <c r="A90" s="247" t="s">
        <v>356</v>
      </c>
      <c r="B90" s="247" t="s">
        <v>150</v>
      </c>
      <c r="C90" s="247" t="s">
        <v>464</v>
      </c>
      <c r="D90" s="261">
        <v>55101506</v>
      </c>
      <c r="E90" s="249" t="s">
        <v>508</v>
      </c>
      <c r="F90" s="247" t="s">
        <v>511</v>
      </c>
      <c r="G90" s="250" t="s">
        <v>75</v>
      </c>
      <c r="H90" s="250" t="s">
        <v>77</v>
      </c>
      <c r="I90" s="251">
        <v>730</v>
      </c>
      <c r="J90" s="252" t="s">
        <v>359</v>
      </c>
      <c r="K90" s="253">
        <v>33620904</v>
      </c>
      <c r="L90" s="254">
        <v>0</v>
      </c>
      <c r="M90" s="255">
        <v>0</v>
      </c>
      <c r="N90" s="256">
        <v>33620904</v>
      </c>
      <c r="O90" s="257" t="s">
        <v>360</v>
      </c>
      <c r="P90" s="258" t="s">
        <v>361</v>
      </c>
      <c r="Q90" s="259">
        <v>0</v>
      </c>
      <c r="R90" s="259">
        <v>33620904</v>
      </c>
      <c r="S90" s="259">
        <v>0</v>
      </c>
      <c r="T90" s="259">
        <v>0</v>
      </c>
      <c r="U90" s="247" t="s">
        <v>467</v>
      </c>
    </row>
    <row r="91" spans="1:21" ht="41.5" hidden="1" customHeight="1" x14ac:dyDescent="0.35">
      <c r="A91" s="247" t="s">
        <v>356</v>
      </c>
      <c r="B91" s="247" t="s">
        <v>150</v>
      </c>
      <c r="C91" s="247" t="s">
        <v>464</v>
      </c>
      <c r="D91" s="261">
        <v>72102103</v>
      </c>
      <c r="E91" s="249" t="s">
        <v>512</v>
      </c>
      <c r="F91" s="247" t="s">
        <v>513</v>
      </c>
      <c r="G91" s="250" t="s">
        <v>74</v>
      </c>
      <c r="H91" s="250" t="s">
        <v>76</v>
      </c>
      <c r="I91" s="251">
        <v>1095</v>
      </c>
      <c r="J91" s="252" t="s">
        <v>359</v>
      </c>
      <c r="K91" s="253">
        <v>29853000</v>
      </c>
      <c r="L91" s="254">
        <v>0.19</v>
      </c>
      <c r="M91" s="255">
        <v>5672070</v>
      </c>
      <c r="N91" s="256">
        <v>35525070</v>
      </c>
      <c r="O91" s="257" t="s">
        <v>360</v>
      </c>
      <c r="P91" s="258" t="s">
        <v>361</v>
      </c>
      <c r="Q91" s="259">
        <v>0</v>
      </c>
      <c r="R91" s="259">
        <v>11841690</v>
      </c>
      <c r="S91" s="259">
        <v>11841690</v>
      </c>
      <c r="T91" s="259">
        <v>11841690</v>
      </c>
      <c r="U91" s="247" t="s">
        <v>506</v>
      </c>
    </row>
    <row r="92" spans="1:21" ht="41.5" hidden="1" customHeight="1" x14ac:dyDescent="0.35">
      <c r="A92" s="247" t="s">
        <v>356</v>
      </c>
      <c r="B92" s="247" t="s">
        <v>150</v>
      </c>
      <c r="C92" s="247" t="s">
        <v>464</v>
      </c>
      <c r="D92" s="261">
        <v>26131507</v>
      </c>
      <c r="E92" s="249" t="s">
        <v>514</v>
      </c>
      <c r="F92" s="247" t="s">
        <v>515</v>
      </c>
      <c r="G92" s="250" t="s">
        <v>72</v>
      </c>
      <c r="H92" s="250" t="s">
        <v>74</v>
      </c>
      <c r="I92" s="251">
        <v>120</v>
      </c>
      <c r="J92" s="252" t="s">
        <v>359</v>
      </c>
      <c r="K92" s="253">
        <v>58823529.411764711</v>
      </c>
      <c r="L92" s="254">
        <v>0.19</v>
      </c>
      <c r="M92" s="255">
        <v>11176470.588235289</v>
      </c>
      <c r="N92" s="256">
        <v>70000000</v>
      </c>
      <c r="O92" s="257" t="s">
        <v>365</v>
      </c>
      <c r="P92" s="258" t="s">
        <v>91</v>
      </c>
      <c r="Q92" s="259">
        <v>70000000</v>
      </c>
      <c r="R92" s="259">
        <v>0</v>
      </c>
      <c r="S92" s="259">
        <v>0</v>
      </c>
      <c r="T92" s="259">
        <v>0</v>
      </c>
      <c r="U92" s="247" t="s">
        <v>516</v>
      </c>
    </row>
    <row r="93" spans="1:21" ht="41.5" hidden="1" customHeight="1" x14ac:dyDescent="0.35">
      <c r="A93" s="247" t="s">
        <v>356</v>
      </c>
      <c r="B93" s="247" t="s">
        <v>150</v>
      </c>
      <c r="C93" s="247" t="s">
        <v>464</v>
      </c>
      <c r="D93" s="261">
        <v>47101523</v>
      </c>
      <c r="E93" s="249" t="s">
        <v>517</v>
      </c>
      <c r="F93" s="247" t="s">
        <v>518</v>
      </c>
      <c r="G93" s="250" t="s">
        <v>72</v>
      </c>
      <c r="H93" s="250" t="s">
        <v>74</v>
      </c>
      <c r="I93" s="251">
        <v>90</v>
      </c>
      <c r="J93" s="252" t="s">
        <v>359</v>
      </c>
      <c r="K93" s="253">
        <v>25210084.033613447</v>
      </c>
      <c r="L93" s="254">
        <v>0.19</v>
      </c>
      <c r="M93" s="255">
        <v>4789915.9663865529</v>
      </c>
      <c r="N93" s="256">
        <v>30000000</v>
      </c>
      <c r="O93" s="257" t="s">
        <v>365</v>
      </c>
      <c r="P93" s="258" t="s">
        <v>91</v>
      </c>
      <c r="Q93" s="259">
        <v>30000000</v>
      </c>
      <c r="R93" s="259">
        <v>0</v>
      </c>
      <c r="S93" s="259">
        <v>0</v>
      </c>
      <c r="T93" s="259">
        <v>0</v>
      </c>
      <c r="U93" s="247" t="s">
        <v>516</v>
      </c>
    </row>
    <row r="94" spans="1:21" ht="41.5" hidden="1" customHeight="1" x14ac:dyDescent="0.35">
      <c r="A94" s="247" t="s">
        <v>356</v>
      </c>
      <c r="B94" s="247" t="s">
        <v>150</v>
      </c>
      <c r="C94" s="247" t="s">
        <v>464</v>
      </c>
      <c r="D94" s="261">
        <v>46171506</v>
      </c>
      <c r="E94" s="249" t="s">
        <v>519</v>
      </c>
      <c r="F94" s="247" t="s">
        <v>520</v>
      </c>
      <c r="G94" s="250" t="s">
        <v>72</v>
      </c>
      <c r="H94" s="250" t="s">
        <v>74</v>
      </c>
      <c r="I94" s="251">
        <v>60</v>
      </c>
      <c r="J94" s="252" t="s">
        <v>359</v>
      </c>
      <c r="K94" s="253">
        <v>33613445.37815126</v>
      </c>
      <c r="L94" s="254">
        <v>0.19</v>
      </c>
      <c r="M94" s="255">
        <v>6386554.6218487397</v>
      </c>
      <c r="N94" s="256">
        <v>40000000</v>
      </c>
      <c r="O94" s="257" t="s">
        <v>365</v>
      </c>
      <c r="P94" s="258" t="s">
        <v>91</v>
      </c>
      <c r="Q94" s="259">
        <v>40000000</v>
      </c>
      <c r="R94" s="259">
        <v>0</v>
      </c>
      <c r="S94" s="259">
        <v>0</v>
      </c>
      <c r="T94" s="259">
        <v>0</v>
      </c>
      <c r="U94" s="247" t="s">
        <v>521</v>
      </c>
    </row>
    <row r="95" spans="1:21" ht="41.5" hidden="1" customHeight="1" x14ac:dyDescent="0.35">
      <c r="A95" s="247" t="s">
        <v>356</v>
      </c>
      <c r="B95" s="247" t="s">
        <v>150</v>
      </c>
      <c r="C95" s="247" t="s">
        <v>464</v>
      </c>
      <c r="D95" s="261">
        <v>95141707</v>
      </c>
      <c r="E95" s="249" t="s">
        <v>522</v>
      </c>
      <c r="F95" s="247" t="s">
        <v>523</v>
      </c>
      <c r="G95" s="250" t="s">
        <v>70</v>
      </c>
      <c r="H95" s="250" t="s">
        <v>73</v>
      </c>
      <c r="I95" s="251">
        <v>120</v>
      </c>
      <c r="J95" s="252" t="s">
        <v>381</v>
      </c>
      <c r="K95" s="253">
        <v>294117647</v>
      </c>
      <c r="L95" s="254">
        <v>0.19</v>
      </c>
      <c r="M95" s="255">
        <v>55882352.93</v>
      </c>
      <c r="N95" s="256">
        <v>349999999.93000001</v>
      </c>
      <c r="O95" s="257" t="s">
        <v>365</v>
      </c>
      <c r="P95" s="258" t="s">
        <v>91</v>
      </c>
      <c r="Q95" s="259">
        <v>349999999.93000001</v>
      </c>
      <c r="R95" s="259">
        <v>0</v>
      </c>
      <c r="S95" s="259">
        <v>0</v>
      </c>
      <c r="T95" s="259">
        <v>0</v>
      </c>
      <c r="U95" s="247" t="s">
        <v>521</v>
      </c>
    </row>
    <row r="96" spans="1:21" ht="41.5" hidden="1" customHeight="1" x14ac:dyDescent="0.35">
      <c r="A96" s="247" t="s">
        <v>356</v>
      </c>
      <c r="B96" s="247" t="s">
        <v>150</v>
      </c>
      <c r="C96" s="247" t="s">
        <v>464</v>
      </c>
      <c r="D96" s="261">
        <v>46191601</v>
      </c>
      <c r="E96" s="249" t="s">
        <v>524</v>
      </c>
      <c r="F96" s="247" t="s">
        <v>525</v>
      </c>
      <c r="G96" s="250" t="s">
        <v>72</v>
      </c>
      <c r="H96" s="250" t="s">
        <v>74</v>
      </c>
      <c r="I96" s="251">
        <v>30</v>
      </c>
      <c r="J96" s="252" t="s">
        <v>470</v>
      </c>
      <c r="K96" s="253">
        <v>3361344.5378151261</v>
      </c>
      <c r="L96" s="254">
        <v>0.19</v>
      </c>
      <c r="M96" s="255">
        <v>638655.46218487388</v>
      </c>
      <c r="N96" s="256">
        <v>4000000</v>
      </c>
      <c r="O96" s="257" t="s">
        <v>365</v>
      </c>
      <c r="P96" s="258" t="s">
        <v>91</v>
      </c>
      <c r="Q96" s="259">
        <v>4000000</v>
      </c>
      <c r="R96" s="259">
        <v>0</v>
      </c>
      <c r="S96" s="259">
        <v>0</v>
      </c>
      <c r="T96" s="259">
        <v>0</v>
      </c>
      <c r="U96" s="247" t="s">
        <v>526</v>
      </c>
    </row>
    <row r="97" spans="1:21" ht="41.5" hidden="1" customHeight="1" x14ac:dyDescent="0.35">
      <c r="A97" s="247" t="s">
        <v>356</v>
      </c>
      <c r="B97" s="247" t="s">
        <v>150</v>
      </c>
      <c r="C97" s="247" t="s">
        <v>464</v>
      </c>
      <c r="D97" s="248">
        <v>22101527</v>
      </c>
      <c r="E97" s="249" t="s">
        <v>527</v>
      </c>
      <c r="F97" s="247" t="s">
        <v>528</v>
      </c>
      <c r="G97" s="268" t="s">
        <v>72</v>
      </c>
      <c r="H97" s="268" t="s">
        <v>73</v>
      </c>
      <c r="I97" s="269">
        <v>120</v>
      </c>
      <c r="J97" s="252" t="s">
        <v>359</v>
      </c>
      <c r="K97" s="253">
        <v>10000000</v>
      </c>
      <c r="L97" s="254">
        <v>0.19</v>
      </c>
      <c r="M97" s="255">
        <v>1900000</v>
      </c>
      <c r="N97" s="256">
        <v>11900000</v>
      </c>
      <c r="O97" s="257" t="s">
        <v>365</v>
      </c>
      <c r="P97" s="258" t="s">
        <v>91</v>
      </c>
      <c r="Q97" s="259">
        <v>11900000</v>
      </c>
      <c r="R97" s="259">
        <v>0</v>
      </c>
      <c r="S97" s="259">
        <v>0</v>
      </c>
      <c r="T97" s="259">
        <v>0</v>
      </c>
      <c r="U97" s="247" t="s">
        <v>526</v>
      </c>
    </row>
    <row r="98" spans="1:21" ht="41.5" hidden="1" customHeight="1" x14ac:dyDescent="0.35">
      <c r="A98" s="247" t="s">
        <v>356</v>
      </c>
      <c r="B98" s="247" t="s">
        <v>150</v>
      </c>
      <c r="C98" s="247" t="s">
        <v>464</v>
      </c>
      <c r="D98" s="261">
        <v>48101705</v>
      </c>
      <c r="E98" s="249" t="s">
        <v>472</v>
      </c>
      <c r="F98" s="270" t="s">
        <v>529</v>
      </c>
      <c r="G98" s="268" t="s">
        <v>72</v>
      </c>
      <c r="H98" s="268" t="s">
        <v>74</v>
      </c>
      <c r="I98" s="269">
        <v>30</v>
      </c>
      <c r="J98" s="252" t="s">
        <v>359</v>
      </c>
      <c r="K98" s="253">
        <v>33613445.37815126</v>
      </c>
      <c r="L98" s="254">
        <v>0.19</v>
      </c>
      <c r="M98" s="255">
        <v>6386554.6218487397</v>
      </c>
      <c r="N98" s="256">
        <v>40000000</v>
      </c>
      <c r="O98" s="257" t="s">
        <v>365</v>
      </c>
      <c r="P98" s="258" t="s">
        <v>91</v>
      </c>
      <c r="Q98" s="259">
        <v>40000000</v>
      </c>
      <c r="R98" s="259">
        <v>0</v>
      </c>
      <c r="S98" s="259">
        <v>0</v>
      </c>
      <c r="T98" s="259">
        <v>0</v>
      </c>
      <c r="U98" s="247" t="s">
        <v>471</v>
      </c>
    </row>
    <row r="99" spans="1:21" ht="41.5" hidden="1" customHeight="1" x14ac:dyDescent="0.35">
      <c r="A99" s="247" t="s">
        <v>356</v>
      </c>
      <c r="B99" s="247" t="s">
        <v>150</v>
      </c>
      <c r="C99" s="247" t="s">
        <v>464</v>
      </c>
      <c r="D99" s="261">
        <v>24111803</v>
      </c>
      <c r="E99" s="249" t="s">
        <v>530</v>
      </c>
      <c r="F99" s="247" t="s">
        <v>531</v>
      </c>
      <c r="G99" s="250" t="s">
        <v>72</v>
      </c>
      <c r="H99" s="250" t="s">
        <v>74</v>
      </c>
      <c r="I99" s="251">
        <v>60</v>
      </c>
      <c r="J99" s="252" t="s">
        <v>359</v>
      </c>
      <c r="K99" s="253">
        <v>16806722.68907563</v>
      </c>
      <c r="L99" s="254">
        <v>0.19</v>
      </c>
      <c r="M99" s="255">
        <v>3193277.3109243698</v>
      </c>
      <c r="N99" s="256">
        <v>20000000</v>
      </c>
      <c r="O99" s="257" t="s">
        <v>365</v>
      </c>
      <c r="P99" s="258" t="s">
        <v>91</v>
      </c>
      <c r="Q99" s="259">
        <v>20000000</v>
      </c>
      <c r="R99" s="259">
        <v>0</v>
      </c>
      <c r="S99" s="259">
        <v>0</v>
      </c>
      <c r="T99" s="259">
        <v>0</v>
      </c>
      <c r="U99" s="247" t="s">
        <v>526</v>
      </c>
    </row>
    <row r="100" spans="1:21" ht="41.5" hidden="1" customHeight="1" x14ac:dyDescent="0.35">
      <c r="A100" s="247" t="s">
        <v>356</v>
      </c>
      <c r="B100" s="247" t="s">
        <v>532</v>
      </c>
      <c r="C100" s="247" t="s">
        <v>533</v>
      </c>
      <c r="D100" s="261">
        <v>80161501</v>
      </c>
      <c r="E100" s="249" t="s">
        <v>534</v>
      </c>
      <c r="F100" s="247" t="s">
        <v>535</v>
      </c>
      <c r="G100" s="250" t="s">
        <v>66</v>
      </c>
      <c r="H100" s="250" t="s">
        <v>66</v>
      </c>
      <c r="I100" s="251">
        <v>150</v>
      </c>
      <c r="J100" s="252" t="s">
        <v>359</v>
      </c>
      <c r="K100" s="253">
        <v>21918000</v>
      </c>
      <c r="L100" s="254">
        <v>0</v>
      </c>
      <c r="M100" s="255">
        <v>0</v>
      </c>
      <c r="N100" s="256">
        <v>21918000</v>
      </c>
      <c r="O100" s="257" t="s">
        <v>365</v>
      </c>
      <c r="P100" s="258" t="s">
        <v>91</v>
      </c>
      <c r="Q100" s="259">
        <v>21918000</v>
      </c>
      <c r="R100" s="259">
        <v>0</v>
      </c>
      <c r="S100" s="259">
        <v>0</v>
      </c>
      <c r="T100" s="259">
        <v>0</v>
      </c>
      <c r="U100" s="247" t="s">
        <v>536</v>
      </c>
    </row>
    <row r="101" spans="1:21" ht="41.5" hidden="1" customHeight="1" x14ac:dyDescent="0.35">
      <c r="A101" s="247" t="s">
        <v>356</v>
      </c>
      <c r="B101" s="247" t="s">
        <v>532</v>
      </c>
      <c r="C101" s="247" t="s">
        <v>537</v>
      </c>
      <c r="D101" s="261">
        <v>80101505</v>
      </c>
      <c r="E101" s="249" t="s">
        <v>538</v>
      </c>
      <c r="F101" s="247" t="s">
        <v>539</v>
      </c>
      <c r="G101" s="263" t="s">
        <v>73</v>
      </c>
      <c r="H101" s="250" t="s">
        <v>74</v>
      </c>
      <c r="I101" s="251">
        <v>90</v>
      </c>
      <c r="J101" s="252" t="s">
        <v>359</v>
      </c>
      <c r="K101" s="253">
        <v>18095000</v>
      </c>
      <c r="L101" s="254">
        <v>0.19</v>
      </c>
      <c r="M101" s="255">
        <v>3438050</v>
      </c>
      <c r="N101" s="256">
        <v>21533050</v>
      </c>
      <c r="O101" s="257" t="s">
        <v>365</v>
      </c>
      <c r="P101" s="258" t="s">
        <v>91</v>
      </c>
      <c r="Q101" s="259">
        <v>21533050</v>
      </c>
      <c r="R101" s="259">
        <v>0</v>
      </c>
      <c r="S101" s="259">
        <v>0</v>
      </c>
      <c r="T101" s="259">
        <v>0</v>
      </c>
      <c r="U101" s="247" t="s">
        <v>540</v>
      </c>
    </row>
    <row r="102" spans="1:21" ht="41.5" hidden="1" customHeight="1" x14ac:dyDescent="0.35">
      <c r="A102" s="247" t="s">
        <v>356</v>
      </c>
      <c r="B102" s="247" t="s">
        <v>532</v>
      </c>
      <c r="C102" s="247" t="s">
        <v>537</v>
      </c>
      <c r="D102" s="261">
        <v>80101505</v>
      </c>
      <c r="E102" s="249" t="s">
        <v>538</v>
      </c>
      <c r="F102" s="247" t="s">
        <v>541</v>
      </c>
      <c r="G102" s="263" t="s">
        <v>69</v>
      </c>
      <c r="H102" s="250" t="s">
        <v>70</v>
      </c>
      <c r="I102" s="251">
        <v>210</v>
      </c>
      <c r="J102" s="252" t="s">
        <v>373</v>
      </c>
      <c r="K102" s="253">
        <v>60000000</v>
      </c>
      <c r="L102" s="254">
        <v>0.19</v>
      </c>
      <c r="M102" s="255">
        <v>11400000</v>
      </c>
      <c r="N102" s="256">
        <v>71400000</v>
      </c>
      <c r="O102" s="257" t="s">
        <v>365</v>
      </c>
      <c r="P102" s="258" t="s">
        <v>91</v>
      </c>
      <c r="Q102" s="259">
        <v>71400000</v>
      </c>
      <c r="R102" s="259">
        <v>0</v>
      </c>
      <c r="S102" s="259">
        <v>0</v>
      </c>
      <c r="T102" s="259">
        <v>0</v>
      </c>
      <c r="U102" s="247" t="s">
        <v>540</v>
      </c>
    </row>
    <row r="103" spans="1:21" ht="41.5" hidden="1" customHeight="1" x14ac:dyDescent="0.35">
      <c r="A103" s="247" t="s">
        <v>356</v>
      </c>
      <c r="B103" s="247" t="s">
        <v>532</v>
      </c>
      <c r="C103" s="247" t="s">
        <v>537</v>
      </c>
      <c r="D103" s="261">
        <v>81111504</v>
      </c>
      <c r="E103" s="249" t="s">
        <v>542</v>
      </c>
      <c r="F103" s="247" t="s">
        <v>543</v>
      </c>
      <c r="G103" s="263" t="s">
        <v>72</v>
      </c>
      <c r="H103" s="250" t="s">
        <v>73</v>
      </c>
      <c r="I103" s="251">
        <v>180</v>
      </c>
      <c r="J103" s="252" t="s">
        <v>359</v>
      </c>
      <c r="K103" s="253">
        <v>20000000</v>
      </c>
      <c r="L103" s="254">
        <v>0.19</v>
      </c>
      <c r="M103" s="255">
        <v>3800000</v>
      </c>
      <c r="N103" s="256">
        <v>23800000</v>
      </c>
      <c r="O103" s="257" t="s">
        <v>365</v>
      </c>
      <c r="P103" s="258" t="s">
        <v>91</v>
      </c>
      <c r="Q103" s="265">
        <v>35700000</v>
      </c>
      <c r="R103" s="259">
        <v>0</v>
      </c>
      <c r="S103" s="259">
        <v>0</v>
      </c>
      <c r="T103" s="259">
        <v>0</v>
      </c>
      <c r="U103" s="247" t="s">
        <v>544</v>
      </c>
    </row>
    <row r="104" spans="1:21" ht="41.5" hidden="1" customHeight="1" x14ac:dyDescent="0.35">
      <c r="A104" s="247" t="s">
        <v>356</v>
      </c>
      <c r="B104" s="247" t="s">
        <v>532</v>
      </c>
      <c r="C104" s="247" t="s">
        <v>537</v>
      </c>
      <c r="D104" s="261">
        <v>80101505</v>
      </c>
      <c r="E104" s="249" t="s">
        <v>538</v>
      </c>
      <c r="F104" s="247" t="s">
        <v>545</v>
      </c>
      <c r="G104" s="263" t="s">
        <v>72</v>
      </c>
      <c r="H104" s="250" t="s">
        <v>73</v>
      </c>
      <c r="I104" s="251">
        <v>180</v>
      </c>
      <c r="J104" s="252" t="s">
        <v>359</v>
      </c>
      <c r="K104" s="253">
        <v>60000000</v>
      </c>
      <c r="L104" s="254">
        <v>0.19</v>
      </c>
      <c r="M104" s="255">
        <v>11400000</v>
      </c>
      <c r="N104" s="256">
        <v>71400000</v>
      </c>
      <c r="O104" s="257" t="s">
        <v>365</v>
      </c>
      <c r="P104" s="258" t="s">
        <v>91</v>
      </c>
      <c r="Q104" s="265">
        <v>59500000</v>
      </c>
      <c r="R104" s="259">
        <v>0</v>
      </c>
      <c r="S104" s="259">
        <v>0</v>
      </c>
      <c r="T104" s="259">
        <v>0</v>
      </c>
      <c r="U104" s="247" t="s">
        <v>546</v>
      </c>
    </row>
    <row r="105" spans="1:21" ht="41.5" hidden="1" customHeight="1" x14ac:dyDescent="0.35">
      <c r="A105" s="247" t="s">
        <v>356</v>
      </c>
      <c r="B105" s="247" t="s">
        <v>532</v>
      </c>
      <c r="C105" s="247" t="s">
        <v>533</v>
      </c>
      <c r="D105" s="261">
        <v>84111600</v>
      </c>
      <c r="E105" s="249" t="s">
        <v>403</v>
      </c>
      <c r="F105" s="247" t="s">
        <v>547</v>
      </c>
      <c r="G105" s="263" t="s">
        <v>72</v>
      </c>
      <c r="H105" s="250" t="s">
        <v>73</v>
      </c>
      <c r="I105" s="251">
        <v>180</v>
      </c>
      <c r="J105" s="252" t="s">
        <v>359</v>
      </c>
      <c r="K105" s="253">
        <v>29208075</v>
      </c>
      <c r="L105" s="254">
        <v>0.19</v>
      </c>
      <c r="M105" s="255">
        <v>5549534.25</v>
      </c>
      <c r="N105" s="256">
        <v>34757609.25</v>
      </c>
      <c r="O105" s="257" t="s">
        <v>365</v>
      </c>
      <c r="P105" s="258" t="s">
        <v>91</v>
      </c>
      <c r="Q105" s="259">
        <v>34757609.25</v>
      </c>
      <c r="R105" s="259">
        <v>0</v>
      </c>
      <c r="S105" s="259">
        <v>0</v>
      </c>
      <c r="T105" s="259">
        <v>0</v>
      </c>
      <c r="U105" s="247" t="s">
        <v>548</v>
      </c>
    </row>
    <row r="106" spans="1:21" ht="41.5" hidden="1" customHeight="1" x14ac:dyDescent="0.35">
      <c r="A106" s="247" t="s">
        <v>356</v>
      </c>
      <c r="B106" s="247" t="s">
        <v>532</v>
      </c>
      <c r="C106" s="247" t="s">
        <v>533</v>
      </c>
      <c r="D106" s="261">
        <v>81112218</v>
      </c>
      <c r="E106" s="249" t="s">
        <v>549</v>
      </c>
      <c r="F106" s="247" t="s">
        <v>550</v>
      </c>
      <c r="G106" s="263" t="s">
        <v>72</v>
      </c>
      <c r="H106" s="250" t="s">
        <v>73</v>
      </c>
      <c r="I106" s="251">
        <v>365</v>
      </c>
      <c r="J106" s="252" t="s">
        <v>359</v>
      </c>
      <c r="K106" s="253">
        <v>108777890.2</v>
      </c>
      <c r="L106" s="254">
        <v>0.19</v>
      </c>
      <c r="M106" s="255">
        <v>20667799.138</v>
      </c>
      <c r="N106" s="256">
        <v>129445689.338</v>
      </c>
      <c r="O106" s="257" t="s">
        <v>360</v>
      </c>
      <c r="P106" s="258" t="s">
        <v>361</v>
      </c>
      <c r="Q106" s="259">
        <v>121389165.38</v>
      </c>
      <c r="R106" s="259">
        <v>8056523.9579999996</v>
      </c>
      <c r="S106" s="259">
        <v>0</v>
      </c>
      <c r="T106" s="259">
        <v>0</v>
      </c>
      <c r="U106" s="247" t="s">
        <v>551</v>
      </c>
    </row>
    <row r="107" spans="1:21" ht="41.5" hidden="1" customHeight="1" x14ac:dyDescent="0.35">
      <c r="A107" s="247" t="s">
        <v>356</v>
      </c>
      <c r="B107" s="247" t="s">
        <v>532</v>
      </c>
      <c r="C107" s="247" t="s">
        <v>552</v>
      </c>
      <c r="D107" s="261">
        <v>81112219</v>
      </c>
      <c r="E107" s="249" t="s">
        <v>553</v>
      </c>
      <c r="F107" s="247" t="s">
        <v>554</v>
      </c>
      <c r="G107" s="250" t="s">
        <v>66</v>
      </c>
      <c r="H107" s="250" t="s">
        <v>67</v>
      </c>
      <c r="I107" s="251">
        <v>720</v>
      </c>
      <c r="J107" s="252" t="s">
        <v>373</v>
      </c>
      <c r="K107" s="253">
        <v>3311554056</v>
      </c>
      <c r="L107" s="254">
        <v>0.19</v>
      </c>
      <c r="M107" s="255">
        <v>629195270.63999999</v>
      </c>
      <c r="N107" s="256">
        <v>3940749326.6399999</v>
      </c>
      <c r="O107" s="257" t="s">
        <v>360</v>
      </c>
      <c r="P107" s="258" t="s">
        <v>463</v>
      </c>
      <c r="Q107" s="259">
        <v>2142000000</v>
      </c>
      <c r="R107" s="259">
        <v>1441749327</v>
      </c>
      <c r="S107" s="259">
        <v>357000000</v>
      </c>
      <c r="T107" s="259">
        <v>0</v>
      </c>
      <c r="U107" s="247" t="s">
        <v>555</v>
      </c>
    </row>
    <row r="108" spans="1:21" ht="41.5" hidden="1" customHeight="1" x14ac:dyDescent="0.35">
      <c r="A108" s="247" t="s">
        <v>356</v>
      </c>
      <c r="B108" s="247" t="s">
        <v>532</v>
      </c>
      <c r="C108" s="247" t="s">
        <v>556</v>
      </c>
      <c r="D108" s="248">
        <v>81111508</v>
      </c>
      <c r="E108" s="249" t="s">
        <v>557</v>
      </c>
      <c r="F108" s="247" t="s">
        <v>558</v>
      </c>
      <c r="G108" s="250" t="s">
        <v>66</v>
      </c>
      <c r="H108" s="250" t="s">
        <v>66</v>
      </c>
      <c r="I108" s="251">
        <v>720</v>
      </c>
      <c r="J108" s="252" t="s">
        <v>359</v>
      </c>
      <c r="K108" s="253">
        <v>16510522596</v>
      </c>
      <c r="L108" s="254">
        <v>0.19</v>
      </c>
      <c r="M108" s="255">
        <v>3136999293.2400002</v>
      </c>
      <c r="N108" s="256">
        <v>19647521889.240002</v>
      </c>
      <c r="O108" s="257" t="s">
        <v>360</v>
      </c>
      <c r="P108" s="258" t="s">
        <v>374</v>
      </c>
      <c r="Q108" s="259">
        <v>8572165000</v>
      </c>
      <c r="R108" s="259">
        <v>10358611613</v>
      </c>
      <c r="S108" s="259">
        <v>716745276</v>
      </c>
      <c r="T108" s="259">
        <v>0</v>
      </c>
      <c r="U108" s="247" t="s">
        <v>559</v>
      </c>
    </row>
    <row r="109" spans="1:21" ht="41.5" hidden="1" customHeight="1" x14ac:dyDescent="0.35">
      <c r="A109" s="247" t="s">
        <v>356</v>
      </c>
      <c r="B109" s="247" t="s">
        <v>532</v>
      </c>
      <c r="C109" s="247" t="s">
        <v>552</v>
      </c>
      <c r="D109" s="248">
        <v>80101706</v>
      </c>
      <c r="E109" s="249" t="s">
        <v>560</v>
      </c>
      <c r="F109" s="247" t="s">
        <v>561</v>
      </c>
      <c r="G109" s="250" t="s">
        <v>66</v>
      </c>
      <c r="H109" s="250" t="s">
        <v>66</v>
      </c>
      <c r="I109" s="251">
        <v>210</v>
      </c>
      <c r="J109" s="252" t="s">
        <v>359</v>
      </c>
      <c r="K109" s="253">
        <v>59500000</v>
      </c>
      <c r="L109" s="254">
        <v>0</v>
      </c>
      <c r="M109" s="255">
        <v>0</v>
      </c>
      <c r="N109" s="256">
        <v>59500000</v>
      </c>
      <c r="O109" s="257" t="s">
        <v>365</v>
      </c>
      <c r="P109" s="258" t="s">
        <v>91</v>
      </c>
      <c r="Q109" s="259">
        <v>59500000</v>
      </c>
      <c r="R109" s="259">
        <v>0</v>
      </c>
      <c r="S109" s="259">
        <v>0</v>
      </c>
      <c r="T109" s="259">
        <v>0</v>
      </c>
      <c r="U109" s="247" t="s">
        <v>562</v>
      </c>
    </row>
    <row r="110" spans="1:21" ht="41.5" hidden="1" customHeight="1" x14ac:dyDescent="0.35">
      <c r="A110" s="247" t="s">
        <v>356</v>
      </c>
      <c r="B110" s="247" t="s">
        <v>532</v>
      </c>
      <c r="C110" s="247" t="s">
        <v>563</v>
      </c>
      <c r="D110" s="261">
        <v>81111705</v>
      </c>
      <c r="E110" s="249" t="s">
        <v>564</v>
      </c>
      <c r="F110" s="247" t="s">
        <v>565</v>
      </c>
      <c r="G110" s="250" t="s">
        <v>66</v>
      </c>
      <c r="H110" s="250" t="s">
        <v>67</v>
      </c>
      <c r="I110" s="251">
        <v>1080</v>
      </c>
      <c r="J110" s="252" t="s">
        <v>381</v>
      </c>
      <c r="K110" s="253">
        <v>600975942</v>
      </c>
      <c r="L110" s="254">
        <v>0.19</v>
      </c>
      <c r="M110" s="255">
        <v>114185429</v>
      </c>
      <c r="N110" s="256">
        <v>715161371</v>
      </c>
      <c r="O110" s="257" t="s">
        <v>360</v>
      </c>
      <c r="P110" s="258" t="s">
        <v>361</v>
      </c>
      <c r="Q110" s="259">
        <v>238387124</v>
      </c>
      <c r="R110" s="259">
        <v>238387124</v>
      </c>
      <c r="S110" s="259">
        <v>238387124</v>
      </c>
      <c r="T110" s="259">
        <v>0</v>
      </c>
      <c r="U110" s="247" t="s">
        <v>566</v>
      </c>
    </row>
    <row r="111" spans="1:21" ht="41.5" hidden="1" customHeight="1" x14ac:dyDescent="0.35">
      <c r="A111" s="247" t="s">
        <v>356</v>
      </c>
      <c r="B111" s="247" t="s">
        <v>532</v>
      </c>
      <c r="C111" s="247" t="s">
        <v>563</v>
      </c>
      <c r="D111" s="261">
        <v>81111705</v>
      </c>
      <c r="E111" s="249" t="s">
        <v>564</v>
      </c>
      <c r="F111" s="247" t="s">
        <v>567</v>
      </c>
      <c r="G111" s="250" t="s">
        <v>67</v>
      </c>
      <c r="H111" s="250" t="s">
        <v>69</v>
      </c>
      <c r="I111" s="251">
        <v>1080</v>
      </c>
      <c r="J111" s="252" t="s">
        <v>373</v>
      </c>
      <c r="K111" s="253">
        <v>5190647536</v>
      </c>
      <c r="L111" s="254">
        <v>0</v>
      </c>
      <c r="M111" s="255">
        <v>0</v>
      </c>
      <c r="N111" s="256">
        <v>5190647536</v>
      </c>
      <c r="O111" s="257" t="s">
        <v>360</v>
      </c>
      <c r="P111" s="258" t="s">
        <v>361</v>
      </c>
      <c r="Q111" s="259">
        <v>297442996</v>
      </c>
      <c r="R111" s="259">
        <v>1779347105</v>
      </c>
      <c r="S111" s="259">
        <v>1779347105</v>
      </c>
      <c r="T111" s="259">
        <v>1334510329</v>
      </c>
      <c r="U111" s="247" t="s">
        <v>566</v>
      </c>
    </row>
    <row r="112" spans="1:21" ht="41.5" hidden="1" customHeight="1" x14ac:dyDescent="0.35">
      <c r="A112" s="247" t="s">
        <v>356</v>
      </c>
      <c r="B112" s="247" t="s">
        <v>532</v>
      </c>
      <c r="C112" s="247" t="s">
        <v>563</v>
      </c>
      <c r="D112" s="261">
        <v>81111705</v>
      </c>
      <c r="E112" s="249" t="s">
        <v>564</v>
      </c>
      <c r="F112" s="247" t="s">
        <v>567</v>
      </c>
      <c r="G112" s="250" t="s">
        <v>67</v>
      </c>
      <c r="H112" s="250" t="s">
        <v>69</v>
      </c>
      <c r="I112" s="251">
        <v>1080</v>
      </c>
      <c r="J112" s="252" t="s">
        <v>373</v>
      </c>
      <c r="K112" s="253">
        <v>4080943975</v>
      </c>
      <c r="L112" s="254">
        <v>0.19</v>
      </c>
      <c r="M112" s="255">
        <v>775379355.25</v>
      </c>
      <c r="N112" s="256">
        <v>4856323330.25</v>
      </c>
      <c r="O112" s="257" t="s">
        <v>360</v>
      </c>
      <c r="P112" s="258" t="s">
        <v>361</v>
      </c>
      <c r="Q112" s="259">
        <v>309400000</v>
      </c>
      <c r="R112" s="259">
        <v>1653426667</v>
      </c>
      <c r="S112" s="259">
        <v>1653426667</v>
      </c>
      <c r="T112" s="259">
        <v>1240069996</v>
      </c>
      <c r="U112" s="247" t="s">
        <v>566</v>
      </c>
    </row>
    <row r="113" spans="1:21" ht="41.5" hidden="1" customHeight="1" x14ac:dyDescent="0.35">
      <c r="A113" s="247" t="s">
        <v>356</v>
      </c>
      <c r="B113" s="247" t="s">
        <v>532</v>
      </c>
      <c r="C113" s="247" t="s">
        <v>563</v>
      </c>
      <c r="D113" s="261">
        <v>81111705</v>
      </c>
      <c r="E113" s="249" t="s">
        <v>564</v>
      </c>
      <c r="F113" s="247" t="s">
        <v>567</v>
      </c>
      <c r="G113" s="250" t="s">
        <v>67</v>
      </c>
      <c r="H113" s="250" t="s">
        <v>69</v>
      </c>
      <c r="I113" s="251">
        <v>1080</v>
      </c>
      <c r="J113" s="252" t="s">
        <v>373</v>
      </c>
      <c r="K113" s="253">
        <v>4705187796</v>
      </c>
      <c r="L113" s="254">
        <v>0.19</v>
      </c>
      <c r="M113" s="255">
        <v>893985681.24000001</v>
      </c>
      <c r="N113" s="256">
        <v>5599173477.2399998</v>
      </c>
      <c r="O113" s="257" t="s">
        <v>360</v>
      </c>
      <c r="P113" s="258" t="s">
        <v>361</v>
      </c>
      <c r="Q113" s="259">
        <v>236356670</v>
      </c>
      <c r="R113" s="259">
        <v>1950115203</v>
      </c>
      <c r="S113" s="259">
        <v>1950115203</v>
      </c>
      <c r="T113" s="259">
        <v>1462586402</v>
      </c>
      <c r="U113" s="247" t="s">
        <v>566</v>
      </c>
    </row>
    <row r="114" spans="1:21" ht="41.5" hidden="1" customHeight="1" x14ac:dyDescent="0.35">
      <c r="A114" s="247" t="s">
        <v>356</v>
      </c>
      <c r="B114" s="247" t="s">
        <v>532</v>
      </c>
      <c r="C114" s="247" t="s">
        <v>568</v>
      </c>
      <c r="D114" s="261">
        <v>81112003</v>
      </c>
      <c r="E114" s="249" t="s">
        <v>569</v>
      </c>
      <c r="F114" s="247" t="s">
        <v>570</v>
      </c>
      <c r="G114" s="250" t="s">
        <v>66</v>
      </c>
      <c r="H114" s="250" t="s">
        <v>69</v>
      </c>
      <c r="I114" s="251">
        <v>1920</v>
      </c>
      <c r="J114" s="252" t="s">
        <v>373</v>
      </c>
      <c r="K114" s="253">
        <v>35988611765</v>
      </c>
      <c r="L114" s="254">
        <v>0.19</v>
      </c>
      <c r="M114" s="255">
        <v>6837836235.3500004</v>
      </c>
      <c r="N114" s="256">
        <v>42826448000.349998</v>
      </c>
      <c r="O114" s="257" t="s">
        <v>360</v>
      </c>
      <c r="P114" s="258" t="s">
        <v>361</v>
      </c>
      <c r="Q114" s="259">
        <v>1619336751</v>
      </c>
      <c r="R114" s="259">
        <v>9000234449</v>
      </c>
      <c r="S114" s="259">
        <v>8398689600</v>
      </c>
      <c r="T114" s="259">
        <v>8396689600</v>
      </c>
      <c r="U114" s="247" t="s">
        <v>571</v>
      </c>
    </row>
    <row r="115" spans="1:21" ht="41.5" hidden="1" customHeight="1" x14ac:dyDescent="0.35">
      <c r="A115" s="247" t="s">
        <v>356</v>
      </c>
      <c r="B115" s="247" t="s">
        <v>532</v>
      </c>
      <c r="C115" s="247" t="s">
        <v>568</v>
      </c>
      <c r="D115" s="261">
        <v>81112501</v>
      </c>
      <c r="E115" s="249" t="s">
        <v>572</v>
      </c>
      <c r="F115" s="247" t="s">
        <v>573</v>
      </c>
      <c r="G115" s="250" t="s">
        <v>68</v>
      </c>
      <c r="H115" s="250" t="s">
        <v>72</v>
      </c>
      <c r="I115" s="251">
        <v>1080</v>
      </c>
      <c r="J115" s="252" t="s">
        <v>373</v>
      </c>
      <c r="K115" s="253">
        <v>8173291453</v>
      </c>
      <c r="L115" s="254"/>
      <c r="M115" s="255">
        <v>150000000</v>
      </c>
      <c r="N115" s="256">
        <v>8323291453</v>
      </c>
      <c r="O115" s="257" t="s">
        <v>360</v>
      </c>
      <c r="P115" s="258" t="s">
        <v>361</v>
      </c>
      <c r="Q115" s="259">
        <v>2347588319</v>
      </c>
      <c r="R115" s="259">
        <v>2694101567</v>
      </c>
      <c r="S115" s="259">
        <v>2694101567</v>
      </c>
      <c r="T115" s="259">
        <v>587500000</v>
      </c>
      <c r="U115" s="247" t="s">
        <v>574</v>
      </c>
    </row>
    <row r="116" spans="1:21" ht="41.5" hidden="1" customHeight="1" x14ac:dyDescent="0.35">
      <c r="A116" s="247" t="s">
        <v>356</v>
      </c>
      <c r="B116" s="247" t="s">
        <v>532</v>
      </c>
      <c r="C116" s="247" t="s">
        <v>568</v>
      </c>
      <c r="D116" s="261">
        <v>81112501</v>
      </c>
      <c r="E116" s="249" t="s">
        <v>572</v>
      </c>
      <c r="F116" s="247" t="s">
        <v>573</v>
      </c>
      <c r="G116" s="250" t="s">
        <v>68</v>
      </c>
      <c r="H116" s="250" t="s">
        <v>72</v>
      </c>
      <c r="I116" s="251">
        <v>1080</v>
      </c>
      <c r="J116" s="252" t="s">
        <v>373</v>
      </c>
      <c r="K116" s="253">
        <v>455656320</v>
      </c>
      <c r="L116" s="254">
        <v>0.19</v>
      </c>
      <c r="M116" s="255">
        <v>86574700.799999997</v>
      </c>
      <c r="N116" s="256">
        <v>542231020.79999995</v>
      </c>
      <c r="O116" s="257" t="s">
        <v>360</v>
      </c>
      <c r="P116" s="258" t="s">
        <v>361</v>
      </c>
      <c r="Q116" s="259">
        <v>0</v>
      </c>
      <c r="R116" s="259">
        <v>169932000</v>
      </c>
      <c r="S116" s="259">
        <v>180327840</v>
      </c>
      <c r="T116" s="259">
        <v>191971181</v>
      </c>
      <c r="U116" s="247" t="s">
        <v>574</v>
      </c>
    </row>
    <row r="117" spans="1:21" ht="41.5" hidden="1" customHeight="1" x14ac:dyDescent="0.35">
      <c r="A117" s="247" t="s">
        <v>356</v>
      </c>
      <c r="B117" s="247" t="s">
        <v>532</v>
      </c>
      <c r="C117" s="247" t="s">
        <v>568</v>
      </c>
      <c r="D117" s="261">
        <v>81111801</v>
      </c>
      <c r="E117" s="249" t="s">
        <v>575</v>
      </c>
      <c r="F117" s="247" t="s">
        <v>576</v>
      </c>
      <c r="G117" s="250" t="s">
        <v>66</v>
      </c>
      <c r="H117" s="250" t="s">
        <v>66</v>
      </c>
      <c r="I117" s="251">
        <v>840</v>
      </c>
      <c r="J117" s="252" t="s">
        <v>373</v>
      </c>
      <c r="K117" s="253">
        <v>1277526088</v>
      </c>
      <c r="L117" s="254"/>
      <c r="M117" s="255">
        <v>125836377</v>
      </c>
      <c r="N117" s="256">
        <v>1403362465</v>
      </c>
      <c r="O117" s="257" t="s">
        <v>360</v>
      </c>
      <c r="P117" s="258" t="s">
        <v>374</v>
      </c>
      <c r="Q117" s="259">
        <v>647705753</v>
      </c>
      <c r="R117" s="259">
        <v>647705753</v>
      </c>
      <c r="S117" s="259">
        <v>107950959</v>
      </c>
      <c r="T117" s="259">
        <v>0</v>
      </c>
      <c r="U117" s="247" t="s">
        <v>577</v>
      </c>
    </row>
    <row r="118" spans="1:21" ht="41.5" hidden="1" customHeight="1" x14ac:dyDescent="0.35">
      <c r="A118" s="247" t="s">
        <v>356</v>
      </c>
      <c r="B118" s="247" t="s">
        <v>532</v>
      </c>
      <c r="C118" s="247" t="s">
        <v>568</v>
      </c>
      <c r="D118" s="261">
        <v>81111800</v>
      </c>
      <c r="E118" s="249" t="s">
        <v>578</v>
      </c>
      <c r="F118" s="247" t="s">
        <v>579</v>
      </c>
      <c r="G118" s="250" t="s">
        <v>66</v>
      </c>
      <c r="H118" s="250" t="s">
        <v>66</v>
      </c>
      <c r="I118" s="251">
        <v>1020</v>
      </c>
      <c r="J118" s="252" t="s">
        <v>373</v>
      </c>
      <c r="K118" s="253">
        <v>3555872300</v>
      </c>
      <c r="L118" s="254">
        <v>0.19</v>
      </c>
      <c r="M118" s="255">
        <v>675615737</v>
      </c>
      <c r="N118" s="256">
        <v>4231488037</v>
      </c>
      <c r="O118" s="257" t="s">
        <v>360</v>
      </c>
      <c r="P118" s="258" t="s">
        <v>374</v>
      </c>
      <c r="Q118" s="259">
        <v>940330674</v>
      </c>
      <c r="R118" s="259">
        <v>1410496013</v>
      </c>
      <c r="S118" s="259">
        <v>1410496013</v>
      </c>
      <c r="T118" s="259">
        <v>470165337</v>
      </c>
      <c r="U118" s="247" t="s">
        <v>580</v>
      </c>
    </row>
    <row r="119" spans="1:21" ht="41.5" hidden="1" customHeight="1" x14ac:dyDescent="0.35">
      <c r="A119" s="247" t="s">
        <v>356</v>
      </c>
      <c r="B119" s="247" t="s">
        <v>532</v>
      </c>
      <c r="C119" s="247" t="s">
        <v>568</v>
      </c>
      <c r="D119" s="261">
        <v>81111900</v>
      </c>
      <c r="E119" s="249" t="s">
        <v>581</v>
      </c>
      <c r="F119" s="247" t="s">
        <v>582</v>
      </c>
      <c r="G119" s="250" t="s">
        <v>66</v>
      </c>
      <c r="H119" s="250" t="s">
        <v>68</v>
      </c>
      <c r="I119" s="251">
        <v>1080</v>
      </c>
      <c r="J119" s="252" t="s">
        <v>373</v>
      </c>
      <c r="K119" s="253">
        <v>1590711129</v>
      </c>
      <c r="L119" s="254">
        <v>0.19</v>
      </c>
      <c r="M119" s="255">
        <v>302235114.50999999</v>
      </c>
      <c r="N119" s="256">
        <v>1892946243.51</v>
      </c>
      <c r="O119" s="257" t="s">
        <v>360</v>
      </c>
      <c r="P119" s="258" t="s">
        <v>361</v>
      </c>
      <c r="Q119" s="259">
        <v>368072881</v>
      </c>
      <c r="R119" s="259">
        <v>630982081</v>
      </c>
      <c r="S119" s="259">
        <v>630982081</v>
      </c>
      <c r="T119" s="259">
        <v>262909200</v>
      </c>
      <c r="U119" s="247" t="s">
        <v>577</v>
      </c>
    </row>
    <row r="120" spans="1:21" ht="41.5" hidden="1" customHeight="1" x14ac:dyDescent="0.35">
      <c r="A120" s="247" t="s">
        <v>356</v>
      </c>
      <c r="B120" s="247" t="s">
        <v>532</v>
      </c>
      <c r="C120" s="247" t="s">
        <v>568</v>
      </c>
      <c r="D120" s="261">
        <v>81111800</v>
      </c>
      <c r="E120" s="249" t="s">
        <v>578</v>
      </c>
      <c r="F120" s="247" t="s">
        <v>583</v>
      </c>
      <c r="G120" s="250" t="s">
        <v>66</v>
      </c>
      <c r="H120" s="250" t="s">
        <v>68</v>
      </c>
      <c r="I120" s="251">
        <v>1080</v>
      </c>
      <c r="J120" s="252" t="s">
        <v>373</v>
      </c>
      <c r="K120" s="253">
        <v>831463677</v>
      </c>
      <c r="L120" s="254">
        <v>0.19</v>
      </c>
      <c r="M120" s="255">
        <v>157978098.63</v>
      </c>
      <c r="N120" s="256">
        <v>989441775.63</v>
      </c>
      <c r="O120" s="257" t="s">
        <v>360</v>
      </c>
      <c r="P120" s="258" t="s">
        <v>361</v>
      </c>
      <c r="Q120" s="259">
        <v>222732168</v>
      </c>
      <c r="R120" s="259">
        <v>328589832</v>
      </c>
      <c r="S120" s="259">
        <v>328589832</v>
      </c>
      <c r="T120" s="259">
        <v>109529944</v>
      </c>
      <c r="U120" s="247" t="s">
        <v>577</v>
      </c>
    </row>
    <row r="121" spans="1:21" ht="41.5" hidden="1" customHeight="1" x14ac:dyDescent="0.35">
      <c r="A121" s="247" t="s">
        <v>356</v>
      </c>
      <c r="B121" s="247" t="s">
        <v>532</v>
      </c>
      <c r="C121" s="247" t="s">
        <v>568</v>
      </c>
      <c r="D121" s="261">
        <v>43232100</v>
      </c>
      <c r="E121" s="249" t="s">
        <v>584</v>
      </c>
      <c r="F121" s="247" t="s">
        <v>585</v>
      </c>
      <c r="G121" s="250" t="s">
        <v>66</v>
      </c>
      <c r="H121" s="250" t="s">
        <v>66</v>
      </c>
      <c r="I121" s="251">
        <v>1080</v>
      </c>
      <c r="J121" s="252" t="s">
        <v>373</v>
      </c>
      <c r="K121" s="253">
        <v>670633746.29999995</v>
      </c>
      <c r="L121" s="254">
        <v>0</v>
      </c>
      <c r="M121" s="255">
        <v>0</v>
      </c>
      <c r="N121" s="256">
        <v>670633746.29999995</v>
      </c>
      <c r="O121" s="257" t="s">
        <v>360</v>
      </c>
      <c r="P121" s="258" t="s">
        <v>463</v>
      </c>
      <c r="Q121" s="259">
        <v>223544582</v>
      </c>
      <c r="R121" s="259">
        <v>223544582</v>
      </c>
      <c r="S121" s="259">
        <v>223544582</v>
      </c>
      <c r="T121" s="259">
        <v>0</v>
      </c>
      <c r="U121" s="247" t="s">
        <v>586</v>
      </c>
    </row>
    <row r="122" spans="1:21" ht="41.5" hidden="1" customHeight="1" x14ac:dyDescent="0.35">
      <c r="A122" s="247" t="s">
        <v>356</v>
      </c>
      <c r="B122" s="247" t="s">
        <v>532</v>
      </c>
      <c r="C122" s="247" t="s">
        <v>568</v>
      </c>
      <c r="D122" s="261">
        <v>81112200</v>
      </c>
      <c r="E122" s="249" t="s">
        <v>587</v>
      </c>
      <c r="F122" s="247" t="s">
        <v>588</v>
      </c>
      <c r="G122" s="250" t="s">
        <v>72</v>
      </c>
      <c r="H122" s="250" t="s">
        <v>73</v>
      </c>
      <c r="I122" s="251">
        <v>1080</v>
      </c>
      <c r="J122" s="252" t="s">
        <v>359</v>
      </c>
      <c r="K122" s="253">
        <v>30000000</v>
      </c>
      <c r="L122" s="254">
        <v>0.19</v>
      </c>
      <c r="M122" s="255">
        <v>5700000</v>
      </c>
      <c r="N122" s="256">
        <v>35700000</v>
      </c>
      <c r="O122" s="257" t="s">
        <v>365</v>
      </c>
      <c r="P122" s="258" t="s">
        <v>91</v>
      </c>
      <c r="Q122" s="259">
        <v>35700000</v>
      </c>
      <c r="R122" s="259">
        <v>0</v>
      </c>
      <c r="S122" s="259">
        <v>0</v>
      </c>
      <c r="T122" s="259">
        <v>0</v>
      </c>
      <c r="U122" s="247" t="s">
        <v>580</v>
      </c>
    </row>
    <row r="123" spans="1:21" ht="41.5" hidden="1" customHeight="1" x14ac:dyDescent="0.35">
      <c r="A123" s="247" t="s">
        <v>356</v>
      </c>
      <c r="B123" s="247" t="s">
        <v>532</v>
      </c>
      <c r="C123" s="247" t="s">
        <v>568</v>
      </c>
      <c r="D123" s="261">
        <v>81161700</v>
      </c>
      <c r="E123" s="249" t="s">
        <v>589</v>
      </c>
      <c r="F123" s="247" t="s">
        <v>590</v>
      </c>
      <c r="G123" s="263" t="s">
        <v>72</v>
      </c>
      <c r="H123" s="250" t="s">
        <v>74</v>
      </c>
      <c r="I123" s="251">
        <v>1080</v>
      </c>
      <c r="J123" s="252" t="s">
        <v>359</v>
      </c>
      <c r="K123" s="253">
        <v>1256559600</v>
      </c>
      <c r="L123" s="254">
        <v>0.19</v>
      </c>
      <c r="M123" s="255">
        <v>238746324</v>
      </c>
      <c r="N123" s="256">
        <v>1495305924</v>
      </c>
      <c r="O123" s="257" t="s">
        <v>360</v>
      </c>
      <c r="P123" s="258" t="s">
        <v>361</v>
      </c>
      <c r="Q123" s="259">
        <v>0</v>
      </c>
      <c r="R123" s="259">
        <v>498435308</v>
      </c>
      <c r="S123" s="259">
        <v>498435308</v>
      </c>
      <c r="T123" s="259">
        <v>498435308</v>
      </c>
      <c r="U123" s="247" t="s">
        <v>580</v>
      </c>
    </row>
    <row r="124" spans="1:21" ht="41.5" hidden="1" customHeight="1" x14ac:dyDescent="0.35">
      <c r="A124" s="247" t="s">
        <v>356</v>
      </c>
      <c r="B124" s="247" t="s">
        <v>532</v>
      </c>
      <c r="C124" s="247" t="s">
        <v>591</v>
      </c>
      <c r="D124" s="261">
        <v>80101504</v>
      </c>
      <c r="E124" s="249" t="s">
        <v>592</v>
      </c>
      <c r="F124" s="247" t="s">
        <v>593</v>
      </c>
      <c r="G124" s="250" t="s">
        <v>69</v>
      </c>
      <c r="H124" s="250" t="s">
        <v>71</v>
      </c>
      <c r="I124" s="251">
        <v>270</v>
      </c>
      <c r="J124" s="252" t="s">
        <v>381</v>
      </c>
      <c r="K124" s="253">
        <v>600000000</v>
      </c>
      <c r="L124" s="254">
        <v>0.19</v>
      </c>
      <c r="M124" s="255">
        <v>114000000</v>
      </c>
      <c r="N124" s="256">
        <v>714000000</v>
      </c>
      <c r="O124" s="257" t="s">
        <v>360</v>
      </c>
      <c r="P124" s="258" t="s">
        <v>361</v>
      </c>
      <c r="Q124" s="259">
        <v>476000000</v>
      </c>
      <c r="R124" s="259">
        <v>238000000</v>
      </c>
      <c r="S124" s="259">
        <v>0</v>
      </c>
      <c r="T124" s="259">
        <v>0</v>
      </c>
      <c r="U124" s="247" t="s">
        <v>594</v>
      </c>
    </row>
    <row r="125" spans="1:21" ht="41.5" hidden="1" customHeight="1" x14ac:dyDescent="0.35">
      <c r="A125" s="247" t="s">
        <v>356</v>
      </c>
      <c r="B125" s="247" t="s">
        <v>532</v>
      </c>
      <c r="C125" s="247" t="s">
        <v>591</v>
      </c>
      <c r="D125" s="261">
        <v>43231602</v>
      </c>
      <c r="E125" s="249" t="s">
        <v>595</v>
      </c>
      <c r="F125" s="247" t="s">
        <v>596</v>
      </c>
      <c r="G125" s="250" t="s">
        <v>66</v>
      </c>
      <c r="H125" s="250" t="s">
        <v>72</v>
      </c>
      <c r="I125" s="251">
        <v>1080</v>
      </c>
      <c r="J125" s="252" t="s">
        <v>373</v>
      </c>
      <c r="K125" s="253">
        <v>14391876050</v>
      </c>
      <c r="L125" s="254">
        <v>0.19</v>
      </c>
      <c r="M125" s="255">
        <v>2734456449.5</v>
      </c>
      <c r="N125" s="256">
        <v>17126332499.5</v>
      </c>
      <c r="O125" s="257" t="s">
        <v>360</v>
      </c>
      <c r="P125" s="258" t="s">
        <v>361</v>
      </c>
      <c r="Q125" s="259">
        <v>3780332499.5</v>
      </c>
      <c r="R125" s="259">
        <v>8579000000</v>
      </c>
      <c r="S125" s="259">
        <v>4767000000</v>
      </c>
      <c r="T125" s="259">
        <v>0</v>
      </c>
      <c r="U125" s="247" t="s">
        <v>597</v>
      </c>
    </row>
    <row r="126" spans="1:21" ht="41.5" hidden="1" customHeight="1" x14ac:dyDescent="0.35">
      <c r="A126" s="247" t="s">
        <v>356</v>
      </c>
      <c r="B126" s="247" t="s">
        <v>532</v>
      </c>
      <c r="C126" s="247" t="s">
        <v>591</v>
      </c>
      <c r="D126" s="261">
        <v>43231602</v>
      </c>
      <c r="E126" s="249" t="s">
        <v>595</v>
      </c>
      <c r="F126" s="247" t="s">
        <v>596</v>
      </c>
      <c r="G126" s="250" t="s">
        <v>66</v>
      </c>
      <c r="H126" s="250" t="s">
        <v>72</v>
      </c>
      <c r="I126" s="251">
        <v>1080</v>
      </c>
      <c r="J126" s="252" t="s">
        <v>373</v>
      </c>
      <c r="K126" s="253">
        <v>4000000000</v>
      </c>
      <c r="L126" s="254">
        <v>0.19</v>
      </c>
      <c r="M126" s="255">
        <v>760000000</v>
      </c>
      <c r="N126" s="256">
        <v>4760000000</v>
      </c>
      <c r="O126" s="257" t="s">
        <v>360</v>
      </c>
      <c r="P126" s="258" t="s">
        <v>361</v>
      </c>
      <c r="Q126" s="259">
        <v>1428000000</v>
      </c>
      <c r="R126" s="259">
        <v>3332000000</v>
      </c>
      <c r="S126" s="259">
        <v>0</v>
      </c>
      <c r="T126" s="259">
        <v>0</v>
      </c>
      <c r="U126" s="247" t="s">
        <v>597</v>
      </c>
    </row>
    <row r="127" spans="1:21" ht="41.5" hidden="1" customHeight="1" x14ac:dyDescent="0.35">
      <c r="A127" s="247" t="s">
        <v>356</v>
      </c>
      <c r="B127" s="247" t="s">
        <v>532</v>
      </c>
      <c r="C127" s="247" t="s">
        <v>591</v>
      </c>
      <c r="D127" s="261">
        <v>43231602</v>
      </c>
      <c r="E127" s="249" t="s">
        <v>595</v>
      </c>
      <c r="F127" s="247" t="s">
        <v>596</v>
      </c>
      <c r="G127" s="250" t="s">
        <v>66</v>
      </c>
      <c r="H127" s="250" t="s">
        <v>72</v>
      </c>
      <c r="I127" s="251">
        <v>1080</v>
      </c>
      <c r="J127" s="252" t="s">
        <v>373</v>
      </c>
      <c r="K127" s="253">
        <v>1999773109</v>
      </c>
      <c r="L127" s="254">
        <v>0.19</v>
      </c>
      <c r="M127" s="255">
        <v>379956890.70999998</v>
      </c>
      <c r="N127" s="256">
        <v>2379729999.71</v>
      </c>
      <c r="O127" s="257" t="s">
        <v>360</v>
      </c>
      <c r="P127" s="258" t="s">
        <v>361</v>
      </c>
      <c r="Q127" s="259">
        <v>793729999.71000004</v>
      </c>
      <c r="R127" s="259">
        <v>1190000000</v>
      </c>
      <c r="S127" s="259">
        <v>396000000</v>
      </c>
      <c r="T127" s="259">
        <v>0</v>
      </c>
      <c r="U127" s="247" t="s">
        <v>597</v>
      </c>
    </row>
    <row r="128" spans="1:21" ht="41.5" hidden="1" customHeight="1" x14ac:dyDescent="0.35">
      <c r="A128" s="247" t="s">
        <v>356</v>
      </c>
      <c r="B128" s="247" t="s">
        <v>532</v>
      </c>
      <c r="C128" s="247" t="s">
        <v>591</v>
      </c>
      <c r="D128" s="261">
        <v>80101500</v>
      </c>
      <c r="E128" s="249" t="s">
        <v>363</v>
      </c>
      <c r="F128" s="247" t="s">
        <v>598</v>
      </c>
      <c r="G128" s="250" t="s">
        <v>69</v>
      </c>
      <c r="H128" s="250" t="s">
        <v>72</v>
      </c>
      <c r="I128" s="251">
        <v>1080</v>
      </c>
      <c r="J128" s="252" t="s">
        <v>373</v>
      </c>
      <c r="K128" s="253">
        <v>1308876050.4000001</v>
      </c>
      <c r="L128" s="254">
        <v>0.19</v>
      </c>
      <c r="M128" s="255">
        <v>248686449.57600003</v>
      </c>
      <c r="N128" s="256">
        <v>1557562499.9760001</v>
      </c>
      <c r="O128" s="257" t="s">
        <v>360</v>
      </c>
      <c r="P128" s="258" t="s">
        <v>361</v>
      </c>
      <c r="Q128" s="259">
        <v>349562499.97600001</v>
      </c>
      <c r="R128" s="259">
        <v>763000000</v>
      </c>
      <c r="S128" s="259">
        <v>445000000</v>
      </c>
      <c r="T128" s="259">
        <v>0</v>
      </c>
      <c r="U128" s="247" t="s">
        <v>597</v>
      </c>
    </row>
    <row r="129" spans="1:21" ht="41.5" hidden="1" customHeight="1" x14ac:dyDescent="0.35">
      <c r="A129" s="247" t="s">
        <v>356</v>
      </c>
      <c r="B129" s="247" t="s">
        <v>532</v>
      </c>
      <c r="C129" s="247" t="s">
        <v>591</v>
      </c>
      <c r="D129" s="261">
        <v>80111608</v>
      </c>
      <c r="E129" s="249" t="s">
        <v>599</v>
      </c>
      <c r="F129" s="247" t="s">
        <v>600</v>
      </c>
      <c r="G129" s="250" t="s">
        <v>67</v>
      </c>
      <c r="H129" s="250" t="s">
        <v>70</v>
      </c>
      <c r="I129" s="251">
        <v>1080</v>
      </c>
      <c r="J129" s="252" t="s">
        <v>373</v>
      </c>
      <c r="K129" s="253">
        <v>7230058549</v>
      </c>
      <c r="L129" s="254">
        <v>0.19</v>
      </c>
      <c r="M129" s="255">
        <v>1373711124.3099999</v>
      </c>
      <c r="N129" s="256">
        <v>8603769673.3099995</v>
      </c>
      <c r="O129" s="257" t="s">
        <v>360</v>
      </c>
      <c r="P129" s="258" t="s">
        <v>361</v>
      </c>
      <c r="Q129" s="259">
        <v>818919876.30999994</v>
      </c>
      <c r="R129" s="259">
        <v>2933455511</v>
      </c>
      <c r="S129" s="259">
        <v>2884600178</v>
      </c>
      <c r="T129" s="259">
        <v>1966794108</v>
      </c>
      <c r="U129" s="247" t="s">
        <v>601</v>
      </c>
    </row>
    <row r="130" spans="1:21" ht="41.5" hidden="1" customHeight="1" x14ac:dyDescent="0.35">
      <c r="A130" s="247" t="s">
        <v>356</v>
      </c>
      <c r="B130" s="247" t="s">
        <v>532</v>
      </c>
      <c r="C130" s="247" t="s">
        <v>591</v>
      </c>
      <c r="D130" s="261">
        <v>80111608</v>
      </c>
      <c r="E130" s="249" t="s">
        <v>599</v>
      </c>
      <c r="F130" s="247" t="s">
        <v>600</v>
      </c>
      <c r="G130" s="250" t="s">
        <v>67</v>
      </c>
      <c r="H130" s="250" t="s">
        <v>70</v>
      </c>
      <c r="I130" s="251">
        <v>1080</v>
      </c>
      <c r="J130" s="252" t="s">
        <v>373</v>
      </c>
      <c r="K130" s="253">
        <v>8068848725</v>
      </c>
      <c r="L130" s="254">
        <v>0.19</v>
      </c>
      <c r="M130" s="255">
        <v>1533081257.75</v>
      </c>
      <c r="N130" s="256">
        <v>9601929982.75</v>
      </c>
      <c r="O130" s="257" t="s">
        <v>360</v>
      </c>
      <c r="P130" s="258" t="s">
        <v>361</v>
      </c>
      <c r="Q130" s="259">
        <v>752225358.75</v>
      </c>
      <c r="R130" s="259">
        <v>3719967526</v>
      </c>
      <c r="S130" s="259">
        <v>2354417466</v>
      </c>
      <c r="T130" s="259">
        <v>2775319632</v>
      </c>
      <c r="U130" s="247" t="s">
        <v>601</v>
      </c>
    </row>
    <row r="131" spans="1:21" ht="41.5" hidden="1" customHeight="1" x14ac:dyDescent="0.35">
      <c r="A131" s="247" t="s">
        <v>356</v>
      </c>
      <c r="B131" s="247" t="s">
        <v>532</v>
      </c>
      <c r="C131" s="247" t="s">
        <v>591</v>
      </c>
      <c r="D131" s="261">
        <v>81112000</v>
      </c>
      <c r="E131" s="249" t="s">
        <v>602</v>
      </c>
      <c r="F131" s="247" t="s">
        <v>603</v>
      </c>
      <c r="G131" s="250" t="s">
        <v>71</v>
      </c>
      <c r="H131" s="250" t="s">
        <v>73</v>
      </c>
      <c r="I131" s="251">
        <v>365</v>
      </c>
      <c r="J131" s="252" t="s">
        <v>373</v>
      </c>
      <c r="K131" s="253">
        <v>958158511</v>
      </c>
      <c r="L131" s="254">
        <v>0.19</v>
      </c>
      <c r="M131" s="255">
        <v>182050117.09</v>
      </c>
      <c r="N131" s="256">
        <v>1140208628.0899999</v>
      </c>
      <c r="O131" s="257" t="s">
        <v>360</v>
      </c>
      <c r="P131" s="258" t="s">
        <v>361</v>
      </c>
      <c r="Q131" s="259">
        <v>790208628.09000003</v>
      </c>
      <c r="R131" s="259">
        <v>350000000</v>
      </c>
      <c r="S131" s="259">
        <v>0</v>
      </c>
      <c r="T131" s="259">
        <v>0</v>
      </c>
      <c r="U131" s="247" t="s">
        <v>604</v>
      </c>
    </row>
    <row r="132" spans="1:21" ht="41.5" hidden="1" customHeight="1" x14ac:dyDescent="0.35">
      <c r="A132" s="247" t="s">
        <v>356</v>
      </c>
      <c r="B132" s="247" t="s">
        <v>532</v>
      </c>
      <c r="C132" s="247" t="s">
        <v>591</v>
      </c>
      <c r="D132" s="261">
        <v>81112000</v>
      </c>
      <c r="E132" s="249" t="s">
        <v>602</v>
      </c>
      <c r="F132" s="247" t="s">
        <v>603</v>
      </c>
      <c r="G132" s="250" t="s">
        <v>71</v>
      </c>
      <c r="H132" s="250" t="s">
        <v>73</v>
      </c>
      <c r="I132" s="251">
        <v>365</v>
      </c>
      <c r="J132" s="252" t="s">
        <v>373</v>
      </c>
      <c r="K132" s="253">
        <v>734408000</v>
      </c>
      <c r="L132" s="254">
        <v>0</v>
      </c>
      <c r="M132" s="255">
        <v>0</v>
      </c>
      <c r="N132" s="256">
        <v>734408000</v>
      </c>
      <c r="O132" s="257" t="s">
        <v>360</v>
      </c>
      <c r="P132" s="258" t="s">
        <v>361</v>
      </c>
      <c r="Q132" s="259">
        <v>254408000</v>
      </c>
      <c r="R132" s="259">
        <v>480000000</v>
      </c>
      <c r="S132" s="259">
        <v>0</v>
      </c>
      <c r="T132" s="259">
        <v>0</v>
      </c>
      <c r="U132" s="247" t="s">
        <v>604</v>
      </c>
    </row>
    <row r="133" spans="1:21" ht="41.5" hidden="1" customHeight="1" x14ac:dyDescent="0.35">
      <c r="A133" s="247" t="s">
        <v>356</v>
      </c>
      <c r="B133" s="247" t="s">
        <v>532</v>
      </c>
      <c r="C133" s="247" t="s">
        <v>591</v>
      </c>
      <c r="D133" s="261">
        <v>81112000</v>
      </c>
      <c r="E133" s="249" t="s">
        <v>602</v>
      </c>
      <c r="F133" s="247" t="s">
        <v>603</v>
      </c>
      <c r="G133" s="250" t="s">
        <v>71</v>
      </c>
      <c r="H133" s="250" t="s">
        <v>73</v>
      </c>
      <c r="I133" s="251">
        <v>365</v>
      </c>
      <c r="J133" s="252" t="s">
        <v>373</v>
      </c>
      <c r="K133" s="253">
        <v>213923697</v>
      </c>
      <c r="L133" s="254">
        <v>0.19</v>
      </c>
      <c r="M133" s="255">
        <v>40645502.43</v>
      </c>
      <c r="N133" s="256">
        <v>254569199.43000001</v>
      </c>
      <c r="O133" s="257" t="s">
        <v>360</v>
      </c>
      <c r="P133" s="258" t="s">
        <v>361</v>
      </c>
      <c r="Q133" s="259">
        <v>124569199.43000001</v>
      </c>
      <c r="R133" s="259">
        <v>130000000</v>
      </c>
      <c r="S133" s="259">
        <v>0</v>
      </c>
      <c r="T133" s="259">
        <v>0</v>
      </c>
      <c r="U133" s="247" t="s">
        <v>604</v>
      </c>
    </row>
    <row r="134" spans="1:21" ht="41.5" hidden="1" customHeight="1" x14ac:dyDescent="0.35">
      <c r="A134" s="247" t="s">
        <v>356</v>
      </c>
      <c r="B134" s="247" t="s">
        <v>532</v>
      </c>
      <c r="C134" s="247" t="s">
        <v>591</v>
      </c>
      <c r="D134" s="261">
        <v>81112000</v>
      </c>
      <c r="E134" s="249" t="s">
        <v>602</v>
      </c>
      <c r="F134" s="247" t="s">
        <v>605</v>
      </c>
      <c r="G134" s="250" t="s">
        <v>72</v>
      </c>
      <c r="H134" s="250" t="s">
        <v>73</v>
      </c>
      <c r="I134" s="251">
        <v>120</v>
      </c>
      <c r="J134" s="252" t="s">
        <v>359</v>
      </c>
      <c r="K134" s="253">
        <v>450000000</v>
      </c>
      <c r="L134" s="254">
        <v>0.19</v>
      </c>
      <c r="M134" s="255">
        <v>85500000</v>
      </c>
      <c r="N134" s="256">
        <v>535500000</v>
      </c>
      <c r="O134" s="257" t="s">
        <v>365</v>
      </c>
      <c r="P134" s="258" t="s">
        <v>91</v>
      </c>
      <c r="Q134" s="259">
        <v>535500000</v>
      </c>
      <c r="R134" s="259">
        <v>0</v>
      </c>
      <c r="S134" s="259">
        <v>0</v>
      </c>
      <c r="T134" s="259">
        <v>0</v>
      </c>
      <c r="U134" s="247" t="s">
        <v>606</v>
      </c>
    </row>
    <row r="135" spans="1:21" ht="41.5" hidden="1" customHeight="1" x14ac:dyDescent="0.35">
      <c r="A135" s="247" t="s">
        <v>356</v>
      </c>
      <c r="B135" s="247" t="s">
        <v>532</v>
      </c>
      <c r="C135" s="247" t="s">
        <v>591</v>
      </c>
      <c r="D135" s="261">
        <v>80101500</v>
      </c>
      <c r="E135" s="249" t="s">
        <v>363</v>
      </c>
      <c r="F135" s="247" t="s">
        <v>607</v>
      </c>
      <c r="G135" s="250" t="s">
        <v>66</v>
      </c>
      <c r="H135" s="250" t="s">
        <v>68</v>
      </c>
      <c r="I135" s="251">
        <v>180</v>
      </c>
      <c r="J135" s="252" t="s">
        <v>381</v>
      </c>
      <c r="K135" s="253">
        <v>150000000</v>
      </c>
      <c r="L135" s="254">
        <v>0.19</v>
      </c>
      <c r="M135" s="255">
        <v>28500000</v>
      </c>
      <c r="N135" s="256">
        <v>178500000</v>
      </c>
      <c r="O135" s="257" t="s">
        <v>365</v>
      </c>
      <c r="P135" s="258" t="s">
        <v>91</v>
      </c>
      <c r="Q135" s="259">
        <v>178500000</v>
      </c>
      <c r="R135" s="259">
        <v>0</v>
      </c>
      <c r="S135" s="259">
        <v>0</v>
      </c>
      <c r="T135" s="259">
        <v>0</v>
      </c>
      <c r="U135" s="247" t="s">
        <v>594</v>
      </c>
    </row>
    <row r="136" spans="1:21" ht="41.5" hidden="1" customHeight="1" x14ac:dyDescent="0.35">
      <c r="A136" s="247" t="s">
        <v>356</v>
      </c>
      <c r="B136" s="247" t="s">
        <v>532</v>
      </c>
      <c r="C136" s="247" t="s">
        <v>591</v>
      </c>
      <c r="D136" s="261">
        <v>81111500</v>
      </c>
      <c r="E136" s="249" t="s">
        <v>608</v>
      </c>
      <c r="F136" s="247" t="s">
        <v>609</v>
      </c>
      <c r="G136" s="250" t="s">
        <v>70</v>
      </c>
      <c r="H136" s="250" t="s">
        <v>72</v>
      </c>
      <c r="I136" s="251">
        <v>150</v>
      </c>
      <c r="J136" s="252" t="s">
        <v>381</v>
      </c>
      <c r="K136" s="253">
        <v>100000000</v>
      </c>
      <c r="L136" s="254">
        <v>0.19</v>
      </c>
      <c r="M136" s="255">
        <v>19000000</v>
      </c>
      <c r="N136" s="256">
        <v>119000000</v>
      </c>
      <c r="O136" s="257" t="s">
        <v>365</v>
      </c>
      <c r="P136" s="258" t="s">
        <v>91</v>
      </c>
      <c r="Q136" s="259">
        <v>119000000</v>
      </c>
      <c r="R136" s="259">
        <v>0</v>
      </c>
      <c r="S136" s="259">
        <v>0</v>
      </c>
      <c r="T136" s="259">
        <v>0</v>
      </c>
      <c r="U136" s="247" t="s">
        <v>610</v>
      </c>
    </row>
    <row r="137" spans="1:21" ht="41.5" hidden="1" customHeight="1" x14ac:dyDescent="0.35">
      <c r="A137" s="247" t="s">
        <v>356</v>
      </c>
      <c r="B137" s="247" t="s">
        <v>532</v>
      </c>
      <c r="C137" s="247" t="s">
        <v>591</v>
      </c>
      <c r="D137" s="261">
        <v>81111500</v>
      </c>
      <c r="E137" s="249" t="s">
        <v>608</v>
      </c>
      <c r="F137" s="247" t="s">
        <v>609</v>
      </c>
      <c r="G137" s="250" t="s">
        <v>70</v>
      </c>
      <c r="H137" s="250" t="s">
        <v>72</v>
      </c>
      <c r="I137" s="251">
        <v>150</v>
      </c>
      <c r="J137" s="252" t="s">
        <v>381</v>
      </c>
      <c r="K137" s="253">
        <v>100000000</v>
      </c>
      <c r="L137" s="254">
        <v>0.19</v>
      </c>
      <c r="M137" s="255">
        <v>19000000</v>
      </c>
      <c r="N137" s="256">
        <v>119000000</v>
      </c>
      <c r="O137" s="257" t="s">
        <v>365</v>
      </c>
      <c r="P137" s="258" t="s">
        <v>91</v>
      </c>
      <c r="Q137" s="259">
        <v>119000000</v>
      </c>
      <c r="R137" s="259">
        <v>0</v>
      </c>
      <c r="S137" s="259">
        <v>0</v>
      </c>
      <c r="T137" s="259">
        <v>0</v>
      </c>
      <c r="U137" s="247" t="s">
        <v>610</v>
      </c>
    </row>
    <row r="138" spans="1:21" ht="41.5" hidden="1" customHeight="1" x14ac:dyDescent="0.35">
      <c r="A138" s="247" t="s">
        <v>356</v>
      </c>
      <c r="B138" s="247" t="s">
        <v>532</v>
      </c>
      <c r="C138" s="247" t="s">
        <v>591</v>
      </c>
      <c r="D138" s="261">
        <v>81111500</v>
      </c>
      <c r="E138" s="249" t="s">
        <v>608</v>
      </c>
      <c r="F138" s="247" t="s">
        <v>611</v>
      </c>
      <c r="G138" s="250" t="s">
        <v>68</v>
      </c>
      <c r="H138" s="250" t="s">
        <v>70</v>
      </c>
      <c r="I138" s="251">
        <v>180</v>
      </c>
      <c r="J138" s="252" t="s">
        <v>381</v>
      </c>
      <c r="K138" s="253">
        <v>200000000</v>
      </c>
      <c r="L138" s="254">
        <v>0.19</v>
      </c>
      <c r="M138" s="255">
        <v>38000000</v>
      </c>
      <c r="N138" s="256">
        <v>238000000</v>
      </c>
      <c r="O138" s="257" t="s">
        <v>365</v>
      </c>
      <c r="P138" s="258" t="s">
        <v>91</v>
      </c>
      <c r="Q138" s="259">
        <v>238000000</v>
      </c>
      <c r="R138" s="259">
        <v>0</v>
      </c>
      <c r="S138" s="259">
        <v>0</v>
      </c>
      <c r="T138" s="259">
        <v>0</v>
      </c>
      <c r="U138" s="247" t="s">
        <v>610</v>
      </c>
    </row>
    <row r="139" spans="1:21" ht="41.5" hidden="1" customHeight="1" x14ac:dyDescent="0.35">
      <c r="A139" s="247" t="s">
        <v>356</v>
      </c>
      <c r="B139" s="247" t="s">
        <v>532</v>
      </c>
      <c r="C139" s="247" t="s">
        <v>591</v>
      </c>
      <c r="D139" s="261">
        <v>81131500</v>
      </c>
      <c r="E139" s="249" t="s">
        <v>612</v>
      </c>
      <c r="F139" s="247" t="s">
        <v>613</v>
      </c>
      <c r="G139" s="250" t="s">
        <v>69</v>
      </c>
      <c r="H139" s="250" t="s">
        <v>71</v>
      </c>
      <c r="I139" s="251">
        <v>120</v>
      </c>
      <c r="J139" s="252" t="s">
        <v>381</v>
      </c>
      <c r="K139" s="253">
        <v>80000000</v>
      </c>
      <c r="L139" s="254">
        <v>0.19</v>
      </c>
      <c r="M139" s="255">
        <v>15200000</v>
      </c>
      <c r="N139" s="256">
        <v>95200000</v>
      </c>
      <c r="O139" s="257" t="s">
        <v>365</v>
      </c>
      <c r="P139" s="258" t="s">
        <v>91</v>
      </c>
      <c r="Q139" s="259">
        <v>95200000</v>
      </c>
      <c r="R139" s="259">
        <v>0</v>
      </c>
      <c r="S139" s="259">
        <v>0</v>
      </c>
      <c r="T139" s="259">
        <v>0</v>
      </c>
      <c r="U139" s="247" t="s">
        <v>604</v>
      </c>
    </row>
    <row r="140" spans="1:21" ht="41.5" hidden="1" customHeight="1" x14ac:dyDescent="0.35">
      <c r="A140" s="247" t="s">
        <v>356</v>
      </c>
      <c r="B140" s="247" t="s">
        <v>532</v>
      </c>
      <c r="C140" s="247" t="s">
        <v>591</v>
      </c>
      <c r="D140" s="261">
        <v>81112220</v>
      </c>
      <c r="E140" s="249" t="s">
        <v>614</v>
      </c>
      <c r="F140" s="247" t="s">
        <v>615</v>
      </c>
      <c r="G140" s="250" t="s">
        <v>73</v>
      </c>
      <c r="H140" s="250" t="s">
        <v>74</v>
      </c>
      <c r="I140" s="251">
        <v>1080</v>
      </c>
      <c r="J140" s="252" t="s">
        <v>359</v>
      </c>
      <c r="K140" s="253">
        <v>112000000</v>
      </c>
      <c r="L140" s="254">
        <v>0</v>
      </c>
      <c r="M140" s="255">
        <v>0</v>
      </c>
      <c r="N140" s="256">
        <v>112000000</v>
      </c>
      <c r="O140" s="257" t="s">
        <v>360</v>
      </c>
      <c r="P140" s="258" t="s">
        <v>361</v>
      </c>
      <c r="Q140" s="259">
        <v>10000000</v>
      </c>
      <c r="R140" s="259">
        <v>36000000</v>
      </c>
      <c r="S140" s="259">
        <v>36000000</v>
      </c>
      <c r="T140" s="259">
        <v>30000000</v>
      </c>
      <c r="U140" s="247" t="s">
        <v>604</v>
      </c>
    </row>
    <row r="141" spans="1:21" ht="41.5" hidden="1" customHeight="1" x14ac:dyDescent="0.35">
      <c r="A141" s="247" t="s">
        <v>356</v>
      </c>
      <c r="B141" s="247" t="s">
        <v>532</v>
      </c>
      <c r="C141" s="247" t="s">
        <v>591</v>
      </c>
      <c r="D141" s="261">
        <v>81112200</v>
      </c>
      <c r="E141" s="249" t="s">
        <v>587</v>
      </c>
      <c r="F141" s="247" t="s">
        <v>615</v>
      </c>
      <c r="G141" s="250" t="s">
        <v>73</v>
      </c>
      <c r="H141" s="250" t="s">
        <v>74</v>
      </c>
      <c r="I141" s="251">
        <v>1080</v>
      </c>
      <c r="J141" s="252" t="s">
        <v>359</v>
      </c>
      <c r="K141" s="253">
        <v>150000000</v>
      </c>
      <c r="L141" s="254">
        <v>0.19</v>
      </c>
      <c r="M141" s="255">
        <v>28500000</v>
      </c>
      <c r="N141" s="256">
        <v>178500000</v>
      </c>
      <c r="O141" s="257" t="s">
        <v>365</v>
      </c>
      <c r="P141" s="258" t="s">
        <v>91</v>
      </c>
      <c r="Q141" s="259">
        <v>178500000</v>
      </c>
      <c r="R141" s="259">
        <v>0</v>
      </c>
      <c r="S141" s="259">
        <v>0</v>
      </c>
      <c r="T141" s="259">
        <v>0</v>
      </c>
      <c r="U141" s="247" t="s">
        <v>604</v>
      </c>
    </row>
    <row r="142" spans="1:21" ht="41.5" hidden="1" customHeight="1" x14ac:dyDescent="0.35">
      <c r="A142" s="247" t="s">
        <v>356</v>
      </c>
      <c r="B142" s="247" t="s">
        <v>532</v>
      </c>
      <c r="C142" s="247" t="s">
        <v>591</v>
      </c>
      <c r="D142" s="261">
        <v>81161801</v>
      </c>
      <c r="E142" s="249" t="s">
        <v>616</v>
      </c>
      <c r="F142" s="247" t="s">
        <v>617</v>
      </c>
      <c r="G142" s="250" t="s">
        <v>73</v>
      </c>
      <c r="H142" s="250" t="s">
        <v>73</v>
      </c>
      <c r="I142" s="251">
        <v>20</v>
      </c>
      <c r="J142" s="252" t="s">
        <v>359</v>
      </c>
      <c r="K142" s="253">
        <v>7431862</v>
      </c>
      <c r="L142" s="254">
        <v>0.19</v>
      </c>
      <c r="M142" s="255">
        <v>1412053.78</v>
      </c>
      <c r="N142" s="256">
        <v>8843915.7799999993</v>
      </c>
      <c r="O142" s="257" t="s">
        <v>365</v>
      </c>
      <c r="P142" s="258" t="s">
        <v>91</v>
      </c>
      <c r="Q142" s="259">
        <v>8843915.7799999993</v>
      </c>
      <c r="R142" s="259">
        <v>0</v>
      </c>
      <c r="S142" s="259">
        <v>0</v>
      </c>
      <c r="T142" s="259">
        <v>0</v>
      </c>
      <c r="U142" s="247" t="s">
        <v>618</v>
      </c>
    </row>
    <row r="143" spans="1:21" ht="41.5" hidden="1" customHeight="1" x14ac:dyDescent="0.35">
      <c r="A143" s="247" t="s">
        <v>356</v>
      </c>
      <c r="B143" s="247" t="s">
        <v>532</v>
      </c>
      <c r="C143" s="247" t="s">
        <v>591</v>
      </c>
      <c r="D143" s="261">
        <v>80101600</v>
      </c>
      <c r="E143" s="249" t="s">
        <v>619</v>
      </c>
      <c r="F143" s="247" t="s">
        <v>620</v>
      </c>
      <c r="G143" s="263" t="s">
        <v>72</v>
      </c>
      <c r="H143" s="250" t="s">
        <v>73</v>
      </c>
      <c r="I143" s="251">
        <v>240</v>
      </c>
      <c r="J143" s="252" t="s">
        <v>359</v>
      </c>
      <c r="K143" s="253">
        <v>96000000</v>
      </c>
      <c r="L143" s="254">
        <v>0</v>
      </c>
      <c r="M143" s="255">
        <v>0</v>
      </c>
      <c r="N143" s="256">
        <v>96000000</v>
      </c>
      <c r="O143" s="257" t="s">
        <v>360</v>
      </c>
      <c r="P143" s="258" t="s">
        <v>361</v>
      </c>
      <c r="Q143" s="259">
        <v>60000000</v>
      </c>
      <c r="R143" s="259">
        <v>36000000</v>
      </c>
      <c r="S143" s="259">
        <v>0</v>
      </c>
      <c r="T143" s="259">
        <v>0</v>
      </c>
      <c r="U143" s="247" t="s">
        <v>594</v>
      </c>
    </row>
    <row r="144" spans="1:21" ht="41.5" hidden="1" customHeight="1" x14ac:dyDescent="0.35">
      <c r="A144" s="247" t="s">
        <v>356</v>
      </c>
      <c r="B144" s="247" t="s">
        <v>532</v>
      </c>
      <c r="C144" s="247" t="s">
        <v>246</v>
      </c>
      <c r="D144" s="261">
        <v>93141702</v>
      </c>
      <c r="E144" s="249" t="s">
        <v>621</v>
      </c>
      <c r="F144" s="247" t="s">
        <v>622</v>
      </c>
      <c r="G144" s="250" t="s">
        <v>74</v>
      </c>
      <c r="H144" s="250" t="s">
        <v>75</v>
      </c>
      <c r="I144" s="251">
        <v>90</v>
      </c>
      <c r="J144" s="252" t="s">
        <v>359</v>
      </c>
      <c r="K144" s="253">
        <v>58227204</v>
      </c>
      <c r="L144" s="254">
        <v>0.19</v>
      </c>
      <c r="M144" s="255">
        <v>11063168.76</v>
      </c>
      <c r="N144" s="256">
        <v>69290372.760000005</v>
      </c>
      <c r="O144" s="257" t="s">
        <v>365</v>
      </c>
      <c r="P144" s="258" t="s">
        <v>91</v>
      </c>
      <c r="Q144" s="259">
        <v>69290372.760000005</v>
      </c>
      <c r="R144" s="259">
        <v>0</v>
      </c>
      <c r="S144" s="259">
        <v>0</v>
      </c>
      <c r="T144" s="259">
        <v>0</v>
      </c>
      <c r="U144" s="247" t="s">
        <v>623</v>
      </c>
    </row>
    <row r="145" spans="1:21" ht="41.5" hidden="1" customHeight="1" x14ac:dyDescent="0.35">
      <c r="A145" s="247" t="s">
        <v>356</v>
      </c>
      <c r="B145" s="247" t="s">
        <v>532</v>
      </c>
      <c r="C145" s="247" t="s">
        <v>246</v>
      </c>
      <c r="D145" s="261">
        <v>94101503</v>
      </c>
      <c r="E145" s="249" t="s">
        <v>624</v>
      </c>
      <c r="F145" s="247" t="s">
        <v>625</v>
      </c>
      <c r="G145" s="250" t="s">
        <v>76</v>
      </c>
      <c r="H145" s="250" t="s">
        <v>76</v>
      </c>
      <c r="I145" s="251">
        <v>360</v>
      </c>
      <c r="J145" s="252" t="s">
        <v>359</v>
      </c>
      <c r="K145" s="253">
        <v>18616291</v>
      </c>
      <c r="L145" s="254">
        <v>0</v>
      </c>
      <c r="M145" s="255">
        <v>0</v>
      </c>
      <c r="N145" s="256">
        <v>18616291</v>
      </c>
      <c r="O145" s="257" t="s">
        <v>365</v>
      </c>
      <c r="P145" s="258" t="s">
        <v>91</v>
      </c>
      <c r="Q145" s="259">
        <v>18616291</v>
      </c>
      <c r="R145" s="259">
        <v>0</v>
      </c>
      <c r="S145" s="259">
        <v>0</v>
      </c>
      <c r="T145" s="259">
        <v>0</v>
      </c>
      <c r="U145" s="247" t="s">
        <v>623</v>
      </c>
    </row>
    <row r="146" spans="1:21" ht="41.5" hidden="1" customHeight="1" x14ac:dyDescent="0.35">
      <c r="A146" s="247" t="s">
        <v>356</v>
      </c>
      <c r="B146" s="247" t="s">
        <v>532</v>
      </c>
      <c r="C146" s="247" t="s">
        <v>246</v>
      </c>
      <c r="D146" s="261">
        <v>81141902</v>
      </c>
      <c r="E146" s="249" t="s">
        <v>626</v>
      </c>
      <c r="F146" s="247" t="s">
        <v>627</v>
      </c>
      <c r="G146" s="250" t="s">
        <v>69</v>
      </c>
      <c r="H146" s="250" t="s">
        <v>70</v>
      </c>
      <c r="I146" s="251">
        <v>360</v>
      </c>
      <c r="J146" s="267" t="s">
        <v>381</v>
      </c>
      <c r="K146" s="253">
        <v>68679996</v>
      </c>
      <c r="L146" s="254">
        <v>0.19</v>
      </c>
      <c r="M146" s="255">
        <v>13049199.24</v>
      </c>
      <c r="N146" s="256">
        <v>81729195.239999995</v>
      </c>
      <c r="O146" s="257" t="s">
        <v>365</v>
      </c>
      <c r="P146" s="258" t="s">
        <v>91</v>
      </c>
      <c r="Q146" s="259">
        <v>81729195.239999995</v>
      </c>
      <c r="R146" s="259">
        <v>0</v>
      </c>
      <c r="S146" s="259">
        <v>0</v>
      </c>
      <c r="T146" s="259">
        <v>0</v>
      </c>
      <c r="U146" s="247" t="s">
        <v>623</v>
      </c>
    </row>
    <row r="147" spans="1:21" ht="41.5" hidden="1" customHeight="1" x14ac:dyDescent="0.35">
      <c r="A147" s="247" t="s">
        <v>356</v>
      </c>
      <c r="B147" s="247" t="s">
        <v>532</v>
      </c>
      <c r="C147" s="247" t="s">
        <v>246</v>
      </c>
      <c r="D147" s="261">
        <v>81141902</v>
      </c>
      <c r="E147" s="249" t="s">
        <v>626</v>
      </c>
      <c r="F147" s="247" t="s">
        <v>627</v>
      </c>
      <c r="G147" s="250" t="s">
        <v>69</v>
      </c>
      <c r="H147" s="271" t="s">
        <v>68</v>
      </c>
      <c r="I147" s="251">
        <v>360</v>
      </c>
      <c r="J147" s="267" t="s">
        <v>381</v>
      </c>
      <c r="K147" s="253">
        <v>3279640</v>
      </c>
      <c r="L147" s="254">
        <v>0.19</v>
      </c>
      <c r="M147" s="255">
        <v>623131.6</v>
      </c>
      <c r="N147" s="256">
        <v>3902771.6</v>
      </c>
      <c r="O147" s="257" t="s">
        <v>365</v>
      </c>
      <c r="P147" s="258" t="s">
        <v>91</v>
      </c>
      <c r="Q147" s="259">
        <v>3902771.6</v>
      </c>
      <c r="R147" s="259">
        <v>0</v>
      </c>
      <c r="S147" s="259">
        <v>0</v>
      </c>
      <c r="T147" s="259">
        <v>0</v>
      </c>
      <c r="U147" s="247" t="s">
        <v>623</v>
      </c>
    </row>
    <row r="148" spans="1:21" ht="41.5" hidden="1" customHeight="1" x14ac:dyDescent="0.35">
      <c r="A148" s="247" t="s">
        <v>356</v>
      </c>
      <c r="B148" s="247" t="s">
        <v>532</v>
      </c>
      <c r="C148" s="247" t="s">
        <v>246</v>
      </c>
      <c r="D148" s="261">
        <v>43232107</v>
      </c>
      <c r="E148" s="249" t="s">
        <v>628</v>
      </c>
      <c r="F148" s="247" t="s">
        <v>629</v>
      </c>
      <c r="G148" s="250" t="s">
        <v>66</v>
      </c>
      <c r="H148" s="250" t="s">
        <v>67</v>
      </c>
      <c r="I148" s="251">
        <v>1080</v>
      </c>
      <c r="J148" s="252" t="s">
        <v>373</v>
      </c>
      <c r="K148" s="253">
        <v>2538848000</v>
      </c>
      <c r="L148" s="272">
        <v>0.19</v>
      </c>
      <c r="M148" s="255">
        <v>197381120</v>
      </c>
      <c r="N148" s="256">
        <v>2736229120</v>
      </c>
      <c r="O148" s="257" t="s">
        <v>360</v>
      </c>
      <c r="P148" s="258" t="s">
        <v>374</v>
      </c>
      <c r="Q148" s="259">
        <v>875800000</v>
      </c>
      <c r="R148" s="259">
        <v>911264000</v>
      </c>
      <c r="S148" s="259">
        <v>949165120</v>
      </c>
      <c r="T148" s="259">
        <v>0</v>
      </c>
      <c r="U148" s="247" t="s">
        <v>623</v>
      </c>
    </row>
    <row r="149" spans="1:21" ht="41.5" hidden="1" customHeight="1" x14ac:dyDescent="0.35">
      <c r="A149" s="247" t="s">
        <v>356</v>
      </c>
      <c r="B149" s="247" t="s">
        <v>532</v>
      </c>
      <c r="C149" s="247" t="s">
        <v>246</v>
      </c>
      <c r="D149" s="261">
        <v>81141902</v>
      </c>
      <c r="E149" s="249" t="s">
        <v>626</v>
      </c>
      <c r="F149" s="247" t="s">
        <v>630</v>
      </c>
      <c r="G149" s="250" t="s">
        <v>66</v>
      </c>
      <c r="H149" s="250" t="s">
        <v>67</v>
      </c>
      <c r="I149" s="251">
        <v>360</v>
      </c>
      <c r="J149" s="267" t="s">
        <v>373</v>
      </c>
      <c r="K149" s="253">
        <v>255800000</v>
      </c>
      <c r="L149" s="254">
        <v>0.19</v>
      </c>
      <c r="M149" s="255">
        <v>48602000</v>
      </c>
      <c r="N149" s="256">
        <v>304402000</v>
      </c>
      <c r="O149" s="257" t="s">
        <v>360</v>
      </c>
      <c r="P149" s="258" t="s">
        <v>361</v>
      </c>
      <c r="Q149" s="265">
        <v>304402000</v>
      </c>
      <c r="R149" s="265">
        <v>51160000</v>
      </c>
      <c r="S149" s="259">
        <v>0</v>
      </c>
      <c r="T149" s="259">
        <v>0</v>
      </c>
      <c r="U149" s="247" t="s">
        <v>623</v>
      </c>
    </row>
    <row r="150" spans="1:21" ht="41.5" hidden="1" customHeight="1" x14ac:dyDescent="0.35">
      <c r="A150" s="247" t="s">
        <v>356</v>
      </c>
      <c r="B150" s="247" t="s">
        <v>532</v>
      </c>
      <c r="C150" s="247" t="s">
        <v>246</v>
      </c>
      <c r="D150" s="261">
        <v>80101600</v>
      </c>
      <c r="E150" s="249" t="s">
        <v>619</v>
      </c>
      <c r="F150" s="247" t="s">
        <v>631</v>
      </c>
      <c r="G150" s="263" t="s">
        <v>72</v>
      </c>
      <c r="H150" s="250" t="s">
        <v>73</v>
      </c>
      <c r="I150" s="251">
        <v>240</v>
      </c>
      <c r="J150" s="252" t="s">
        <v>359</v>
      </c>
      <c r="K150" s="253">
        <v>39000000</v>
      </c>
      <c r="L150" s="254">
        <v>0</v>
      </c>
      <c r="M150" s="255">
        <v>0</v>
      </c>
      <c r="N150" s="256">
        <v>39000000</v>
      </c>
      <c r="O150" s="257" t="s">
        <v>365</v>
      </c>
      <c r="P150" s="258" t="s">
        <v>91</v>
      </c>
      <c r="Q150" s="259">
        <v>39000000</v>
      </c>
      <c r="R150" s="259">
        <v>0</v>
      </c>
      <c r="S150" s="259">
        <v>0</v>
      </c>
      <c r="T150" s="259">
        <v>0</v>
      </c>
      <c r="U150" s="247" t="s">
        <v>632</v>
      </c>
    </row>
    <row r="151" spans="1:21" ht="41.5" hidden="1" customHeight="1" x14ac:dyDescent="0.35">
      <c r="A151" s="247" t="s">
        <v>356</v>
      </c>
      <c r="B151" s="247" t="s">
        <v>532</v>
      </c>
      <c r="C151" s="247" t="s">
        <v>246</v>
      </c>
      <c r="D151" s="261">
        <v>80101600</v>
      </c>
      <c r="E151" s="249" t="s">
        <v>619</v>
      </c>
      <c r="F151" s="247" t="s">
        <v>631</v>
      </c>
      <c r="G151" s="263" t="s">
        <v>72</v>
      </c>
      <c r="H151" s="250" t="s">
        <v>73</v>
      </c>
      <c r="I151" s="251">
        <v>240</v>
      </c>
      <c r="J151" s="252" t="s">
        <v>359</v>
      </c>
      <c r="K151" s="253">
        <v>47000000</v>
      </c>
      <c r="L151" s="254">
        <v>0</v>
      </c>
      <c r="M151" s="255">
        <v>0</v>
      </c>
      <c r="N151" s="256">
        <v>47000000</v>
      </c>
      <c r="O151" s="257" t="s">
        <v>365</v>
      </c>
      <c r="P151" s="258" t="s">
        <v>91</v>
      </c>
      <c r="Q151" s="259">
        <v>47000000</v>
      </c>
      <c r="R151" s="259">
        <v>0</v>
      </c>
      <c r="S151" s="259">
        <v>0</v>
      </c>
      <c r="T151" s="259">
        <v>0</v>
      </c>
      <c r="U151" s="247" t="s">
        <v>632</v>
      </c>
    </row>
    <row r="152" spans="1:21" ht="41.5" hidden="1" customHeight="1" x14ac:dyDescent="0.35">
      <c r="A152" s="247" t="s">
        <v>356</v>
      </c>
      <c r="B152" s="247" t="s">
        <v>223</v>
      </c>
      <c r="C152" s="247" t="s">
        <v>633</v>
      </c>
      <c r="D152" s="261">
        <v>84121704</v>
      </c>
      <c r="E152" s="249" t="s">
        <v>634</v>
      </c>
      <c r="F152" s="247" t="s">
        <v>635</v>
      </c>
      <c r="G152" s="263" t="s">
        <v>72</v>
      </c>
      <c r="H152" s="250" t="s">
        <v>72</v>
      </c>
      <c r="I152" s="251">
        <v>365</v>
      </c>
      <c r="J152" s="252" t="s">
        <v>470</v>
      </c>
      <c r="K152" s="253">
        <v>1974415</v>
      </c>
      <c r="L152" s="254">
        <v>0.19</v>
      </c>
      <c r="M152" s="255">
        <v>375138.85</v>
      </c>
      <c r="N152" s="256">
        <v>2349553.85</v>
      </c>
      <c r="O152" s="257" t="s">
        <v>365</v>
      </c>
      <c r="P152" s="258" t="s">
        <v>91</v>
      </c>
      <c r="Q152" s="259">
        <v>2349553.85</v>
      </c>
      <c r="R152" s="259">
        <v>0</v>
      </c>
      <c r="S152" s="259">
        <v>0</v>
      </c>
      <c r="T152" s="259">
        <v>0</v>
      </c>
      <c r="U152" s="247" t="s">
        <v>636</v>
      </c>
    </row>
    <row r="153" spans="1:21" ht="41.5" hidden="1" customHeight="1" x14ac:dyDescent="0.35">
      <c r="A153" s="247" t="s">
        <v>356</v>
      </c>
      <c r="B153" s="247" t="s">
        <v>223</v>
      </c>
      <c r="C153" s="247" t="s">
        <v>633</v>
      </c>
      <c r="D153" s="261">
        <v>84121702</v>
      </c>
      <c r="E153" s="249" t="s">
        <v>357</v>
      </c>
      <c r="F153" s="247" t="s">
        <v>637</v>
      </c>
      <c r="G153" s="250" t="s">
        <v>75</v>
      </c>
      <c r="H153" s="250" t="s">
        <v>75</v>
      </c>
      <c r="I153" s="251">
        <v>730</v>
      </c>
      <c r="J153" s="252" t="s">
        <v>359</v>
      </c>
      <c r="K153" s="253">
        <v>349147914</v>
      </c>
      <c r="L153" s="254">
        <v>0.19</v>
      </c>
      <c r="M153" s="255">
        <v>66338103.660000004</v>
      </c>
      <c r="N153" s="256">
        <v>415486017.66000003</v>
      </c>
      <c r="O153" s="257" t="s">
        <v>360</v>
      </c>
      <c r="P153" s="258" t="s">
        <v>361</v>
      </c>
      <c r="Q153" s="259">
        <v>0</v>
      </c>
      <c r="R153" s="259">
        <v>192445810</v>
      </c>
      <c r="S153" s="259">
        <v>207743009</v>
      </c>
      <c r="T153" s="259">
        <v>15297199</v>
      </c>
      <c r="U153" s="247" t="s">
        <v>636</v>
      </c>
    </row>
    <row r="154" spans="1:21" ht="41.5" hidden="1" customHeight="1" x14ac:dyDescent="0.35">
      <c r="A154" s="247" t="s">
        <v>356</v>
      </c>
      <c r="B154" s="247" t="s">
        <v>223</v>
      </c>
      <c r="C154" s="247" t="s">
        <v>226</v>
      </c>
      <c r="D154" s="261">
        <v>43231601</v>
      </c>
      <c r="E154" s="249" t="s">
        <v>638</v>
      </c>
      <c r="F154" s="247" t="s">
        <v>639</v>
      </c>
      <c r="G154" s="250" t="s">
        <v>66</v>
      </c>
      <c r="H154" s="250" t="s">
        <v>66</v>
      </c>
      <c r="I154" s="251">
        <v>306</v>
      </c>
      <c r="J154" s="267" t="s">
        <v>373</v>
      </c>
      <c r="K154" s="253">
        <v>196549945.37815127</v>
      </c>
      <c r="L154" s="254">
        <v>0.19</v>
      </c>
      <c r="M154" s="255">
        <v>37344489.62184874</v>
      </c>
      <c r="N154" s="256">
        <v>233894435</v>
      </c>
      <c r="O154" s="257" t="s">
        <v>360</v>
      </c>
      <c r="P154" s="258" t="s">
        <v>361</v>
      </c>
      <c r="Q154" s="259">
        <v>46823260</v>
      </c>
      <c r="R154" s="259">
        <v>59165868.299999997</v>
      </c>
      <c r="S154" s="259">
        <v>62301659.32</v>
      </c>
      <c r="T154" s="259">
        <v>65603647.267580293</v>
      </c>
      <c r="U154" s="247" t="s">
        <v>640</v>
      </c>
    </row>
    <row r="155" spans="1:21" ht="41.5" hidden="1" customHeight="1" x14ac:dyDescent="0.35">
      <c r="A155" s="247" t="s">
        <v>356</v>
      </c>
      <c r="B155" s="247" t="s">
        <v>223</v>
      </c>
      <c r="C155" s="247" t="s">
        <v>226</v>
      </c>
      <c r="D155" s="261">
        <v>84111500</v>
      </c>
      <c r="E155" s="249" t="s">
        <v>641</v>
      </c>
      <c r="F155" s="247" t="s">
        <v>642</v>
      </c>
      <c r="G155" s="250" t="s">
        <v>66</v>
      </c>
      <c r="H155" s="250" t="s">
        <v>66</v>
      </c>
      <c r="I155" s="251">
        <v>112</v>
      </c>
      <c r="J155" s="252" t="s">
        <v>359</v>
      </c>
      <c r="K155" s="253">
        <v>325000000</v>
      </c>
      <c r="L155" s="254">
        <v>0.19</v>
      </c>
      <c r="M155" s="255">
        <v>61750000</v>
      </c>
      <c r="N155" s="256">
        <v>386750000</v>
      </c>
      <c r="O155" s="257" t="s">
        <v>365</v>
      </c>
      <c r="P155" s="258" t="s">
        <v>91</v>
      </c>
      <c r="Q155" s="259">
        <v>386750000</v>
      </c>
      <c r="R155" s="259">
        <v>0</v>
      </c>
      <c r="S155" s="259">
        <v>0</v>
      </c>
      <c r="T155" s="259">
        <v>0</v>
      </c>
      <c r="U155" s="247" t="s">
        <v>640</v>
      </c>
    </row>
    <row r="156" spans="1:21" ht="41.5" hidden="1" customHeight="1" x14ac:dyDescent="0.35">
      <c r="A156" s="247" t="s">
        <v>356</v>
      </c>
      <c r="B156" s="247" t="s">
        <v>223</v>
      </c>
      <c r="C156" s="247" t="s">
        <v>643</v>
      </c>
      <c r="D156" s="261">
        <v>81111600</v>
      </c>
      <c r="E156" s="249" t="s">
        <v>644</v>
      </c>
      <c r="F156" s="247" t="s">
        <v>645</v>
      </c>
      <c r="G156" s="250" t="s">
        <v>66</v>
      </c>
      <c r="H156" s="250" t="s">
        <v>66</v>
      </c>
      <c r="I156" s="251">
        <v>360</v>
      </c>
      <c r="J156" s="252" t="s">
        <v>359</v>
      </c>
      <c r="K156" s="253">
        <v>26277481</v>
      </c>
      <c r="L156" s="254">
        <v>0.19</v>
      </c>
      <c r="M156" s="255">
        <v>4992721.3899999997</v>
      </c>
      <c r="N156" s="256">
        <v>31270202.390000001</v>
      </c>
      <c r="O156" s="257" t="s">
        <v>365</v>
      </c>
      <c r="P156" s="258" t="s">
        <v>91</v>
      </c>
      <c r="Q156" s="259">
        <v>31270202.390000001</v>
      </c>
      <c r="R156" s="259">
        <v>0</v>
      </c>
      <c r="S156" s="259">
        <v>0</v>
      </c>
      <c r="T156" s="259">
        <v>0</v>
      </c>
      <c r="U156" s="247" t="s">
        <v>646</v>
      </c>
    </row>
    <row r="157" spans="1:21" ht="41.5" hidden="1" customHeight="1" x14ac:dyDescent="0.35">
      <c r="A157" s="247" t="s">
        <v>356</v>
      </c>
      <c r="B157" s="247" t="s">
        <v>223</v>
      </c>
      <c r="C157" s="247" t="s">
        <v>226</v>
      </c>
      <c r="D157" s="261">
        <v>84111500</v>
      </c>
      <c r="E157" s="249" t="s">
        <v>641</v>
      </c>
      <c r="F157" s="247" t="s">
        <v>647</v>
      </c>
      <c r="G157" s="250" t="s">
        <v>66</v>
      </c>
      <c r="H157" s="250" t="s">
        <v>66</v>
      </c>
      <c r="I157" s="251">
        <v>243</v>
      </c>
      <c r="J157" s="252" t="s">
        <v>359</v>
      </c>
      <c r="K157" s="253">
        <v>72000000</v>
      </c>
      <c r="L157" s="254">
        <v>0</v>
      </c>
      <c r="M157" s="255">
        <v>0</v>
      </c>
      <c r="N157" s="256">
        <v>72000000</v>
      </c>
      <c r="O157" s="257" t="s">
        <v>365</v>
      </c>
      <c r="P157" s="258" t="s">
        <v>91</v>
      </c>
      <c r="Q157" s="259">
        <v>72000000</v>
      </c>
      <c r="R157" s="259">
        <v>0</v>
      </c>
      <c r="S157" s="259">
        <v>0</v>
      </c>
      <c r="T157" s="259">
        <v>0</v>
      </c>
      <c r="U157" s="247" t="s">
        <v>640</v>
      </c>
    </row>
    <row r="158" spans="1:21" ht="41.5" hidden="1" customHeight="1" x14ac:dyDescent="0.35">
      <c r="A158" s="247" t="s">
        <v>356</v>
      </c>
      <c r="B158" s="247" t="s">
        <v>223</v>
      </c>
      <c r="C158" s="247" t="s">
        <v>643</v>
      </c>
      <c r="D158" s="261">
        <v>84111500</v>
      </c>
      <c r="E158" s="249" t="s">
        <v>641</v>
      </c>
      <c r="F158" s="247" t="s">
        <v>648</v>
      </c>
      <c r="G158" s="250" t="s">
        <v>66</v>
      </c>
      <c r="H158" s="250" t="s">
        <v>66</v>
      </c>
      <c r="I158" s="251">
        <v>180</v>
      </c>
      <c r="J158" s="252" t="s">
        <v>359</v>
      </c>
      <c r="K158" s="253">
        <v>40260000</v>
      </c>
      <c r="L158" s="254">
        <v>0</v>
      </c>
      <c r="M158" s="255">
        <v>0</v>
      </c>
      <c r="N158" s="256">
        <v>40260000</v>
      </c>
      <c r="O158" s="257" t="s">
        <v>365</v>
      </c>
      <c r="P158" s="258" t="s">
        <v>91</v>
      </c>
      <c r="Q158" s="259">
        <v>40260000</v>
      </c>
      <c r="R158" s="259">
        <v>0</v>
      </c>
      <c r="S158" s="259">
        <v>0</v>
      </c>
      <c r="T158" s="259">
        <v>0</v>
      </c>
      <c r="U158" s="247" t="s">
        <v>646</v>
      </c>
    </row>
    <row r="159" spans="1:21" ht="41.5" hidden="1" customHeight="1" x14ac:dyDescent="0.35">
      <c r="A159" s="247" t="s">
        <v>356</v>
      </c>
      <c r="B159" s="247" t="s">
        <v>223</v>
      </c>
      <c r="C159" s="247" t="s">
        <v>643</v>
      </c>
      <c r="D159" s="261">
        <v>84111500</v>
      </c>
      <c r="E159" s="249" t="s">
        <v>641</v>
      </c>
      <c r="F159" s="247" t="s">
        <v>649</v>
      </c>
      <c r="G159" s="250" t="s">
        <v>66</v>
      </c>
      <c r="H159" s="250" t="s">
        <v>66</v>
      </c>
      <c r="I159" s="251">
        <v>152</v>
      </c>
      <c r="J159" s="252" t="s">
        <v>359</v>
      </c>
      <c r="K159" s="253">
        <v>39000000</v>
      </c>
      <c r="L159" s="254">
        <v>0</v>
      </c>
      <c r="M159" s="255">
        <v>0</v>
      </c>
      <c r="N159" s="256">
        <v>39000000</v>
      </c>
      <c r="O159" s="257" t="s">
        <v>365</v>
      </c>
      <c r="P159" s="258" t="s">
        <v>91</v>
      </c>
      <c r="Q159" s="259">
        <v>39000000</v>
      </c>
      <c r="R159" s="259">
        <v>0</v>
      </c>
      <c r="S159" s="259">
        <v>0</v>
      </c>
      <c r="T159" s="259">
        <v>0</v>
      </c>
      <c r="U159" s="247" t="s">
        <v>646</v>
      </c>
    </row>
    <row r="160" spans="1:21" ht="41.5" hidden="1" customHeight="1" x14ac:dyDescent="0.35">
      <c r="A160" s="247" t="s">
        <v>356</v>
      </c>
      <c r="B160" s="247" t="s">
        <v>223</v>
      </c>
      <c r="C160" s="247" t="s">
        <v>650</v>
      </c>
      <c r="D160" s="261">
        <v>84111500</v>
      </c>
      <c r="E160" s="249" t="s">
        <v>641</v>
      </c>
      <c r="F160" s="247" t="s">
        <v>651</v>
      </c>
      <c r="G160" s="250" t="s">
        <v>66</v>
      </c>
      <c r="H160" s="250" t="s">
        <v>66</v>
      </c>
      <c r="I160" s="251">
        <v>243</v>
      </c>
      <c r="J160" s="252" t="s">
        <v>359</v>
      </c>
      <c r="K160" s="253">
        <v>72000000</v>
      </c>
      <c r="L160" s="254">
        <v>0</v>
      </c>
      <c r="M160" s="255">
        <v>0</v>
      </c>
      <c r="N160" s="256">
        <v>72000000</v>
      </c>
      <c r="O160" s="257" t="s">
        <v>365</v>
      </c>
      <c r="P160" s="258" t="s">
        <v>91</v>
      </c>
      <c r="Q160" s="259">
        <v>72000000</v>
      </c>
      <c r="R160" s="259">
        <v>0</v>
      </c>
      <c r="S160" s="259">
        <v>0</v>
      </c>
      <c r="T160" s="259">
        <v>0</v>
      </c>
      <c r="U160" s="247" t="s">
        <v>652</v>
      </c>
    </row>
    <row r="161" spans="1:21" ht="41.5" hidden="1" customHeight="1" x14ac:dyDescent="0.35">
      <c r="A161" s="247" t="s">
        <v>356</v>
      </c>
      <c r="B161" s="247" t="s">
        <v>223</v>
      </c>
      <c r="C161" s="247" t="s">
        <v>650</v>
      </c>
      <c r="D161" s="261">
        <v>84111500</v>
      </c>
      <c r="E161" s="249" t="s">
        <v>641</v>
      </c>
      <c r="F161" s="247" t="s">
        <v>653</v>
      </c>
      <c r="G161" s="263" t="s">
        <v>66</v>
      </c>
      <c r="H161" s="250" t="s">
        <v>66</v>
      </c>
      <c r="I161" s="251">
        <v>240</v>
      </c>
      <c r="J161" s="252" t="s">
        <v>359</v>
      </c>
      <c r="K161" s="253">
        <v>56000000</v>
      </c>
      <c r="L161" s="254">
        <v>0</v>
      </c>
      <c r="M161" s="255">
        <v>0</v>
      </c>
      <c r="N161" s="256">
        <v>56000000</v>
      </c>
      <c r="O161" s="257" t="s">
        <v>365</v>
      </c>
      <c r="P161" s="258" t="s">
        <v>91</v>
      </c>
      <c r="Q161" s="259">
        <v>56000000</v>
      </c>
      <c r="R161" s="259">
        <v>0</v>
      </c>
      <c r="S161" s="259">
        <v>0</v>
      </c>
      <c r="T161" s="259">
        <v>0</v>
      </c>
      <c r="U161" s="247" t="s">
        <v>652</v>
      </c>
    </row>
    <row r="162" spans="1:21" ht="41.5" hidden="1" customHeight="1" x14ac:dyDescent="0.35">
      <c r="A162" s="247" t="s">
        <v>356</v>
      </c>
      <c r="B162" s="247" t="s">
        <v>223</v>
      </c>
      <c r="C162" s="247" t="s">
        <v>643</v>
      </c>
      <c r="D162" s="261">
        <v>84111500</v>
      </c>
      <c r="E162" s="249" t="s">
        <v>641</v>
      </c>
      <c r="F162" s="247" t="s">
        <v>648</v>
      </c>
      <c r="G162" s="263" t="s">
        <v>66</v>
      </c>
      <c r="H162" s="250" t="s">
        <v>66</v>
      </c>
      <c r="I162" s="251">
        <v>152</v>
      </c>
      <c r="J162" s="252" t="s">
        <v>359</v>
      </c>
      <c r="K162" s="253">
        <v>46500000</v>
      </c>
      <c r="L162" s="254">
        <v>0</v>
      </c>
      <c r="M162" s="255">
        <v>0</v>
      </c>
      <c r="N162" s="256">
        <v>46500000</v>
      </c>
      <c r="O162" s="257" t="s">
        <v>365</v>
      </c>
      <c r="P162" s="258" t="s">
        <v>91</v>
      </c>
      <c r="Q162" s="259">
        <v>46500000</v>
      </c>
      <c r="R162" s="259">
        <v>0</v>
      </c>
      <c r="S162" s="259">
        <v>0</v>
      </c>
      <c r="T162" s="259">
        <v>0</v>
      </c>
      <c r="U162" s="247" t="s">
        <v>646</v>
      </c>
    </row>
    <row r="163" spans="1:21" ht="41.5" hidden="1" customHeight="1" x14ac:dyDescent="0.35">
      <c r="A163" s="247" t="s">
        <v>356</v>
      </c>
      <c r="B163" s="247" t="s">
        <v>654</v>
      </c>
      <c r="C163" s="247" t="s">
        <v>655</v>
      </c>
      <c r="D163" s="261">
        <v>93151507</v>
      </c>
      <c r="E163" s="249" t="s">
        <v>400</v>
      </c>
      <c r="F163" s="247" t="s">
        <v>656</v>
      </c>
      <c r="G163" s="264" t="s">
        <v>69</v>
      </c>
      <c r="H163" s="250" t="s">
        <v>72</v>
      </c>
      <c r="I163" s="251">
        <v>365</v>
      </c>
      <c r="J163" s="252" t="s">
        <v>359</v>
      </c>
      <c r="K163" s="253">
        <v>87545250</v>
      </c>
      <c r="L163" s="254">
        <v>0.19</v>
      </c>
      <c r="M163" s="255">
        <v>16633597.5</v>
      </c>
      <c r="N163" s="256">
        <v>104178847.5</v>
      </c>
      <c r="O163" s="257" t="s">
        <v>360</v>
      </c>
      <c r="P163" s="258" t="s">
        <v>361</v>
      </c>
      <c r="Q163" s="259">
        <v>52089423.75</v>
      </c>
      <c r="R163" s="259">
        <v>52089423.75</v>
      </c>
      <c r="S163" s="259">
        <v>0</v>
      </c>
      <c r="T163" s="259">
        <v>0</v>
      </c>
      <c r="U163" s="247" t="s">
        <v>657</v>
      </c>
    </row>
    <row r="164" spans="1:21" ht="41.5" hidden="1" customHeight="1" x14ac:dyDescent="0.35">
      <c r="A164" s="247" t="s">
        <v>356</v>
      </c>
      <c r="B164" s="247" t="s">
        <v>654</v>
      </c>
      <c r="C164" s="247" t="s">
        <v>658</v>
      </c>
      <c r="D164" s="261">
        <v>84111600</v>
      </c>
      <c r="E164" s="249" t="s">
        <v>403</v>
      </c>
      <c r="F164" s="247" t="s">
        <v>659</v>
      </c>
      <c r="G164" s="250" t="s">
        <v>73</v>
      </c>
      <c r="H164" s="250" t="s">
        <v>74</v>
      </c>
      <c r="I164" s="251">
        <v>1095</v>
      </c>
      <c r="J164" s="252" t="s">
        <v>373</v>
      </c>
      <c r="K164" s="253">
        <v>117581502488.89999</v>
      </c>
      <c r="L164" s="254">
        <v>0.19</v>
      </c>
      <c r="M164" s="255">
        <v>22340485472.890999</v>
      </c>
      <c r="N164" s="256">
        <v>139921987961.79099</v>
      </c>
      <c r="O164" s="257" t="s">
        <v>360</v>
      </c>
      <c r="P164" s="258" t="s">
        <v>361</v>
      </c>
      <c r="Q164" s="259">
        <v>0</v>
      </c>
      <c r="R164" s="259">
        <v>42793874071.790985</v>
      </c>
      <c r="S164" s="259">
        <v>47054273135</v>
      </c>
      <c r="T164" s="259">
        <v>50073840755</v>
      </c>
      <c r="U164" s="247" t="s">
        <v>660</v>
      </c>
    </row>
    <row r="165" spans="1:21" ht="41.5" hidden="1" customHeight="1" x14ac:dyDescent="0.35">
      <c r="A165" s="247" t="s">
        <v>356</v>
      </c>
      <c r="B165" s="247" t="s">
        <v>654</v>
      </c>
      <c r="C165" s="247" t="s">
        <v>658</v>
      </c>
      <c r="D165" s="261">
        <v>85122201</v>
      </c>
      <c r="E165" s="249" t="s">
        <v>661</v>
      </c>
      <c r="F165" s="247" t="s">
        <v>662</v>
      </c>
      <c r="G165" s="250" t="s">
        <v>70</v>
      </c>
      <c r="H165" s="250" t="s">
        <v>71</v>
      </c>
      <c r="I165" s="251">
        <v>365</v>
      </c>
      <c r="J165" s="267" t="s">
        <v>381</v>
      </c>
      <c r="K165" s="253">
        <v>4167717460.8174663</v>
      </c>
      <c r="L165" s="254">
        <v>0.19</v>
      </c>
      <c r="M165" s="255">
        <v>791866317.55531859</v>
      </c>
      <c r="N165" s="256">
        <v>4959583778.3727846</v>
      </c>
      <c r="O165" s="273" t="s">
        <v>365</v>
      </c>
      <c r="P165" s="274" t="s">
        <v>91</v>
      </c>
      <c r="Q165" s="259">
        <v>2386370569.25</v>
      </c>
      <c r="R165" s="259">
        <v>2573213209.1227837</v>
      </c>
      <c r="S165" s="259">
        <v>0</v>
      </c>
      <c r="T165" s="259">
        <v>0</v>
      </c>
      <c r="U165" s="247" t="s">
        <v>660</v>
      </c>
    </row>
    <row r="166" spans="1:21" ht="41.5" hidden="1" customHeight="1" x14ac:dyDescent="0.35">
      <c r="A166" s="247" t="s">
        <v>356</v>
      </c>
      <c r="B166" s="247" t="s">
        <v>654</v>
      </c>
      <c r="C166" s="247" t="s">
        <v>658</v>
      </c>
      <c r="D166" s="261">
        <v>80111701</v>
      </c>
      <c r="E166" s="249" t="s">
        <v>663</v>
      </c>
      <c r="F166" s="247" t="s">
        <v>664</v>
      </c>
      <c r="G166" s="250" t="s">
        <v>72</v>
      </c>
      <c r="H166" s="250" t="s">
        <v>73</v>
      </c>
      <c r="I166" s="251">
        <v>365</v>
      </c>
      <c r="J166" s="252" t="s">
        <v>359</v>
      </c>
      <c r="K166" s="253">
        <v>1623833316</v>
      </c>
      <c r="L166" s="254">
        <v>0</v>
      </c>
      <c r="M166" s="255">
        <v>0</v>
      </c>
      <c r="N166" s="256">
        <v>1623833316</v>
      </c>
      <c r="O166" s="257" t="s">
        <v>365</v>
      </c>
      <c r="P166" s="258" t="s">
        <v>91</v>
      </c>
      <c r="Q166" s="259">
        <v>1623833316</v>
      </c>
      <c r="R166" s="259">
        <v>0</v>
      </c>
      <c r="S166" s="259">
        <v>0</v>
      </c>
      <c r="T166" s="259">
        <v>0</v>
      </c>
      <c r="U166" s="247" t="s">
        <v>660</v>
      </c>
    </row>
    <row r="167" spans="1:21" ht="41.5" hidden="1" customHeight="1" x14ac:dyDescent="0.35">
      <c r="A167" s="247" t="s">
        <v>356</v>
      </c>
      <c r="B167" s="247" t="s">
        <v>665</v>
      </c>
      <c r="C167" s="247" t="s">
        <v>666</v>
      </c>
      <c r="D167" s="261">
        <v>80121600</v>
      </c>
      <c r="E167" s="249" t="s">
        <v>667</v>
      </c>
      <c r="F167" s="247" t="s">
        <v>668</v>
      </c>
      <c r="G167" s="250" t="s">
        <v>77</v>
      </c>
      <c r="H167" s="250" t="s">
        <v>77</v>
      </c>
      <c r="I167" s="251">
        <v>360</v>
      </c>
      <c r="J167" s="252" t="s">
        <v>359</v>
      </c>
      <c r="K167" s="253">
        <v>40240764</v>
      </c>
      <c r="L167" s="254">
        <v>0.19</v>
      </c>
      <c r="M167" s="255">
        <v>7645745.1600000001</v>
      </c>
      <c r="N167" s="256">
        <v>47886509.159999996</v>
      </c>
      <c r="O167" s="257" t="s">
        <v>365</v>
      </c>
      <c r="P167" s="258" t="s">
        <v>91</v>
      </c>
      <c r="Q167" s="259">
        <v>47886509.159999996</v>
      </c>
      <c r="R167" s="259">
        <v>0</v>
      </c>
      <c r="S167" s="259">
        <v>0</v>
      </c>
      <c r="T167" s="259">
        <v>0</v>
      </c>
      <c r="U167" s="247" t="s">
        <v>669</v>
      </c>
    </row>
    <row r="168" spans="1:21" ht="41.5" hidden="1" customHeight="1" x14ac:dyDescent="0.35">
      <c r="A168" s="247" t="s">
        <v>356</v>
      </c>
      <c r="B168" s="247" t="s">
        <v>665</v>
      </c>
      <c r="C168" s="247" t="s">
        <v>666</v>
      </c>
      <c r="D168" s="261">
        <v>80101500</v>
      </c>
      <c r="E168" s="249" t="s">
        <v>363</v>
      </c>
      <c r="F168" s="247" t="s">
        <v>670</v>
      </c>
      <c r="G168" s="250" t="s">
        <v>74</v>
      </c>
      <c r="H168" s="250" t="s">
        <v>74</v>
      </c>
      <c r="I168" s="251">
        <v>60</v>
      </c>
      <c r="J168" s="252" t="s">
        <v>359</v>
      </c>
      <c r="K168" s="253">
        <v>38415514</v>
      </c>
      <c r="L168" s="254">
        <v>0.19</v>
      </c>
      <c r="M168" s="255">
        <v>7298947.6600000001</v>
      </c>
      <c r="N168" s="256">
        <v>45714461.659999996</v>
      </c>
      <c r="O168" s="257" t="s">
        <v>365</v>
      </c>
      <c r="P168" s="258" t="s">
        <v>91</v>
      </c>
      <c r="Q168" s="259">
        <v>45714461.659999996</v>
      </c>
      <c r="R168" s="259">
        <v>0</v>
      </c>
      <c r="S168" s="259">
        <v>0</v>
      </c>
      <c r="T168" s="259">
        <v>0</v>
      </c>
      <c r="U168" s="247" t="s">
        <v>669</v>
      </c>
    </row>
    <row r="169" spans="1:21" ht="41.5" hidden="1" customHeight="1" x14ac:dyDescent="0.35">
      <c r="A169" s="247" t="s">
        <v>356</v>
      </c>
      <c r="B169" s="247" t="s">
        <v>665</v>
      </c>
      <c r="C169" s="247" t="s">
        <v>666</v>
      </c>
      <c r="D169" s="261">
        <v>80121604</v>
      </c>
      <c r="E169" s="249" t="s">
        <v>671</v>
      </c>
      <c r="F169" s="247" t="s">
        <v>672</v>
      </c>
      <c r="G169" s="250" t="s">
        <v>77</v>
      </c>
      <c r="H169" s="250" t="s">
        <v>77</v>
      </c>
      <c r="I169" s="251">
        <v>360</v>
      </c>
      <c r="J169" s="252" t="s">
        <v>359</v>
      </c>
      <c r="K169" s="253">
        <v>51971234</v>
      </c>
      <c r="L169" s="254">
        <v>0.19</v>
      </c>
      <c r="M169" s="255">
        <v>9874534.4600000009</v>
      </c>
      <c r="N169" s="256">
        <v>61845768.460000001</v>
      </c>
      <c r="O169" s="257" t="s">
        <v>365</v>
      </c>
      <c r="P169" s="258" t="s">
        <v>91</v>
      </c>
      <c r="Q169" s="259">
        <v>61845768.460000001</v>
      </c>
      <c r="R169" s="259">
        <v>0</v>
      </c>
      <c r="S169" s="259">
        <v>0</v>
      </c>
      <c r="T169" s="259">
        <v>0</v>
      </c>
      <c r="U169" s="247" t="s">
        <v>669</v>
      </c>
    </row>
    <row r="170" spans="1:21" ht="41.5" hidden="1" customHeight="1" x14ac:dyDescent="0.35">
      <c r="A170" s="247" t="s">
        <v>356</v>
      </c>
      <c r="B170" s="247" t="s">
        <v>665</v>
      </c>
      <c r="C170" s="247" t="s">
        <v>666</v>
      </c>
      <c r="D170" s="261">
        <v>80121604</v>
      </c>
      <c r="E170" s="249" t="s">
        <v>671</v>
      </c>
      <c r="F170" s="247" t="s">
        <v>672</v>
      </c>
      <c r="G170" s="250" t="s">
        <v>77</v>
      </c>
      <c r="H170" s="250" t="s">
        <v>77</v>
      </c>
      <c r="I170" s="251">
        <v>360</v>
      </c>
      <c r="J170" s="252" t="s">
        <v>359</v>
      </c>
      <c r="K170" s="253">
        <v>9314232</v>
      </c>
      <c r="L170" s="254">
        <v>0</v>
      </c>
      <c r="M170" s="255">
        <v>0</v>
      </c>
      <c r="N170" s="256">
        <v>9314232</v>
      </c>
      <c r="O170" s="257" t="s">
        <v>365</v>
      </c>
      <c r="P170" s="258" t="s">
        <v>91</v>
      </c>
      <c r="Q170" s="259">
        <v>9314232</v>
      </c>
      <c r="R170" s="259">
        <v>0</v>
      </c>
      <c r="S170" s="259">
        <v>0</v>
      </c>
      <c r="T170" s="259">
        <v>0</v>
      </c>
      <c r="U170" s="247" t="s">
        <v>669</v>
      </c>
    </row>
    <row r="171" spans="1:21" ht="41.5" hidden="1" customHeight="1" x14ac:dyDescent="0.35">
      <c r="A171" s="247" t="s">
        <v>356</v>
      </c>
      <c r="B171" s="247" t="s">
        <v>665</v>
      </c>
      <c r="C171" s="247" t="s">
        <v>673</v>
      </c>
      <c r="D171" s="261">
        <v>80101500</v>
      </c>
      <c r="E171" s="249" t="s">
        <v>363</v>
      </c>
      <c r="F171" s="247" t="s">
        <v>674</v>
      </c>
      <c r="G171" s="250" t="s">
        <v>66</v>
      </c>
      <c r="H171" s="250" t="s">
        <v>66</v>
      </c>
      <c r="I171" s="251">
        <v>240</v>
      </c>
      <c r="J171" s="252" t="s">
        <v>359</v>
      </c>
      <c r="K171" s="253">
        <v>47240000</v>
      </c>
      <c r="L171" s="254">
        <v>0</v>
      </c>
      <c r="M171" s="255">
        <v>0</v>
      </c>
      <c r="N171" s="256">
        <v>47240000</v>
      </c>
      <c r="O171" s="257" t="s">
        <v>365</v>
      </c>
      <c r="P171" s="258" t="s">
        <v>91</v>
      </c>
      <c r="Q171" s="259">
        <v>47240000</v>
      </c>
      <c r="R171" s="259">
        <v>0</v>
      </c>
      <c r="S171" s="259">
        <v>0</v>
      </c>
      <c r="T171" s="259">
        <v>0</v>
      </c>
      <c r="U171" s="247" t="s">
        <v>675</v>
      </c>
    </row>
    <row r="172" spans="1:21" ht="41.5" hidden="1" customHeight="1" x14ac:dyDescent="0.35">
      <c r="A172" s="247" t="s">
        <v>356</v>
      </c>
      <c r="B172" s="247" t="s">
        <v>665</v>
      </c>
      <c r="C172" s="247" t="s">
        <v>673</v>
      </c>
      <c r="D172" s="261">
        <v>81112500</v>
      </c>
      <c r="E172" s="249" t="s">
        <v>676</v>
      </c>
      <c r="F172" s="247" t="s">
        <v>677</v>
      </c>
      <c r="G172" s="250" t="s">
        <v>68</v>
      </c>
      <c r="H172" s="250" t="s">
        <v>69</v>
      </c>
      <c r="I172" s="251">
        <v>240</v>
      </c>
      <c r="J172" s="252" t="s">
        <v>381</v>
      </c>
      <c r="K172" s="253">
        <v>120000000</v>
      </c>
      <c r="L172" s="254">
        <v>0.19</v>
      </c>
      <c r="M172" s="255">
        <v>22800000</v>
      </c>
      <c r="N172" s="256">
        <v>142800000</v>
      </c>
      <c r="O172" s="257" t="s">
        <v>365</v>
      </c>
      <c r="P172" s="258" t="s">
        <v>91</v>
      </c>
      <c r="Q172" s="259">
        <v>142800000</v>
      </c>
      <c r="R172" s="259">
        <v>0</v>
      </c>
      <c r="S172" s="259">
        <v>0</v>
      </c>
      <c r="T172" s="259">
        <v>0</v>
      </c>
      <c r="U172" s="247" t="s">
        <v>675</v>
      </c>
    </row>
    <row r="173" spans="1:21" ht="41.5" hidden="1" customHeight="1" x14ac:dyDescent="0.35">
      <c r="A173" s="247" t="s">
        <v>356</v>
      </c>
      <c r="B173" s="247" t="s">
        <v>665</v>
      </c>
      <c r="C173" s="247" t="s">
        <v>673</v>
      </c>
      <c r="D173" s="261">
        <v>81112500</v>
      </c>
      <c r="E173" s="249" t="s">
        <v>676</v>
      </c>
      <c r="F173" s="247" t="s">
        <v>678</v>
      </c>
      <c r="G173" s="250" t="s">
        <v>68</v>
      </c>
      <c r="H173" s="250" t="s">
        <v>69</v>
      </c>
      <c r="I173" s="251">
        <v>240</v>
      </c>
      <c r="J173" s="252" t="s">
        <v>381</v>
      </c>
      <c r="K173" s="253">
        <v>480000000</v>
      </c>
      <c r="L173" s="254">
        <v>0.19</v>
      </c>
      <c r="M173" s="255">
        <v>91200000</v>
      </c>
      <c r="N173" s="256">
        <v>571200000</v>
      </c>
      <c r="O173" s="257" t="s">
        <v>365</v>
      </c>
      <c r="P173" s="258" t="s">
        <v>91</v>
      </c>
      <c r="Q173" s="259">
        <v>571200000</v>
      </c>
      <c r="R173" s="259">
        <v>0</v>
      </c>
      <c r="S173" s="259">
        <v>0</v>
      </c>
      <c r="T173" s="259">
        <v>0</v>
      </c>
      <c r="U173" s="247" t="s">
        <v>675</v>
      </c>
    </row>
    <row r="174" spans="1:21" ht="41.5" hidden="1" customHeight="1" x14ac:dyDescent="0.35">
      <c r="A174" s="247" t="s">
        <v>356</v>
      </c>
      <c r="B174" s="247" t="s">
        <v>665</v>
      </c>
      <c r="C174" s="247" t="s">
        <v>679</v>
      </c>
      <c r="D174" s="261">
        <v>80101500</v>
      </c>
      <c r="E174" s="249" t="s">
        <v>363</v>
      </c>
      <c r="F174" s="247" t="s">
        <v>680</v>
      </c>
      <c r="G174" s="250" t="s">
        <v>66</v>
      </c>
      <c r="H174" s="250" t="s">
        <v>66</v>
      </c>
      <c r="I174" s="251">
        <v>240</v>
      </c>
      <c r="J174" s="252" t="s">
        <v>359</v>
      </c>
      <c r="K174" s="253">
        <v>52760000</v>
      </c>
      <c r="L174" s="254">
        <v>0</v>
      </c>
      <c r="M174" s="255">
        <v>0</v>
      </c>
      <c r="N174" s="256">
        <v>52760000</v>
      </c>
      <c r="O174" s="257" t="s">
        <v>365</v>
      </c>
      <c r="P174" s="258" t="s">
        <v>91</v>
      </c>
      <c r="Q174" s="259">
        <v>52760000</v>
      </c>
      <c r="R174" s="259">
        <v>0</v>
      </c>
      <c r="S174" s="259">
        <v>0</v>
      </c>
      <c r="T174" s="259">
        <v>0</v>
      </c>
      <c r="U174" s="247" t="s">
        <v>681</v>
      </c>
    </row>
    <row r="175" spans="1:21" ht="41.5" hidden="1" customHeight="1" x14ac:dyDescent="0.35">
      <c r="A175" s="247" t="s">
        <v>356</v>
      </c>
      <c r="B175" s="247" t="s">
        <v>665</v>
      </c>
      <c r="C175" s="247" t="s">
        <v>119</v>
      </c>
      <c r="D175" s="261">
        <v>81112500</v>
      </c>
      <c r="E175" s="249" t="s">
        <v>676</v>
      </c>
      <c r="F175" s="247" t="s">
        <v>682</v>
      </c>
      <c r="G175" s="250" t="s">
        <v>66</v>
      </c>
      <c r="H175" s="250" t="s">
        <v>66</v>
      </c>
      <c r="I175" s="251">
        <v>1080</v>
      </c>
      <c r="J175" s="252" t="s">
        <v>359</v>
      </c>
      <c r="K175" s="253">
        <v>1379967000</v>
      </c>
      <c r="L175" s="254">
        <v>0.19</v>
      </c>
      <c r="M175" s="255">
        <v>262193730</v>
      </c>
      <c r="N175" s="256">
        <v>1642160730</v>
      </c>
      <c r="O175" s="257" t="s">
        <v>360</v>
      </c>
      <c r="P175" s="258" t="s">
        <v>374</v>
      </c>
      <c r="Q175" s="259">
        <v>459988995</v>
      </c>
      <c r="R175" s="259">
        <v>459989000</v>
      </c>
      <c r="S175" s="259">
        <v>459989000</v>
      </c>
      <c r="T175" s="259">
        <v>262193735</v>
      </c>
      <c r="U175" s="247" t="s">
        <v>683</v>
      </c>
    </row>
    <row r="176" spans="1:21" ht="41.5" hidden="1" customHeight="1" x14ac:dyDescent="0.35">
      <c r="A176" s="247" t="s">
        <v>356</v>
      </c>
      <c r="B176" s="247" t="s">
        <v>665</v>
      </c>
      <c r="C176" s="247" t="s">
        <v>119</v>
      </c>
      <c r="D176" s="261">
        <v>80101500</v>
      </c>
      <c r="E176" s="249" t="s">
        <v>363</v>
      </c>
      <c r="F176" s="247" t="s">
        <v>684</v>
      </c>
      <c r="G176" s="250" t="s">
        <v>66</v>
      </c>
      <c r="H176" s="250" t="s">
        <v>66</v>
      </c>
      <c r="I176" s="251">
        <v>180</v>
      </c>
      <c r="J176" s="252" t="s">
        <v>359</v>
      </c>
      <c r="K176" s="253">
        <v>34122000</v>
      </c>
      <c r="L176" s="254">
        <v>0</v>
      </c>
      <c r="M176" s="255">
        <v>0</v>
      </c>
      <c r="N176" s="256">
        <v>34122000</v>
      </c>
      <c r="O176" s="257" t="s">
        <v>365</v>
      </c>
      <c r="P176" s="258" t="s">
        <v>91</v>
      </c>
      <c r="Q176" s="259">
        <v>34122000</v>
      </c>
      <c r="R176" s="259">
        <v>0</v>
      </c>
      <c r="S176" s="259">
        <v>0</v>
      </c>
      <c r="T176" s="259">
        <v>0</v>
      </c>
      <c r="U176" s="247" t="s">
        <v>683</v>
      </c>
    </row>
    <row r="177" spans="1:21" ht="41.5" hidden="1" customHeight="1" x14ac:dyDescent="0.35">
      <c r="A177" s="247" t="s">
        <v>356</v>
      </c>
      <c r="B177" s="247" t="s">
        <v>665</v>
      </c>
      <c r="C177" s="247" t="s">
        <v>119</v>
      </c>
      <c r="D177" s="261">
        <v>80101500</v>
      </c>
      <c r="E177" s="249" t="s">
        <v>363</v>
      </c>
      <c r="F177" s="247" t="s">
        <v>684</v>
      </c>
      <c r="G177" s="250" t="s">
        <v>66</v>
      </c>
      <c r="H177" s="250" t="s">
        <v>66</v>
      </c>
      <c r="I177" s="251">
        <v>180</v>
      </c>
      <c r="J177" s="252" t="s">
        <v>359</v>
      </c>
      <c r="K177" s="253">
        <v>34122000</v>
      </c>
      <c r="L177" s="254">
        <v>0</v>
      </c>
      <c r="M177" s="255">
        <v>0</v>
      </c>
      <c r="N177" s="256">
        <v>34122000</v>
      </c>
      <c r="O177" s="257" t="s">
        <v>365</v>
      </c>
      <c r="P177" s="258" t="s">
        <v>91</v>
      </c>
      <c r="Q177" s="259">
        <v>34122000</v>
      </c>
      <c r="R177" s="259">
        <v>0</v>
      </c>
      <c r="S177" s="259">
        <v>0</v>
      </c>
      <c r="T177" s="259">
        <v>0</v>
      </c>
      <c r="U177" s="247" t="s">
        <v>683</v>
      </c>
    </row>
    <row r="178" spans="1:21" ht="41.5" hidden="1" customHeight="1" x14ac:dyDescent="0.35">
      <c r="A178" s="247" t="s">
        <v>356</v>
      </c>
      <c r="B178" s="247" t="s">
        <v>665</v>
      </c>
      <c r="C178" s="247" t="s">
        <v>119</v>
      </c>
      <c r="D178" s="261">
        <v>80101500</v>
      </c>
      <c r="E178" s="249" t="s">
        <v>363</v>
      </c>
      <c r="F178" s="247" t="s">
        <v>684</v>
      </c>
      <c r="G178" s="250" t="s">
        <v>66</v>
      </c>
      <c r="H178" s="250" t="s">
        <v>66</v>
      </c>
      <c r="I178" s="251">
        <v>180</v>
      </c>
      <c r="J178" s="252" t="s">
        <v>359</v>
      </c>
      <c r="K178" s="253">
        <v>34122000</v>
      </c>
      <c r="L178" s="254">
        <v>0</v>
      </c>
      <c r="M178" s="255">
        <v>0</v>
      </c>
      <c r="N178" s="256">
        <v>34122000</v>
      </c>
      <c r="O178" s="257" t="s">
        <v>365</v>
      </c>
      <c r="P178" s="258" t="s">
        <v>91</v>
      </c>
      <c r="Q178" s="259">
        <v>34122000</v>
      </c>
      <c r="R178" s="259">
        <v>0</v>
      </c>
      <c r="S178" s="259">
        <v>0</v>
      </c>
      <c r="T178" s="259">
        <v>0</v>
      </c>
      <c r="U178" s="247" t="s">
        <v>683</v>
      </c>
    </row>
    <row r="179" spans="1:21" ht="41.5" hidden="1" customHeight="1" x14ac:dyDescent="0.35">
      <c r="A179" s="247" t="s">
        <v>356</v>
      </c>
      <c r="B179" s="247" t="s">
        <v>665</v>
      </c>
      <c r="C179" s="247" t="s">
        <v>119</v>
      </c>
      <c r="D179" s="261">
        <v>80101500</v>
      </c>
      <c r="E179" s="249" t="s">
        <v>363</v>
      </c>
      <c r="F179" s="247" t="s">
        <v>685</v>
      </c>
      <c r="G179" s="250" t="s">
        <v>66</v>
      </c>
      <c r="H179" s="250" t="s">
        <v>66</v>
      </c>
      <c r="I179" s="251">
        <v>180</v>
      </c>
      <c r="J179" s="252" t="s">
        <v>359</v>
      </c>
      <c r="K179" s="253">
        <v>16854000</v>
      </c>
      <c r="L179" s="254">
        <v>0</v>
      </c>
      <c r="M179" s="255">
        <v>0</v>
      </c>
      <c r="N179" s="256">
        <v>16854000</v>
      </c>
      <c r="O179" s="257" t="s">
        <v>365</v>
      </c>
      <c r="P179" s="258" t="s">
        <v>91</v>
      </c>
      <c r="Q179" s="259">
        <v>16854000</v>
      </c>
      <c r="R179" s="259">
        <v>0</v>
      </c>
      <c r="S179" s="259">
        <v>0</v>
      </c>
      <c r="T179" s="259">
        <v>0</v>
      </c>
      <c r="U179" s="247" t="s">
        <v>683</v>
      </c>
    </row>
    <row r="180" spans="1:21" ht="41.5" hidden="1" customHeight="1" x14ac:dyDescent="0.35">
      <c r="A180" s="247" t="s">
        <v>356</v>
      </c>
      <c r="B180" s="247" t="s">
        <v>665</v>
      </c>
      <c r="C180" s="247" t="s">
        <v>119</v>
      </c>
      <c r="D180" s="261">
        <v>80101500</v>
      </c>
      <c r="E180" s="249" t="s">
        <v>363</v>
      </c>
      <c r="F180" s="247" t="s">
        <v>684</v>
      </c>
      <c r="G180" s="250" t="s">
        <v>66</v>
      </c>
      <c r="H180" s="250" t="s">
        <v>66</v>
      </c>
      <c r="I180" s="251">
        <v>180</v>
      </c>
      <c r="J180" s="252" t="s">
        <v>359</v>
      </c>
      <c r="K180" s="253">
        <v>34122000</v>
      </c>
      <c r="L180" s="254">
        <v>0</v>
      </c>
      <c r="M180" s="255">
        <v>0</v>
      </c>
      <c r="N180" s="256">
        <v>34122000</v>
      </c>
      <c r="O180" s="257" t="s">
        <v>365</v>
      </c>
      <c r="P180" s="258" t="s">
        <v>91</v>
      </c>
      <c r="Q180" s="259">
        <v>34122000</v>
      </c>
      <c r="R180" s="259">
        <v>0</v>
      </c>
      <c r="S180" s="259">
        <v>0</v>
      </c>
      <c r="T180" s="259">
        <v>0</v>
      </c>
      <c r="U180" s="247" t="s">
        <v>683</v>
      </c>
    </row>
    <row r="181" spans="1:21" ht="41.5" hidden="1" customHeight="1" x14ac:dyDescent="0.35">
      <c r="A181" s="247" t="s">
        <v>356</v>
      </c>
      <c r="B181" s="247" t="s">
        <v>665</v>
      </c>
      <c r="C181" s="247" t="s">
        <v>119</v>
      </c>
      <c r="D181" s="261">
        <v>80101500</v>
      </c>
      <c r="E181" s="249" t="s">
        <v>363</v>
      </c>
      <c r="F181" s="247" t="s">
        <v>686</v>
      </c>
      <c r="G181" s="250" t="s">
        <v>66</v>
      </c>
      <c r="H181" s="250" t="s">
        <v>66</v>
      </c>
      <c r="I181" s="251">
        <v>180</v>
      </c>
      <c r="J181" s="252" t="s">
        <v>359</v>
      </c>
      <c r="K181" s="253">
        <v>34122000</v>
      </c>
      <c r="L181" s="254">
        <v>0.19</v>
      </c>
      <c r="M181" s="255">
        <v>6483180</v>
      </c>
      <c r="N181" s="256">
        <v>40605180</v>
      </c>
      <c r="O181" s="257" t="s">
        <v>365</v>
      </c>
      <c r="P181" s="258" t="s">
        <v>91</v>
      </c>
      <c r="Q181" s="259">
        <v>40605180</v>
      </c>
      <c r="R181" s="259">
        <v>0</v>
      </c>
      <c r="S181" s="259">
        <v>0</v>
      </c>
      <c r="T181" s="259">
        <v>0</v>
      </c>
      <c r="U181" s="247" t="s">
        <v>683</v>
      </c>
    </row>
    <row r="182" spans="1:21" ht="41.5" hidden="1" customHeight="1" x14ac:dyDescent="0.35">
      <c r="A182" s="247" t="s">
        <v>356</v>
      </c>
      <c r="B182" s="247" t="s">
        <v>665</v>
      </c>
      <c r="C182" s="247" t="s">
        <v>119</v>
      </c>
      <c r="D182" s="261">
        <v>80101500</v>
      </c>
      <c r="E182" s="249" t="s">
        <v>363</v>
      </c>
      <c r="F182" s="247" t="s">
        <v>686</v>
      </c>
      <c r="G182" s="250" t="s">
        <v>66</v>
      </c>
      <c r="H182" s="250" t="s">
        <v>66</v>
      </c>
      <c r="I182" s="251">
        <v>180</v>
      </c>
      <c r="J182" s="252" t="s">
        <v>359</v>
      </c>
      <c r="K182" s="253">
        <v>34122000</v>
      </c>
      <c r="L182" s="254">
        <v>0</v>
      </c>
      <c r="M182" s="255">
        <v>0</v>
      </c>
      <c r="N182" s="256">
        <v>34122000</v>
      </c>
      <c r="O182" s="257" t="s">
        <v>365</v>
      </c>
      <c r="P182" s="258" t="s">
        <v>91</v>
      </c>
      <c r="Q182" s="259">
        <v>34122000</v>
      </c>
      <c r="R182" s="259">
        <v>0</v>
      </c>
      <c r="S182" s="259">
        <v>0</v>
      </c>
      <c r="T182" s="259">
        <v>0</v>
      </c>
      <c r="U182" s="247" t="s">
        <v>683</v>
      </c>
    </row>
    <row r="183" spans="1:21" ht="41.5" hidden="1" customHeight="1" x14ac:dyDescent="0.35">
      <c r="A183" s="247" t="s">
        <v>356</v>
      </c>
      <c r="B183" s="247" t="s">
        <v>665</v>
      </c>
      <c r="C183" s="247" t="s">
        <v>119</v>
      </c>
      <c r="D183" s="261">
        <v>80101500</v>
      </c>
      <c r="E183" s="249" t="s">
        <v>363</v>
      </c>
      <c r="F183" s="247" t="s">
        <v>687</v>
      </c>
      <c r="G183" s="250" t="s">
        <v>66</v>
      </c>
      <c r="H183" s="250" t="s">
        <v>66</v>
      </c>
      <c r="I183" s="251">
        <v>180</v>
      </c>
      <c r="J183" s="252" t="s">
        <v>359</v>
      </c>
      <c r="K183" s="253">
        <v>21918000</v>
      </c>
      <c r="L183" s="254">
        <v>0</v>
      </c>
      <c r="M183" s="255">
        <v>0</v>
      </c>
      <c r="N183" s="256">
        <v>21918000</v>
      </c>
      <c r="O183" s="257" t="s">
        <v>365</v>
      </c>
      <c r="P183" s="258" t="s">
        <v>91</v>
      </c>
      <c r="Q183" s="259">
        <v>21918000</v>
      </c>
      <c r="R183" s="259">
        <v>0</v>
      </c>
      <c r="S183" s="259">
        <v>0</v>
      </c>
      <c r="T183" s="259">
        <v>0</v>
      </c>
      <c r="U183" s="247" t="s">
        <v>683</v>
      </c>
    </row>
    <row r="184" spans="1:21" ht="41.5" hidden="1" customHeight="1" x14ac:dyDescent="0.35">
      <c r="A184" s="247" t="s">
        <v>356</v>
      </c>
      <c r="B184" s="247" t="s">
        <v>665</v>
      </c>
      <c r="C184" s="247" t="s">
        <v>119</v>
      </c>
      <c r="D184" s="261">
        <v>80101500</v>
      </c>
      <c r="E184" s="249" t="s">
        <v>363</v>
      </c>
      <c r="F184" s="247" t="s">
        <v>688</v>
      </c>
      <c r="G184" s="250" t="s">
        <v>66</v>
      </c>
      <c r="H184" s="250" t="s">
        <v>66</v>
      </c>
      <c r="I184" s="251">
        <v>180</v>
      </c>
      <c r="J184" s="252" t="s">
        <v>359</v>
      </c>
      <c r="K184" s="253">
        <v>16854000</v>
      </c>
      <c r="L184" s="254">
        <v>0</v>
      </c>
      <c r="M184" s="255">
        <v>0</v>
      </c>
      <c r="N184" s="256">
        <v>16854000</v>
      </c>
      <c r="O184" s="257" t="s">
        <v>365</v>
      </c>
      <c r="P184" s="258" t="s">
        <v>91</v>
      </c>
      <c r="Q184" s="259">
        <v>16854000</v>
      </c>
      <c r="R184" s="259">
        <v>0</v>
      </c>
      <c r="S184" s="259">
        <v>0</v>
      </c>
      <c r="T184" s="259">
        <v>0</v>
      </c>
      <c r="U184" s="247" t="s">
        <v>683</v>
      </c>
    </row>
    <row r="185" spans="1:21" ht="41.5" hidden="1" customHeight="1" x14ac:dyDescent="0.35">
      <c r="A185" s="247" t="s">
        <v>356</v>
      </c>
      <c r="B185" s="247" t="s">
        <v>665</v>
      </c>
      <c r="C185" s="247" t="s">
        <v>119</v>
      </c>
      <c r="D185" s="261">
        <v>80101500</v>
      </c>
      <c r="E185" s="249" t="s">
        <v>363</v>
      </c>
      <c r="F185" s="247" t="s">
        <v>684</v>
      </c>
      <c r="G185" s="250" t="s">
        <v>72</v>
      </c>
      <c r="H185" s="250" t="s">
        <v>72</v>
      </c>
      <c r="I185" s="251">
        <v>150</v>
      </c>
      <c r="J185" s="252" t="s">
        <v>359</v>
      </c>
      <c r="K185" s="253">
        <v>28435000</v>
      </c>
      <c r="L185" s="254">
        <v>0</v>
      </c>
      <c r="M185" s="255">
        <v>0</v>
      </c>
      <c r="N185" s="256">
        <v>28435000</v>
      </c>
      <c r="O185" s="257" t="s">
        <v>365</v>
      </c>
      <c r="P185" s="258" t="s">
        <v>91</v>
      </c>
      <c r="Q185" s="259">
        <v>28435000</v>
      </c>
      <c r="R185" s="259">
        <v>0</v>
      </c>
      <c r="S185" s="259">
        <v>0</v>
      </c>
      <c r="T185" s="259">
        <v>0</v>
      </c>
      <c r="U185" s="247" t="s">
        <v>683</v>
      </c>
    </row>
    <row r="186" spans="1:21" ht="41.5" hidden="1" customHeight="1" x14ac:dyDescent="0.35">
      <c r="A186" s="247" t="s">
        <v>356</v>
      </c>
      <c r="B186" s="247" t="s">
        <v>665</v>
      </c>
      <c r="C186" s="247" t="s">
        <v>119</v>
      </c>
      <c r="D186" s="261">
        <v>80101500</v>
      </c>
      <c r="E186" s="249" t="s">
        <v>363</v>
      </c>
      <c r="F186" s="247" t="s">
        <v>684</v>
      </c>
      <c r="G186" s="250" t="s">
        <v>72</v>
      </c>
      <c r="H186" s="250" t="s">
        <v>72</v>
      </c>
      <c r="I186" s="251">
        <v>150</v>
      </c>
      <c r="J186" s="252" t="s">
        <v>359</v>
      </c>
      <c r="K186" s="253">
        <v>28435000</v>
      </c>
      <c r="L186" s="254">
        <v>0</v>
      </c>
      <c r="M186" s="255">
        <v>0</v>
      </c>
      <c r="N186" s="256">
        <v>28435000</v>
      </c>
      <c r="O186" s="257" t="s">
        <v>365</v>
      </c>
      <c r="P186" s="258" t="s">
        <v>91</v>
      </c>
      <c r="Q186" s="259">
        <v>28435000</v>
      </c>
      <c r="R186" s="259">
        <v>0</v>
      </c>
      <c r="S186" s="259">
        <v>0</v>
      </c>
      <c r="T186" s="259">
        <v>0</v>
      </c>
      <c r="U186" s="247" t="s">
        <v>683</v>
      </c>
    </row>
    <row r="187" spans="1:21" ht="41.5" hidden="1" customHeight="1" x14ac:dyDescent="0.35">
      <c r="A187" s="247" t="s">
        <v>356</v>
      </c>
      <c r="B187" s="247" t="s">
        <v>665</v>
      </c>
      <c r="C187" s="247" t="s">
        <v>119</v>
      </c>
      <c r="D187" s="261">
        <v>80121609</v>
      </c>
      <c r="E187" s="249" t="s">
        <v>689</v>
      </c>
      <c r="F187" s="247" t="s">
        <v>690</v>
      </c>
      <c r="G187" s="250" t="s">
        <v>72</v>
      </c>
      <c r="H187" s="250" t="s">
        <v>72</v>
      </c>
      <c r="I187" s="251">
        <v>150</v>
      </c>
      <c r="J187" s="252" t="s">
        <v>470</v>
      </c>
      <c r="K187" s="253">
        <v>5000000</v>
      </c>
      <c r="L187" s="254">
        <v>0.19</v>
      </c>
      <c r="M187" s="255">
        <v>950000</v>
      </c>
      <c r="N187" s="256">
        <v>5950000</v>
      </c>
      <c r="O187" s="257" t="s">
        <v>365</v>
      </c>
      <c r="P187" s="258" t="s">
        <v>91</v>
      </c>
      <c r="Q187" s="259">
        <v>5950000</v>
      </c>
      <c r="R187" s="259">
        <v>0</v>
      </c>
      <c r="S187" s="259">
        <v>0</v>
      </c>
      <c r="T187" s="259">
        <v>0</v>
      </c>
      <c r="U187" s="247" t="s">
        <v>683</v>
      </c>
    </row>
    <row r="188" spans="1:21" ht="41.5" hidden="1" customHeight="1" x14ac:dyDescent="0.35">
      <c r="A188" s="247" t="s">
        <v>356</v>
      </c>
      <c r="B188" s="247" t="s">
        <v>665</v>
      </c>
      <c r="C188" s="247" t="s">
        <v>119</v>
      </c>
      <c r="D188" s="261">
        <v>94131603</v>
      </c>
      <c r="E188" s="249" t="s">
        <v>691</v>
      </c>
      <c r="F188" s="247" t="s">
        <v>692</v>
      </c>
      <c r="G188" s="264" t="s">
        <v>71</v>
      </c>
      <c r="H188" s="263" t="s">
        <v>72</v>
      </c>
      <c r="I188" s="251">
        <v>360</v>
      </c>
      <c r="J188" s="252" t="s">
        <v>359</v>
      </c>
      <c r="K188" s="253">
        <v>170000000</v>
      </c>
      <c r="L188" s="254">
        <v>0.19</v>
      </c>
      <c r="M188" s="255">
        <v>32300000</v>
      </c>
      <c r="N188" s="256">
        <v>202300000</v>
      </c>
      <c r="O188" s="257" t="s">
        <v>365</v>
      </c>
      <c r="P188" s="258" t="s">
        <v>91</v>
      </c>
      <c r="Q188" s="259">
        <v>202300000</v>
      </c>
      <c r="R188" s="259">
        <v>0</v>
      </c>
      <c r="S188" s="259">
        <v>0</v>
      </c>
      <c r="T188" s="259">
        <v>0</v>
      </c>
      <c r="U188" s="247" t="s">
        <v>683</v>
      </c>
    </row>
    <row r="189" spans="1:21" ht="41.5" hidden="1" customHeight="1" x14ac:dyDescent="0.35">
      <c r="A189" s="247" t="s">
        <v>356</v>
      </c>
      <c r="B189" s="247" t="s">
        <v>665</v>
      </c>
      <c r="C189" s="247" t="s">
        <v>119</v>
      </c>
      <c r="D189" s="261">
        <v>94131603</v>
      </c>
      <c r="E189" s="249" t="s">
        <v>691</v>
      </c>
      <c r="F189" s="247" t="s">
        <v>692</v>
      </c>
      <c r="G189" s="264" t="s">
        <v>71</v>
      </c>
      <c r="H189" s="263" t="s">
        <v>72</v>
      </c>
      <c r="I189" s="251">
        <v>360</v>
      </c>
      <c r="J189" s="252" t="s">
        <v>359</v>
      </c>
      <c r="K189" s="253">
        <v>170000000</v>
      </c>
      <c r="L189" s="254">
        <v>0.19</v>
      </c>
      <c r="M189" s="255">
        <v>32300000</v>
      </c>
      <c r="N189" s="256">
        <v>202300000</v>
      </c>
      <c r="O189" s="257" t="s">
        <v>365</v>
      </c>
      <c r="P189" s="258" t="s">
        <v>91</v>
      </c>
      <c r="Q189" s="259">
        <v>202300000</v>
      </c>
      <c r="R189" s="259">
        <v>0</v>
      </c>
      <c r="S189" s="259">
        <v>0</v>
      </c>
      <c r="T189" s="259">
        <v>0</v>
      </c>
      <c r="U189" s="247" t="s">
        <v>683</v>
      </c>
    </row>
    <row r="190" spans="1:21" ht="41.5" hidden="1" customHeight="1" x14ac:dyDescent="0.35">
      <c r="A190" s="247" t="s">
        <v>356</v>
      </c>
      <c r="B190" s="247" t="s">
        <v>665</v>
      </c>
      <c r="C190" s="247" t="s">
        <v>119</v>
      </c>
      <c r="D190" s="261">
        <v>94131603</v>
      </c>
      <c r="E190" s="249" t="s">
        <v>691</v>
      </c>
      <c r="F190" s="247" t="s">
        <v>692</v>
      </c>
      <c r="G190" s="264" t="s">
        <v>71</v>
      </c>
      <c r="H190" s="263" t="s">
        <v>72</v>
      </c>
      <c r="I190" s="251">
        <v>360</v>
      </c>
      <c r="J190" s="252" t="s">
        <v>359</v>
      </c>
      <c r="K190" s="253">
        <v>170000000</v>
      </c>
      <c r="L190" s="254">
        <v>0.19</v>
      </c>
      <c r="M190" s="255">
        <v>32300000</v>
      </c>
      <c r="N190" s="256">
        <v>202300000</v>
      </c>
      <c r="O190" s="257" t="s">
        <v>365</v>
      </c>
      <c r="P190" s="258" t="s">
        <v>91</v>
      </c>
      <c r="Q190" s="259">
        <v>202300000</v>
      </c>
      <c r="R190" s="259">
        <v>0</v>
      </c>
      <c r="S190" s="259">
        <v>0</v>
      </c>
      <c r="T190" s="259">
        <v>0</v>
      </c>
      <c r="U190" s="247" t="s">
        <v>683</v>
      </c>
    </row>
    <row r="191" spans="1:21" ht="41.5" hidden="1" customHeight="1" x14ac:dyDescent="0.35">
      <c r="A191" s="247" t="s">
        <v>356</v>
      </c>
      <c r="B191" s="247" t="s">
        <v>665</v>
      </c>
      <c r="C191" s="247" t="s">
        <v>119</v>
      </c>
      <c r="D191" s="261">
        <v>94131603</v>
      </c>
      <c r="E191" s="249" t="s">
        <v>691</v>
      </c>
      <c r="F191" s="247" t="s">
        <v>692</v>
      </c>
      <c r="G191" s="264" t="s">
        <v>71</v>
      </c>
      <c r="H191" s="263" t="s">
        <v>72</v>
      </c>
      <c r="I191" s="251">
        <v>360</v>
      </c>
      <c r="J191" s="252" t="s">
        <v>359</v>
      </c>
      <c r="K191" s="253">
        <v>170000000</v>
      </c>
      <c r="L191" s="254">
        <v>0.19</v>
      </c>
      <c r="M191" s="255">
        <v>32300000</v>
      </c>
      <c r="N191" s="256">
        <v>202300000</v>
      </c>
      <c r="O191" s="257" t="s">
        <v>365</v>
      </c>
      <c r="P191" s="258" t="s">
        <v>91</v>
      </c>
      <c r="Q191" s="259">
        <v>202300000</v>
      </c>
      <c r="R191" s="259">
        <v>0</v>
      </c>
      <c r="S191" s="259">
        <v>0</v>
      </c>
      <c r="T191" s="259">
        <v>0</v>
      </c>
      <c r="U191" s="247" t="s">
        <v>683</v>
      </c>
    </row>
    <row r="192" spans="1:21" ht="41.5" hidden="1" customHeight="1" x14ac:dyDescent="0.35">
      <c r="A192" s="247" t="s">
        <v>356</v>
      </c>
      <c r="B192" s="247" t="s">
        <v>665</v>
      </c>
      <c r="C192" s="247" t="s">
        <v>119</v>
      </c>
      <c r="D192" s="261">
        <v>94131603</v>
      </c>
      <c r="E192" s="249" t="s">
        <v>691</v>
      </c>
      <c r="F192" s="247" t="s">
        <v>693</v>
      </c>
      <c r="G192" s="264" t="s">
        <v>71</v>
      </c>
      <c r="H192" s="263" t="s">
        <v>72</v>
      </c>
      <c r="I192" s="251">
        <v>360</v>
      </c>
      <c r="J192" s="252" t="s">
        <v>359</v>
      </c>
      <c r="K192" s="253">
        <v>500000000</v>
      </c>
      <c r="L192" s="254">
        <v>0.19</v>
      </c>
      <c r="M192" s="255">
        <v>95000000</v>
      </c>
      <c r="N192" s="256">
        <v>595000000</v>
      </c>
      <c r="O192" s="257" t="s">
        <v>365</v>
      </c>
      <c r="P192" s="258" t="s">
        <v>91</v>
      </c>
      <c r="Q192" s="259">
        <v>595000000</v>
      </c>
      <c r="R192" s="259">
        <v>0</v>
      </c>
      <c r="S192" s="259">
        <v>0</v>
      </c>
      <c r="T192" s="259">
        <v>0</v>
      </c>
      <c r="U192" s="247" t="s">
        <v>683</v>
      </c>
    </row>
    <row r="193" spans="1:21" ht="41.5" hidden="1" customHeight="1" x14ac:dyDescent="0.35">
      <c r="A193" s="247" t="s">
        <v>356</v>
      </c>
      <c r="B193" s="247" t="s">
        <v>665</v>
      </c>
      <c r="C193" s="247" t="s">
        <v>119</v>
      </c>
      <c r="D193" s="261">
        <v>94131603</v>
      </c>
      <c r="E193" s="249" t="s">
        <v>691</v>
      </c>
      <c r="F193" s="247" t="s">
        <v>692</v>
      </c>
      <c r="G193" s="264" t="s">
        <v>71</v>
      </c>
      <c r="H193" s="263" t="s">
        <v>72</v>
      </c>
      <c r="I193" s="251">
        <v>360</v>
      </c>
      <c r="J193" s="252" t="s">
        <v>359</v>
      </c>
      <c r="K193" s="253">
        <v>170000000</v>
      </c>
      <c r="L193" s="254">
        <v>0.19</v>
      </c>
      <c r="M193" s="255">
        <v>32300000</v>
      </c>
      <c r="N193" s="256">
        <v>202300000</v>
      </c>
      <c r="O193" s="257" t="s">
        <v>365</v>
      </c>
      <c r="P193" s="258" t="s">
        <v>91</v>
      </c>
      <c r="Q193" s="259">
        <v>202300000</v>
      </c>
      <c r="R193" s="259">
        <v>0</v>
      </c>
      <c r="S193" s="259">
        <v>0</v>
      </c>
      <c r="T193" s="259">
        <v>0</v>
      </c>
      <c r="U193" s="247" t="s">
        <v>683</v>
      </c>
    </row>
    <row r="194" spans="1:21" ht="41.5" hidden="1" customHeight="1" x14ac:dyDescent="0.35">
      <c r="A194" s="247" t="s">
        <v>356</v>
      </c>
      <c r="B194" s="247" t="s">
        <v>694</v>
      </c>
      <c r="C194" s="247" t="s">
        <v>695</v>
      </c>
      <c r="D194" s="261">
        <v>70141803</v>
      </c>
      <c r="E194" s="249" t="s">
        <v>696</v>
      </c>
      <c r="F194" s="247" t="s">
        <v>697</v>
      </c>
      <c r="G194" s="263" t="s">
        <v>71</v>
      </c>
      <c r="H194" s="250" t="s">
        <v>72</v>
      </c>
      <c r="I194" s="251">
        <v>180</v>
      </c>
      <c r="J194" s="252" t="s">
        <v>359</v>
      </c>
      <c r="K194" s="253">
        <v>63000000</v>
      </c>
      <c r="L194" s="254">
        <v>0.19</v>
      </c>
      <c r="M194" s="255">
        <v>11970000</v>
      </c>
      <c r="N194" s="256">
        <v>74970000</v>
      </c>
      <c r="O194" s="257" t="s">
        <v>365</v>
      </c>
      <c r="P194" s="258" t="s">
        <v>91</v>
      </c>
      <c r="Q194" s="259">
        <v>74970000</v>
      </c>
      <c r="R194" s="259">
        <v>0</v>
      </c>
      <c r="S194" s="259">
        <v>0</v>
      </c>
      <c r="T194" s="259">
        <v>0</v>
      </c>
      <c r="U194" s="247" t="s">
        <v>698</v>
      </c>
    </row>
    <row r="195" spans="1:21" ht="41.5" hidden="1" customHeight="1" x14ac:dyDescent="0.35">
      <c r="A195" s="247" t="s">
        <v>356</v>
      </c>
      <c r="B195" s="247" t="s">
        <v>694</v>
      </c>
      <c r="C195" s="247" t="s">
        <v>699</v>
      </c>
      <c r="D195" s="261">
        <v>91111600</v>
      </c>
      <c r="E195" s="249" t="s">
        <v>700</v>
      </c>
      <c r="F195" s="247" t="s">
        <v>701</v>
      </c>
      <c r="G195" s="250" t="s">
        <v>66</v>
      </c>
      <c r="H195" s="250" t="s">
        <v>68</v>
      </c>
      <c r="I195" s="251">
        <v>730</v>
      </c>
      <c r="J195" s="252" t="s">
        <v>373</v>
      </c>
      <c r="K195" s="253">
        <v>22914302776</v>
      </c>
      <c r="L195" s="254">
        <v>0.19</v>
      </c>
      <c r="M195" s="255">
        <v>4353717528</v>
      </c>
      <c r="N195" s="256">
        <v>27268020304</v>
      </c>
      <c r="O195" s="257" t="s">
        <v>360</v>
      </c>
      <c r="P195" s="258" t="s">
        <v>361</v>
      </c>
      <c r="Q195" s="259">
        <v>6836435728</v>
      </c>
      <c r="R195" s="259">
        <v>13969949099</v>
      </c>
      <c r="S195" s="259">
        <v>6461635478</v>
      </c>
      <c r="T195" s="259">
        <v>0</v>
      </c>
      <c r="U195" s="247" t="s">
        <v>702</v>
      </c>
    </row>
    <row r="196" spans="1:21" ht="41.5" hidden="1" customHeight="1" x14ac:dyDescent="0.35">
      <c r="A196" s="247" t="s">
        <v>356</v>
      </c>
      <c r="B196" s="247" t="s">
        <v>694</v>
      </c>
      <c r="C196" s="247" t="s">
        <v>220</v>
      </c>
      <c r="D196" s="261">
        <v>80111610</v>
      </c>
      <c r="E196" s="249" t="s">
        <v>703</v>
      </c>
      <c r="F196" s="247" t="s">
        <v>704</v>
      </c>
      <c r="G196" s="250" t="s">
        <v>66</v>
      </c>
      <c r="H196" s="250" t="s">
        <v>66</v>
      </c>
      <c r="I196" s="251">
        <v>365</v>
      </c>
      <c r="J196" s="252" t="s">
        <v>359</v>
      </c>
      <c r="K196" s="253">
        <v>35000000</v>
      </c>
      <c r="L196" s="254">
        <v>0.19</v>
      </c>
      <c r="M196" s="255">
        <v>6650000</v>
      </c>
      <c r="N196" s="256">
        <v>41650000</v>
      </c>
      <c r="O196" s="257" t="s">
        <v>365</v>
      </c>
      <c r="P196" s="258" t="s">
        <v>91</v>
      </c>
      <c r="Q196" s="259">
        <v>41650000</v>
      </c>
      <c r="R196" s="259">
        <v>0</v>
      </c>
      <c r="S196" s="259">
        <v>0</v>
      </c>
      <c r="T196" s="259">
        <v>0</v>
      </c>
      <c r="U196" s="247" t="s">
        <v>705</v>
      </c>
    </row>
    <row r="197" spans="1:21" ht="41.5" hidden="1" customHeight="1" x14ac:dyDescent="0.35">
      <c r="A197" s="247" t="s">
        <v>356</v>
      </c>
      <c r="B197" s="247" t="s">
        <v>694</v>
      </c>
      <c r="C197" s="247" t="s">
        <v>706</v>
      </c>
      <c r="D197" s="261">
        <v>81111504</v>
      </c>
      <c r="E197" s="249" t="s">
        <v>542</v>
      </c>
      <c r="F197" s="247" t="s">
        <v>707</v>
      </c>
      <c r="G197" s="250" t="s">
        <v>66</v>
      </c>
      <c r="H197" s="250" t="s">
        <v>66</v>
      </c>
      <c r="I197" s="251">
        <v>150</v>
      </c>
      <c r="J197" s="252" t="s">
        <v>359</v>
      </c>
      <c r="K197" s="253">
        <v>18265000</v>
      </c>
      <c r="L197" s="254">
        <v>0.19</v>
      </c>
      <c r="M197" s="255">
        <v>3470350</v>
      </c>
      <c r="N197" s="256">
        <v>21735350</v>
      </c>
      <c r="O197" s="257" t="s">
        <v>365</v>
      </c>
      <c r="P197" s="258" t="s">
        <v>91</v>
      </c>
      <c r="Q197" s="259">
        <v>21735350</v>
      </c>
      <c r="R197" s="259">
        <v>0</v>
      </c>
      <c r="S197" s="259">
        <v>0</v>
      </c>
      <c r="T197" s="259">
        <v>0</v>
      </c>
      <c r="U197" s="247" t="s">
        <v>708</v>
      </c>
    </row>
    <row r="198" spans="1:21" ht="41.5" hidden="1" customHeight="1" x14ac:dyDescent="0.35">
      <c r="A198" s="247" t="s">
        <v>356</v>
      </c>
      <c r="B198" s="247" t="s">
        <v>694</v>
      </c>
      <c r="C198" s="247" t="s">
        <v>210</v>
      </c>
      <c r="D198" s="261">
        <v>84131701</v>
      </c>
      <c r="E198" s="249" t="s">
        <v>709</v>
      </c>
      <c r="F198" s="247" t="s">
        <v>710</v>
      </c>
      <c r="G198" s="263" t="s">
        <v>66</v>
      </c>
      <c r="H198" s="263" t="s">
        <v>66</v>
      </c>
      <c r="I198" s="251">
        <v>270</v>
      </c>
      <c r="J198" s="252" t="s">
        <v>359</v>
      </c>
      <c r="K198" s="253">
        <v>30987712</v>
      </c>
      <c r="L198" s="254">
        <v>0.19</v>
      </c>
      <c r="M198" s="255">
        <v>5887665.2800000003</v>
      </c>
      <c r="N198" s="256">
        <v>36875377.280000001</v>
      </c>
      <c r="O198" s="257" t="s">
        <v>365</v>
      </c>
      <c r="P198" s="258" t="s">
        <v>91</v>
      </c>
      <c r="Q198" s="259">
        <v>36875377</v>
      </c>
      <c r="R198" s="259">
        <v>0</v>
      </c>
      <c r="S198" s="259">
        <v>0</v>
      </c>
      <c r="T198" s="259">
        <v>0</v>
      </c>
      <c r="U198" s="247" t="s">
        <v>711</v>
      </c>
    </row>
    <row r="199" spans="1:21" ht="41.5" hidden="1" customHeight="1" x14ac:dyDescent="0.35">
      <c r="A199" s="247" t="s">
        <v>356</v>
      </c>
      <c r="B199" s="247" t="s">
        <v>694</v>
      </c>
      <c r="C199" s="247" t="s">
        <v>210</v>
      </c>
      <c r="D199" s="261">
        <v>81112500</v>
      </c>
      <c r="E199" s="249" t="s">
        <v>676</v>
      </c>
      <c r="F199" s="247" t="s">
        <v>712</v>
      </c>
      <c r="G199" s="250" t="s">
        <v>72</v>
      </c>
      <c r="H199" s="250" t="s">
        <v>72</v>
      </c>
      <c r="I199" s="251">
        <v>365</v>
      </c>
      <c r="J199" s="252" t="s">
        <v>359</v>
      </c>
      <c r="K199" s="253">
        <v>43365418.266800001</v>
      </c>
      <c r="L199" s="254">
        <v>0.19</v>
      </c>
      <c r="M199" s="255">
        <v>8239429.4706920004</v>
      </c>
      <c r="N199" s="256">
        <v>51604847.737492003</v>
      </c>
      <c r="O199" s="257" t="s">
        <v>365</v>
      </c>
      <c r="P199" s="258" t="s">
        <v>91</v>
      </c>
      <c r="Q199" s="259">
        <v>51604847.737492003</v>
      </c>
      <c r="R199" s="259">
        <v>0</v>
      </c>
      <c r="S199" s="259">
        <v>0</v>
      </c>
      <c r="T199" s="259">
        <v>0</v>
      </c>
      <c r="U199" s="247" t="s">
        <v>711</v>
      </c>
    </row>
    <row r="200" spans="1:21" ht="41.5" hidden="1" customHeight="1" x14ac:dyDescent="0.35">
      <c r="A200" s="247" t="s">
        <v>356</v>
      </c>
      <c r="B200" s="247" t="s">
        <v>694</v>
      </c>
      <c r="C200" s="247" t="s">
        <v>210</v>
      </c>
      <c r="D200" s="261">
        <v>81112500</v>
      </c>
      <c r="E200" s="249" t="s">
        <v>676</v>
      </c>
      <c r="F200" s="247" t="s">
        <v>713</v>
      </c>
      <c r="G200" s="250" t="s">
        <v>66</v>
      </c>
      <c r="H200" s="250" t="s">
        <v>66</v>
      </c>
      <c r="I200" s="251">
        <v>1095</v>
      </c>
      <c r="J200" s="252" t="s">
        <v>359</v>
      </c>
      <c r="K200" s="253">
        <v>2546462225</v>
      </c>
      <c r="L200" s="254">
        <v>0</v>
      </c>
      <c r="M200" s="255">
        <v>0</v>
      </c>
      <c r="N200" s="256">
        <v>2546462225</v>
      </c>
      <c r="O200" s="257" t="s">
        <v>360</v>
      </c>
      <c r="P200" s="258" t="s">
        <v>374</v>
      </c>
      <c r="Q200" s="259">
        <v>794564000</v>
      </c>
      <c r="R200" s="259">
        <v>854584500</v>
      </c>
      <c r="S200" s="259">
        <v>897313725</v>
      </c>
      <c r="T200" s="259">
        <v>0</v>
      </c>
      <c r="U200" s="247" t="s">
        <v>714</v>
      </c>
    </row>
    <row r="201" spans="1:21" ht="41.5" hidden="1" customHeight="1" x14ac:dyDescent="0.35">
      <c r="A201" s="247" t="s">
        <v>356</v>
      </c>
      <c r="B201" s="247" t="s">
        <v>694</v>
      </c>
      <c r="C201" s="247" t="s">
        <v>210</v>
      </c>
      <c r="D201" s="261">
        <v>81112500</v>
      </c>
      <c r="E201" s="249" t="s">
        <v>676</v>
      </c>
      <c r="F201" s="247" t="s">
        <v>715</v>
      </c>
      <c r="G201" s="250" t="s">
        <v>66</v>
      </c>
      <c r="H201" s="250" t="s">
        <v>66</v>
      </c>
      <c r="I201" s="251">
        <v>365</v>
      </c>
      <c r="J201" s="252" t="s">
        <v>359</v>
      </c>
      <c r="K201" s="253">
        <v>130000000</v>
      </c>
      <c r="L201" s="254">
        <v>0</v>
      </c>
      <c r="M201" s="255">
        <v>0</v>
      </c>
      <c r="N201" s="256">
        <v>130000000</v>
      </c>
      <c r="O201" s="257" t="s">
        <v>365</v>
      </c>
      <c r="P201" s="258" t="s">
        <v>91</v>
      </c>
      <c r="Q201" s="259">
        <v>130000000</v>
      </c>
      <c r="R201" s="259">
        <v>0</v>
      </c>
      <c r="S201" s="259">
        <v>0</v>
      </c>
      <c r="T201" s="259">
        <v>0</v>
      </c>
      <c r="U201" s="247" t="s">
        <v>714</v>
      </c>
    </row>
    <row r="202" spans="1:21" ht="41.5" hidden="1" customHeight="1" x14ac:dyDescent="0.35">
      <c r="A202" s="247" t="s">
        <v>356</v>
      </c>
      <c r="B202" s="247" t="s">
        <v>694</v>
      </c>
      <c r="C202" s="247" t="s">
        <v>214</v>
      </c>
      <c r="D202" s="261">
        <v>84121800</v>
      </c>
      <c r="E202" s="249" t="s">
        <v>716</v>
      </c>
      <c r="F202" s="247" t="s">
        <v>717</v>
      </c>
      <c r="G202" s="263" t="s">
        <v>66</v>
      </c>
      <c r="H202" s="263" t="s">
        <v>66</v>
      </c>
      <c r="I202" s="251">
        <v>1095</v>
      </c>
      <c r="J202" s="252" t="s">
        <v>359</v>
      </c>
      <c r="K202" s="253">
        <v>89496284</v>
      </c>
      <c r="L202" s="254">
        <v>0.19</v>
      </c>
      <c r="M202" s="255">
        <v>17004293.960000001</v>
      </c>
      <c r="N202" s="256">
        <v>106500577.96000001</v>
      </c>
      <c r="O202" s="257" t="s">
        <v>360</v>
      </c>
      <c r="P202" s="258" t="s">
        <v>374</v>
      </c>
      <c r="Q202" s="259">
        <v>32869697</v>
      </c>
      <c r="R202" s="259">
        <v>35433527</v>
      </c>
      <c r="S202" s="259">
        <v>38197348</v>
      </c>
      <c r="T202" s="259">
        <v>0</v>
      </c>
      <c r="U202" s="247" t="s">
        <v>718</v>
      </c>
    </row>
    <row r="203" spans="1:21" ht="41.5" hidden="1" customHeight="1" x14ac:dyDescent="0.35">
      <c r="A203" s="247" t="s">
        <v>356</v>
      </c>
      <c r="B203" s="247" t="s">
        <v>694</v>
      </c>
      <c r="C203" s="247" t="s">
        <v>214</v>
      </c>
      <c r="D203" s="261">
        <v>81112001</v>
      </c>
      <c r="E203" s="249" t="s">
        <v>719</v>
      </c>
      <c r="F203" s="247" t="s">
        <v>720</v>
      </c>
      <c r="G203" s="268" t="s">
        <v>66</v>
      </c>
      <c r="H203" s="268" t="s">
        <v>66</v>
      </c>
      <c r="I203" s="251">
        <v>1095</v>
      </c>
      <c r="J203" s="252" t="s">
        <v>359</v>
      </c>
      <c r="K203" s="253">
        <v>295474130.00999999</v>
      </c>
      <c r="L203" s="254">
        <v>0.19</v>
      </c>
      <c r="M203" s="255">
        <v>56140085</v>
      </c>
      <c r="N203" s="256">
        <v>351614215.00999999</v>
      </c>
      <c r="O203" s="257" t="s">
        <v>360</v>
      </c>
      <c r="P203" s="258" t="s">
        <v>374</v>
      </c>
      <c r="Q203" s="259">
        <v>113050000</v>
      </c>
      <c r="R203" s="259">
        <v>117345900</v>
      </c>
      <c r="S203" s="259">
        <v>121218315</v>
      </c>
      <c r="T203" s="259">
        <v>0</v>
      </c>
      <c r="U203" s="247" t="s">
        <v>718</v>
      </c>
    </row>
    <row r="204" spans="1:21" ht="41.5" hidden="1" customHeight="1" x14ac:dyDescent="0.35">
      <c r="A204" s="247" t="s">
        <v>356</v>
      </c>
      <c r="B204" s="247" t="s">
        <v>694</v>
      </c>
      <c r="C204" s="247" t="s">
        <v>214</v>
      </c>
      <c r="D204" s="261">
        <v>55101519</v>
      </c>
      <c r="E204" s="249" t="s">
        <v>721</v>
      </c>
      <c r="F204" s="247" t="s">
        <v>722</v>
      </c>
      <c r="G204" s="263" t="s">
        <v>66</v>
      </c>
      <c r="H204" s="263" t="s">
        <v>66</v>
      </c>
      <c r="I204" s="251">
        <v>365</v>
      </c>
      <c r="J204" s="252" t="s">
        <v>470</v>
      </c>
      <c r="K204" s="253">
        <v>1500000</v>
      </c>
      <c r="L204" s="254">
        <v>0.19</v>
      </c>
      <c r="M204" s="255">
        <v>285000</v>
      </c>
      <c r="N204" s="256">
        <v>1785000</v>
      </c>
      <c r="O204" s="257" t="s">
        <v>365</v>
      </c>
      <c r="P204" s="258" t="s">
        <v>91</v>
      </c>
      <c r="Q204" s="259">
        <v>1785000</v>
      </c>
      <c r="R204" s="259">
        <v>0</v>
      </c>
      <c r="S204" s="259">
        <v>0</v>
      </c>
      <c r="T204" s="259">
        <v>0</v>
      </c>
      <c r="U204" s="247" t="s">
        <v>718</v>
      </c>
    </row>
    <row r="205" spans="1:21" ht="41.5" hidden="1" customHeight="1" x14ac:dyDescent="0.35">
      <c r="A205" s="247" t="s">
        <v>356</v>
      </c>
      <c r="B205" s="247" t="s">
        <v>694</v>
      </c>
      <c r="C205" s="247" t="s">
        <v>214</v>
      </c>
      <c r="D205" s="261">
        <v>84121806</v>
      </c>
      <c r="E205" s="249" t="s">
        <v>451</v>
      </c>
      <c r="F205" s="247" t="s">
        <v>723</v>
      </c>
      <c r="G205" s="263" t="s">
        <v>66</v>
      </c>
      <c r="H205" s="263" t="s">
        <v>66</v>
      </c>
      <c r="I205" s="251">
        <v>1095</v>
      </c>
      <c r="J205" s="252" t="s">
        <v>359</v>
      </c>
      <c r="K205" s="253">
        <v>72261397.010000005</v>
      </c>
      <c r="L205" s="254">
        <v>0.19</v>
      </c>
      <c r="M205" s="255">
        <v>13729665</v>
      </c>
      <c r="N205" s="256">
        <v>85991062.010000005</v>
      </c>
      <c r="O205" s="257" t="s">
        <v>360</v>
      </c>
      <c r="P205" s="258" t="s">
        <v>374</v>
      </c>
      <c r="Q205" s="259">
        <v>28632315</v>
      </c>
      <c r="R205" s="259">
        <v>30321622</v>
      </c>
      <c r="S205" s="259">
        <v>27037125</v>
      </c>
      <c r="T205" s="259">
        <v>0</v>
      </c>
      <c r="U205" s="247" t="s">
        <v>718</v>
      </c>
    </row>
    <row r="206" spans="1:21" ht="41.5" hidden="1" customHeight="1" x14ac:dyDescent="0.35">
      <c r="A206" s="247" t="s">
        <v>356</v>
      </c>
      <c r="B206" s="247" t="s">
        <v>694</v>
      </c>
      <c r="C206" s="247" t="s">
        <v>724</v>
      </c>
      <c r="D206" s="261">
        <v>80101510</v>
      </c>
      <c r="E206" s="249" t="s">
        <v>371</v>
      </c>
      <c r="F206" s="247" t="s">
        <v>725</v>
      </c>
      <c r="G206" s="250" t="s">
        <v>66</v>
      </c>
      <c r="H206" s="250" t="s">
        <v>66</v>
      </c>
      <c r="I206" s="251">
        <v>350</v>
      </c>
      <c r="J206" s="252" t="s">
        <v>359</v>
      </c>
      <c r="K206" s="253">
        <v>267639117</v>
      </c>
      <c r="L206" s="254">
        <v>0.19</v>
      </c>
      <c r="M206" s="255">
        <v>50851432.230000004</v>
      </c>
      <c r="N206" s="256">
        <v>318490549.23000002</v>
      </c>
      <c r="O206" s="257" t="s">
        <v>365</v>
      </c>
      <c r="P206" s="258" t="s">
        <v>91</v>
      </c>
      <c r="Q206" s="259">
        <v>318490549.23000002</v>
      </c>
      <c r="R206" s="259">
        <v>0</v>
      </c>
      <c r="S206" s="259">
        <v>0</v>
      </c>
      <c r="T206" s="259">
        <v>0</v>
      </c>
      <c r="U206" s="247" t="s">
        <v>726</v>
      </c>
    </row>
    <row r="207" spans="1:21" ht="41.5" hidden="1" customHeight="1" x14ac:dyDescent="0.35">
      <c r="A207" s="247" t="s">
        <v>356</v>
      </c>
      <c r="B207" s="247" t="s">
        <v>694</v>
      </c>
      <c r="C207" s="247" t="s">
        <v>724</v>
      </c>
      <c r="D207" s="261">
        <v>80101510</v>
      </c>
      <c r="E207" s="249" t="s">
        <v>371</v>
      </c>
      <c r="F207" s="247" t="s">
        <v>725</v>
      </c>
      <c r="G207" s="250" t="s">
        <v>66</v>
      </c>
      <c r="H207" s="250" t="s">
        <v>66</v>
      </c>
      <c r="I207" s="251">
        <v>350</v>
      </c>
      <c r="J207" s="252" t="s">
        <v>359</v>
      </c>
      <c r="K207" s="253">
        <v>287053179</v>
      </c>
      <c r="L207" s="254">
        <v>0.19</v>
      </c>
      <c r="M207" s="255">
        <v>54540104.009999998</v>
      </c>
      <c r="N207" s="256">
        <v>341593283.00999999</v>
      </c>
      <c r="O207" s="257" t="s">
        <v>365</v>
      </c>
      <c r="P207" s="258" t="s">
        <v>91</v>
      </c>
      <c r="Q207" s="259">
        <v>341593283.00999999</v>
      </c>
      <c r="R207" s="259">
        <v>0</v>
      </c>
      <c r="S207" s="259">
        <v>0</v>
      </c>
      <c r="T207" s="259">
        <v>0</v>
      </c>
      <c r="U207" s="247" t="s">
        <v>726</v>
      </c>
    </row>
    <row r="208" spans="1:21" ht="41.5" hidden="1" customHeight="1" x14ac:dyDescent="0.35">
      <c r="A208" s="247" t="s">
        <v>356</v>
      </c>
      <c r="B208" s="247" t="s">
        <v>694</v>
      </c>
      <c r="C208" s="247" t="s">
        <v>724</v>
      </c>
      <c r="D208" s="261">
        <v>80101510</v>
      </c>
      <c r="E208" s="249" t="s">
        <v>371</v>
      </c>
      <c r="F208" s="247" t="s">
        <v>725</v>
      </c>
      <c r="G208" s="250" t="s">
        <v>66</v>
      </c>
      <c r="H208" s="250" t="s">
        <v>66</v>
      </c>
      <c r="I208" s="251">
        <v>350</v>
      </c>
      <c r="J208" s="252" t="s">
        <v>359</v>
      </c>
      <c r="K208" s="253">
        <v>338611800</v>
      </c>
      <c r="L208" s="254">
        <v>0.19</v>
      </c>
      <c r="M208" s="255">
        <v>64336242</v>
      </c>
      <c r="N208" s="256">
        <v>402948042</v>
      </c>
      <c r="O208" s="257" t="s">
        <v>365</v>
      </c>
      <c r="P208" s="258" t="s">
        <v>91</v>
      </c>
      <c r="Q208" s="259">
        <v>402948042</v>
      </c>
      <c r="R208" s="259">
        <v>0</v>
      </c>
      <c r="S208" s="259">
        <v>0</v>
      </c>
      <c r="T208" s="259">
        <v>0</v>
      </c>
      <c r="U208" s="247" t="s">
        <v>726</v>
      </c>
    </row>
    <row r="209" spans="1:21" ht="41.5" hidden="1" customHeight="1" x14ac:dyDescent="0.35">
      <c r="A209" s="247" t="s">
        <v>356</v>
      </c>
      <c r="B209" s="247" t="s">
        <v>694</v>
      </c>
      <c r="C209" s="247" t="s">
        <v>724</v>
      </c>
      <c r="D209" s="261">
        <v>80101510</v>
      </c>
      <c r="E209" s="249" t="s">
        <v>371</v>
      </c>
      <c r="F209" s="247" t="s">
        <v>725</v>
      </c>
      <c r="G209" s="250" t="s">
        <v>66</v>
      </c>
      <c r="H209" s="250" t="s">
        <v>66</v>
      </c>
      <c r="I209" s="251">
        <v>350</v>
      </c>
      <c r="J209" s="252" t="s">
        <v>359</v>
      </c>
      <c r="K209" s="253">
        <v>357808170</v>
      </c>
      <c r="L209" s="254">
        <v>0.19</v>
      </c>
      <c r="M209" s="255">
        <v>67983552.299999997</v>
      </c>
      <c r="N209" s="256">
        <v>425791722.30000001</v>
      </c>
      <c r="O209" s="257" t="s">
        <v>365</v>
      </c>
      <c r="P209" s="258" t="s">
        <v>91</v>
      </c>
      <c r="Q209" s="259">
        <v>425791722.30000001</v>
      </c>
      <c r="R209" s="259">
        <v>0</v>
      </c>
      <c r="S209" s="259">
        <v>0</v>
      </c>
      <c r="T209" s="259">
        <v>0</v>
      </c>
      <c r="U209" s="247" t="s">
        <v>726</v>
      </c>
    </row>
    <row r="210" spans="1:21" ht="41.5" hidden="1" customHeight="1" x14ac:dyDescent="0.35">
      <c r="A210" s="247" t="s">
        <v>356</v>
      </c>
      <c r="B210" s="247" t="s">
        <v>694</v>
      </c>
      <c r="C210" s="247" t="s">
        <v>724</v>
      </c>
      <c r="D210" s="261">
        <v>80101510</v>
      </c>
      <c r="E210" s="249" t="s">
        <v>371</v>
      </c>
      <c r="F210" s="247" t="s">
        <v>725</v>
      </c>
      <c r="G210" s="250" t="s">
        <v>66</v>
      </c>
      <c r="H210" s="250" t="s">
        <v>66</v>
      </c>
      <c r="I210" s="251">
        <v>350</v>
      </c>
      <c r="J210" s="252" t="s">
        <v>359</v>
      </c>
      <c r="K210" s="253">
        <v>25000000</v>
      </c>
      <c r="L210" s="254">
        <v>0.19</v>
      </c>
      <c r="M210" s="255">
        <v>4750000</v>
      </c>
      <c r="N210" s="256">
        <v>29750000</v>
      </c>
      <c r="O210" s="257" t="s">
        <v>365</v>
      </c>
      <c r="P210" s="258" t="s">
        <v>91</v>
      </c>
      <c r="Q210" s="259">
        <v>29750000</v>
      </c>
      <c r="R210" s="259">
        <v>0</v>
      </c>
      <c r="S210" s="259">
        <v>0</v>
      </c>
      <c r="T210" s="259">
        <v>0</v>
      </c>
      <c r="U210" s="247" t="s">
        <v>726</v>
      </c>
    </row>
    <row r="211" spans="1:21" ht="41.5" hidden="1" customHeight="1" x14ac:dyDescent="0.35">
      <c r="A211" s="247" t="s">
        <v>356</v>
      </c>
      <c r="B211" s="247" t="s">
        <v>694</v>
      </c>
      <c r="C211" s="247" t="s">
        <v>724</v>
      </c>
      <c r="D211" s="261">
        <v>80101510</v>
      </c>
      <c r="E211" s="249" t="s">
        <v>371</v>
      </c>
      <c r="F211" s="247" t="s">
        <v>725</v>
      </c>
      <c r="G211" s="250" t="s">
        <v>66</v>
      </c>
      <c r="H211" s="250" t="s">
        <v>66</v>
      </c>
      <c r="I211" s="251">
        <v>350</v>
      </c>
      <c r="J211" s="252" t="s">
        <v>359</v>
      </c>
      <c r="K211" s="253">
        <v>30000000</v>
      </c>
      <c r="L211" s="254">
        <v>0.19</v>
      </c>
      <c r="M211" s="255">
        <v>5700000</v>
      </c>
      <c r="N211" s="256">
        <v>35700000</v>
      </c>
      <c r="O211" s="257" t="s">
        <v>365</v>
      </c>
      <c r="P211" s="258" t="s">
        <v>91</v>
      </c>
      <c r="Q211" s="259">
        <v>35700000</v>
      </c>
      <c r="R211" s="259">
        <v>0</v>
      </c>
      <c r="S211" s="259">
        <v>0</v>
      </c>
      <c r="T211" s="259">
        <v>0</v>
      </c>
      <c r="U211" s="247" t="s">
        <v>726</v>
      </c>
    </row>
    <row r="212" spans="1:21" ht="41.5" hidden="1" customHeight="1" x14ac:dyDescent="0.35">
      <c r="A212" s="247" t="s">
        <v>356</v>
      </c>
      <c r="B212" s="247" t="s">
        <v>694</v>
      </c>
      <c r="C212" s="247" t="s">
        <v>724</v>
      </c>
      <c r="D212" s="261">
        <v>80101510</v>
      </c>
      <c r="E212" s="249" t="s">
        <v>371</v>
      </c>
      <c r="F212" s="247" t="s">
        <v>727</v>
      </c>
      <c r="G212" s="250" t="s">
        <v>66</v>
      </c>
      <c r="H212" s="250" t="s">
        <v>66</v>
      </c>
      <c r="I212" s="251">
        <v>350</v>
      </c>
      <c r="J212" s="252" t="s">
        <v>359</v>
      </c>
      <c r="K212" s="253">
        <v>25000000</v>
      </c>
      <c r="L212" s="254">
        <v>0.19</v>
      </c>
      <c r="M212" s="255">
        <v>4750000</v>
      </c>
      <c r="N212" s="256">
        <v>29750000</v>
      </c>
      <c r="O212" s="257" t="s">
        <v>365</v>
      </c>
      <c r="P212" s="258" t="s">
        <v>91</v>
      </c>
      <c r="Q212" s="259">
        <v>29750000</v>
      </c>
      <c r="R212" s="259">
        <v>0</v>
      </c>
      <c r="S212" s="259">
        <v>0</v>
      </c>
      <c r="T212" s="259">
        <v>0</v>
      </c>
      <c r="U212" s="247" t="s">
        <v>726</v>
      </c>
    </row>
    <row r="213" spans="1:21" ht="41.5" hidden="1" customHeight="1" x14ac:dyDescent="0.35">
      <c r="A213" s="247" t="s">
        <v>356</v>
      </c>
      <c r="B213" s="247" t="s">
        <v>694</v>
      </c>
      <c r="C213" s="247" t="s">
        <v>724</v>
      </c>
      <c r="D213" s="261">
        <v>80101510</v>
      </c>
      <c r="E213" s="249" t="s">
        <v>371</v>
      </c>
      <c r="F213" s="247" t="s">
        <v>728</v>
      </c>
      <c r="G213" s="250" t="s">
        <v>66</v>
      </c>
      <c r="H213" s="250" t="s">
        <v>66</v>
      </c>
      <c r="I213" s="251">
        <v>350</v>
      </c>
      <c r="J213" s="252" t="s">
        <v>359</v>
      </c>
      <c r="K213" s="253">
        <v>40000000</v>
      </c>
      <c r="L213" s="254">
        <v>0.19</v>
      </c>
      <c r="M213" s="255">
        <v>7600000</v>
      </c>
      <c r="N213" s="256">
        <v>47600000</v>
      </c>
      <c r="O213" s="257" t="s">
        <v>365</v>
      </c>
      <c r="P213" s="258" t="s">
        <v>91</v>
      </c>
      <c r="Q213" s="259">
        <v>47600000</v>
      </c>
      <c r="R213" s="259">
        <v>0</v>
      </c>
      <c r="S213" s="259">
        <v>0</v>
      </c>
      <c r="T213" s="259">
        <v>0</v>
      </c>
      <c r="U213" s="247" t="s">
        <v>726</v>
      </c>
    </row>
    <row r="214" spans="1:21" ht="41.5" hidden="1" customHeight="1" x14ac:dyDescent="0.35">
      <c r="A214" s="247" t="s">
        <v>356</v>
      </c>
      <c r="B214" s="247" t="s">
        <v>694</v>
      </c>
      <c r="C214" s="247" t="s">
        <v>724</v>
      </c>
      <c r="D214" s="261">
        <v>80101510</v>
      </c>
      <c r="E214" s="249" t="s">
        <v>371</v>
      </c>
      <c r="F214" s="247" t="s">
        <v>729</v>
      </c>
      <c r="G214" s="250" t="s">
        <v>66</v>
      </c>
      <c r="H214" s="250" t="s">
        <v>66</v>
      </c>
      <c r="I214" s="251">
        <v>350</v>
      </c>
      <c r="J214" s="252" t="s">
        <v>359</v>
      </c>
      <c r="K214" s="253">
        <v>20000000</v>
      </c>
      <c r="L214" s="254">
        <v>0.19</v>
      </c>
      <c r="M214" s="255">
        <v>3800000</v>
      </c>
      <c r="N214" s="256">
        <v>23800000</v>
      </c>
      <c r="O214" s="257" t="s">
        <v>365</v>
      </c>
      <c r="P214" s="258" t="s">
        <v>91</v>
      </c>
      <c r="Q214" s="259">
        <v>23800000</v>
      </c>
      <c r="R214" s="259">
        <v>0</v>
      </c>
      <c r="S214" s="259">
        <v>0</v>
      </c>
      <c r="T214" s="259">
        <v>0</v>
      </c>
      <c r="U214" s="247" t="s">
        <v>726</v>
      </c>
    </row>
    <row r="215" spans="1:21" ht="41.5" hidden="1" customHeight="1" x14ac:dyDescent="0.35">
      <c r="A215" s="247" t="s">
        <v>356</v>
      </c>
      <c r="B215" s="247" t="s">
        <v>694</v>
      </c>
      <c r="C215" s="247" t="s">
        <v>724</v>
      </c>
      <c r="D215" s="261">
        <v>80101510</v>
      </c>
      <c r="E215" s="249" t="s">
        <v>371</v>
      </c>
      <c r="F215" s="247" t="s">
        <v>730</v>
      </c>
      <c r="G215" s="250" t="s">
        <v>66</v>
      </c>
      <c r="H215" s="250" t="s">
        <v>66</v>
      </c>
      <c r="I215" s="251">
        <v>350</v>
      </c>
      <c r="J215" s="252" t="s">
        <v>359</v>
      </c>
      <c r="K215" s="253">
        <v>55000000</v>
      </c>
      <c r="L215" s="254">
        <v>0.19</v>
      </c>
      <c r="M215" s="255">
        <v>10450000</v>
      </c>
      <c r="N215" s="256">
        <v>65450000</v>
      </c>
      <c r="O215" s="257" t="s">
        <v>365</v>
      </c>
      <c r="P215" s="258" t="s">
        <v>91</v>
      </c>
      <c r="Q215" s="259">
        <v>65450000</v>
      </c>
      <c r="R215" s="259">
        <v>0</v>
      </c>
      <c r="S215" s="259">
        <v>0</v>
      </c>
      <c r="T215" s="259">
        <v>0</v>
      </c>
      <c r="U215" s="247" t="s">
        <v>726</v>
      </c>
    </row>
    <row r="216" spans="1:21" ht="41.5" hidden="1" customHeight="1" x14ac:dyDescent="0.35">
      <c r="A216" s="247" t="s">
        <v>356</v>
      </c>
      <c r="B216" s="247" t="s">
        <v>694</v>
      </c>
      <c r="C216" s="247" t="s">
        <v>724</v>
      </c>
      <c r="D216" s="261">
        <v>80101510</v>
      </c>
      <c r="E216" s="249" t="s">
        <v>371</v>
      </c>
      <c r="F216" s="247" t="s">
        <v>731</v>
      </c>
      <c r="G216" s="250" t="s">
        <v>66</v>
      </c>
      <c r="H216" s="250" t="s">
        <v>66</v>
      </c>
      <c r="I216" s="251">
        <v>350</v>
      </c>
      <c r="J216" s="252" t="s">
        <v>359</v>
      </c>
      <c r="K216" s="253">
        <v>40000000</v>
      </c>
      <c r="L216" s="254">
        <v>0.19</v>
      </c>
      <c r="M216" s="255">
        <v>7600000</v>
      </c>
      <c r="N216" s="256">
        <v>47600000</v>
      </c>
      <c r="O216" s="257" t="s">
        <v>365</v>
      </c>
      <c r="P216" s="258" t="s">
        <v>91</v>
      </c>
      <c r="Q216" s="259">
        <v>47600000</v>
      </c>
      <c r="R216" s="259">
        <v>0</v>
      </c>
      <c r="S216" s="259">
        <v>0</v>
      </c>
      <c r="T216" s="259">
        <v>0</v>
      </c>
      <c r="U216" s="247" t="s">
        <v>726</v>
      </c>
    </row>
    <row r="217" spans="1:21" ht="41.5" hidden="1" customHeight="1" x14ac:dyDescent="0.35">
      <c r="A217" s="247" t="s">
        <v>356</v>
      </c>
      <c r="B217" s="247" t="s">
        <v>694</v>
      </c>
      <c r="C217" s="247" t="s">
        <v>214</v>
      </c>
      <c r="D217" s="261">
        <v>84131609</v>
      </c>
      <c r="E217" s="249" t="s">
        <v>732</v>
      </c>
      <c r="F217" s="247" t="s">
        <v>733</v>
      </c>
      <c r="G217" s="250" t="s">
        <v>66</v>
      </c>
      <c r="H217" s="250" t="s">
        <v>68</v>
      </c>
      <c r="I217" s="251">
        <v>730</v>
      </c>
      <c r="J217" s="252" t="s">
        <v>381</v>
      </c>
      <c r="K217" s="253">
        <v>218404585.72</v>
      </c>
      <c r="L217" s="254">
        <v>0.19</v>
      </c>
      <c r="M217" s="255">
        <v>41496871.286799997</v>
      </c>
      <c r="N217" s="256">
        <v>259901457.0068</v>
      </c>
      <c r="O217" s="257" t="s">
        <v>360</v>
      </c>
      <c r="P217" s="258" t="s">
        <v>361</v>
      </c>
      <c r="Q217" s="259">
        <v>71513765.68583332</v>
      </c>
      <c r="R217" s="259">
        <v>131176678.77229999</v>
      </c>
      <c r="S217" s="259">
        <v>57211012.548666663</v>
      </c>
      <c r="T217" s="259">
        <v>0</v>
      </c>
      <c r="U217" s="247" t="s">
        <v>734</v>
      </c>
    </row>
    <row r="218" spans="1:21" ht="41.5" hidden="1" customHeight="1" x14ac:dyDescent="0.35">
      <c r="A218" s="247" t="s">
        <v>356</v>
      </c>
      <c r="B218" s="247" t="s">
        <v>694</v>
      </c>
      <c r="C218" s="247" t="s">
        <v>735</v>
      </c>
      <c r="D218" s="261">
        <v>43232305</v>
      </c>
      <c r="E218" s="249" t="s">
        <v>736</v>
      </c>
      <c r="F218" s="247" t="s">
        <v>737</v>
      </c>
      <c r="G218" s="250" t="s">
        <v>75</v>
      </c>
      <c r="H218" s="250" t="s">
        <v>76</v>
      </c>
      <c r="I218" s="251">
        <v>365</v>
      </c>
      <c r="J218" s="252" t="s">
        <v>359</v>
      </c>
      <c r="K218" s="253">
        <v>61158902</v>
      </c>
      <c r="L218" s="254">
        <v>0.19</v>
      </c>
      <c r="M218" s="255">
        <v>11620191.380000001</v>
      </c>
      <c r="N218" s="256">
        <v>72779093.379999995</v>
      </c>
      <c r="O218" s="275" t="s">
        <v>360</v>
      </c>
      <c r="P218" s="258" t="s">
        <v>361</v>
      </c>
      <c r="Q218" s="276">
        <v>0</v>
      </c>
      <c r="R218" s="259">
        <v>72779093</v>
      </c>
      <c r="S218" s="259">
        <v>0</v>
      </c>
      <c r="T218" s="259">
        <v>0</v>
      </c>
      <c r="U218" s="247" t="s">
        <v>738</v>
      </c>
    </row>
    <row r="219" spans="1:21" ht="41.5" hidden="1" customHeight="1" x14ac:dyDescent="0.35">
      <c r="A219" s="247" t="s">
        <v>356</v>
      </c>
      <c r="B219" s="247" t="s">
        <v>694</v>
      </c>
      <c r="C219" s="247" t="s">
        <v>735</v>
      </c>
      <c r="D219" s="261">
        <v>78181505</v>
      </c>
      <c r="E219" s="249" t="s">
        <v>739</v>
      </c>
      <c r="F219" s="247" t="s">
        <v>740</v>
      </c>
      <c r="G219" s="268" t="s">
        <v>66</v>
      </c>
      <c r="H219" s="268" t="s">
        <v>66</v>
      </c>
      <c r="I219" s="251">
        <v>729</v>
      </c>
      <c r="J219" s="252" t="s">
        <v>373</v>
      </c>
      <c r="K219" s="253">
        <v>1479353683</v>
      </c>
      <c r="L219" s="254">
        <v>0.19</v>
      </c>
      <c r="M219" s="255">
        <v>281077199.76999998</v>
      </c>
      <c r="N219" s="256">
        <v>1760430882.77</v>
      </c>
      <c r="O219" s="257" t="s">
        <v>360</v>
      </c>
      <c r="P219" s="258" t="s">
        <v>463</v>
      </c>
      <c r="Q219" s="259">
        <v>652394909</v>
      </c>
      <c r="R219" s="259">
        <v>949745120</v>
      </c>
      <c r="S219" s="259">
        <v>158290854</v>
      </c>
      <c r="T219" s="259">
        <v>0</v>
      </c>
      <c r="U219" s="247" t="s">
        <v>738</v>
      </c>
    </row>
    <row r="220" spans="1:21" ht="41.5" hidden="1" customHeight="1" x14ac:dyDescent="0.35">
      <c r="A220" s="247" t="s">
        <v>356</v>
      </c>
      <c r="B220" s="247" t="s">
        <v>694</v>
      </c>
      <c r="C220" s="247" t="s">
        <v>735</v>
      </c>
      <c r="D220" s="261">
        <v>90121800</v>
      </c>
      <c r="E220" s="249" t="s">
        <v>741</v>
      </c>
      <c r="F220" s="247" t="s">
        <v>742</v>
      </c>
      <c r="G220" s="250" t="s">
        <v>66</v>
      </c>
      <c r="H220" s="250" t="s">
        <v>68</v>
      </c>
      <c r="I220" s="251">
        <v>730</v>
      </c>
      <c r="J220" s="252" t="s">
        <v>373</v>
      </c>
      <c r="K220" s="253">
        <v>43251619938</v>
      </c>
      <c r="L220" s="254">
        <v>0.19</v>
      </c>
      <c r="M220" s="255">
        <v>8217807788.2200003</v>
      </c>
      <c r="N220" s="256">
        <v>51469427726.220001</v>
      </c>
      <c r="O220" s="257" t="s">
        <v>360</v>
      </c>
      <c r="P220" s="258" t="s">
        <v>361</v>
      </c>
      <c r="Q220" s="259">
        <v>14527661051</v>
      </c>
      <c r="R220" s="259">
        <v>25873072539</v>
      </c>
      <c r="S220" s="259">
        <v>11068694136</v>
      </c>
      <c r="T220" s="259">
        <v>0</v>
      </c>
      <c r="U220" s="247" t="s">
        <v>738</v>
      </c>
    </row>
    <row r="221" spans="1:21" ht="41.5" hidden="1" customHeight="1" x14ac:dyDescent="0.35">
      <c r="A221" s="247" t="s">
        <v>356</v>
      </c>
      <c r="B221" s="247" t="s">
        <v>694</v>
      </c>
      <c r="C221" s="247" t="s">
        <v>735</v>
      </c>
      <c r="D221" s="261">
        <v>81141801</v>
      </c>
      <c r="E221" s="249" t="s">
        <v>743</v>
      </c>
      <c r="F221" s="247" t="s">
        <v>744</v>
      </c>
      <c r="G221" s="250" t="s">
        <v>70</v>
      </c>
      <c r="H221" s="250" t="s">
        <v>71</v>
      </c>
      <c r="I221" s="251">
        <v>365</v>
      </c>
      <c r="J221" s="252" t="s">
        <v>381</v>
      </c>
      <c r="K221" s="253">
        <v>136134400</v>
      </c>
      <c r="L221" s="254">
        <v>0.19</v>
      </c>
      <c r="M221" s="255">
        <v>25865536</v>
      </c>
      <c r="N221" s="256">
        <v>161999936</v>
      </c>
      <c r="O221" s="257" t="s">
        <v>360</v>
      </c>
      <c r="P221" s="258" t="s">
        <v>361</v>
      </c>
      <c r="Q221" s="259">
        <v>80999968</v>
      </c>
      <c r="R221" s="259">
        <v>80999968</v>
      </c>
      <c r="S221" s="259">
        <v>0</v>
      </c>
      <c r="T221" s="259">
        <v>0</v>
      </c>
      <c r="U221" s="247" t="s">
        <v>738</v>
      </c>
    </row>
    <row r="222" spans="1:21" ht="41.5" hidden="1" customHeight="1" x14ac:dyDescent="0.35">
      <c r="A222" s="247" t="s">
        <v>356</v>
      </c>
      <c r="B222" s="247" t="s">
        <v>694</v>
      </c>
      <c r="C222" s="247" t="s">
        <v>211</v>
      </c>
      <c r="D222" s="261">
        <v>81112001</v>
      </c>
      <c r="E222" s="249" t="s">
        <v>719</v>
      </c>
      <c r="F222" s="247" t="s">
        <v>745</v>
      </c>
      <c r="G222" s="250" t="s">
        <v>68</v>
      </c>
      <c r="H222" s="250" t="s">
        <v>70</v>
      </c>
      <c r="I222" s="251">
        <v>1095</v>
      </c>
      <c r="J222" s="252" t="s">
        <v>373</v>
      </c>
      <c r="K222" s="253">
        <v>17951360788</v>
      </c>
      <c r="L222" s="254">
        <v>0.19</v>
      </c>
      <c r="M222" s="255">
        <v>3410758550</v>
      </c>
      <c r="N222" s="256">
        <v>21362119338</v>
      </c>
      <c r="O222" s="257" t="s">
        <v>360</v>
      </c>
      <c r="P222" s="258" t="s">
        <v>361</v>
      </c>
      <c r="Q222" s="259">
        <v>2707081222</v>
      </c>
      <c r="R222" s="259">
        <v>6172145186</v>
      </c>
      <c r="S222" s="259">
        <v>7337272944</v>
      </c>
      <c r="T222" s="259">
        <v>5145619986</v>
      </c>
      <c r="U222" s="247" t="s">
        <v>746</v>
      </c>
    </row>
    <row r="223" spans="1:21" ht="41.5" hidden="1" customHeight="1" x14ac:dyDescent="0.35">
      <c r="A223" s="247" t="s">
        <v>356</v>
      </c>
      <c r="B223" s="247" t="s">
        <v>232</v>
      </c>
      <c r="C223" s="247" t="s">
        <v>234</v>
      </c>
      <c r="D223" s="261">
        <v>81112001</v>
      </c>
      <c r="E223" s="249" t="s">
        <v>719</v>
      </c>
      <c r="F223" s="247" t="s">
        <v>747</v>
      </c>
      <c r="G223" s="264" t="s">
        <v>66</v>
      </c>
      <c r="H223" s="250" t="s">
        <v>66</v>
      </c>
      <c r="I223" s="251">
        <v>1080</v>
      </c>
      <c r="J223" s="252" t="s">
        <v>359</v>
      </c>
      <c r="K223" s="253">
        <v>34030049</v>
      </c>
      <c r="L223" s="254">
        <v>0.19</v>
      </c>
      <c r="M223" s="255">
        <v>6465709.3100000005</v>
      </c>
      <c r="N223" s="256">
        <v>40495758.310000002</v>
      </c>
      <c r="O223" s="257" t="s">
        <v>360</v>
      </c>
      <c r="P223" s="258" t="s">
        <v>374</v>
      </c>
      <c r="Q223" s="259">
        <v>13033708</v>
      </c>
      <c r="R223" s="259">
        <v>13508141</v>
      </c>
      <c r="S223" s="259">
        <v>13953910</v>
      </c>
      <c r="T223" s="259">
        <v>0</v>
      </c>
      <c r="U223" s="247" t="s">
        <v>748</v>
      </c>
    </row>
    <row r="224" spans="1:21" ht="41.5" hidden="1" customHeight="1" x14ac:dyDescent="0.35">
      <c r="A224" s="247" t="s">
        <v>356</v>
      </c>
      <c r="B224" s="247" t="s">
        <v>232</v>
      </c>
      <c r="C224" s="247" t="s">
        <v>234</v>
      </c>
      <c r="D224" s="261">
        <v>86121700</v>
      </c>
      <c r="E224" s="249" t="s">
        <v>749</v>
      </c>
      <c r="F224" s="247" t="s">
        <v>750</v>
      </c>
      <c r="G224" s="264" t="s">
        <v>66</v>
      </c>
      <c r="H224" s="250" t="s">
        <v>67</v>
      </c>
      <c r="I224" s="251">
        <v>300</v>
      </c>
      <c r="J224" s="252" t="s">
        <v>359</v>
      </c>
      <c r="K224" s="253">
        <v>70000000</v>
      </c>
      <c r="L224" s="254">
        <v>0</v>
      </c>
      <c r="M224" s="255">
        <v>0</v>
      </c>
      <c r="N224" s="256">
        <v>70000000</v>
      </c>
      <c r="O224" s="257" t="s">
        <v>365</v>
      </c>
      <c r="P224" s="258" t="s">
        <v>91</v>
      </c>
      <c r="Q224" s="259">
        <v>70000000</v>
      </c>
      <c r="R224" s="259">
        <v>0</v>
      </c>
      <c r="S224" s="259">
        <v>0</v>
      </c>
      <c r="T224" s="259">
        <v>0</v>
      </c>
      <c r="U224" s="247" t="s">
        <v>748</v>
      </c>
    </row>
    <row r="225" spans="1:21" ht="41.5" hidden="1" customHeight="1" x14ac:dyDescent="0.35">
      <c r="A225" s="247" t="s">
        <v>356</v>
      </c>
      <c r="B225" s="247" t="s">
        <v>232</v>
      </c>
      <c r="C225" s="247" t="s">
        <v>234</v>
      </c>
      <c r="D225" s="261">
        <v>90121502</v>
      </c>
      <c r="E225" s="249" t="s">
        <v>751</v>
      </c>
      <c r="F225" s="247" t="s">
        <v>752</v>
      </c>
      <c r="G225" s="250" t="s">
        <v>66</v>
      </c>
      <c r="H225" s="250" t="s">
        <v>67</v>
      </c>
      <c r="I225" s="251">
        <v>120</v>
      </c>
      <c r="J225" s="252" t="s">
        <v>373</v>
      </c>
      <c r="K225" s="253">
        <v>2300000000</v>
      </c>
      <c r="L225" s="254">
        <v>0.1</v>
      </c>
      <c r="M225" s="255">
        <v>230000000</v>
      </c>
      <c r="N225" s="256">
        <v>2530000000</v>
      </c>
      <c r="O225" s="257" t="s">
        <v>365</v>
      </c>
      <c r="P225" s="258" t="s">
        <v>91</v>
      </c>
      <c r="Q225" s="259">
        <v>2530000000</v>
      </c>
      <c r="R225" s="259">
        <v>0</v>
      </c>
      <c r="S225" s="259">
        <v>0</v>
      </c>
      <c r="T225" s="259">
        <v>0</v>
      </c>
      <c r="U225" s="247" t="s">
        <v>753</v>
      </c>
    </row>
    <row r="226" spans="1:21" ht="41.5" hidden="1" customHeight="1" x14ac:dyDescent="0.35">
      <c r="A226" s="247" t="s">
        <v>356</v>
      </c>
      <c r="B226" s="247" t="s">
        <v>232</v>
      </c>
      <c r="C226" s="247" t="s">
        <v>234</v>
      </c>
      <c r="D226" s="261">
        <v>86121700</v>
      </c>
      <c r="E226" s="249" t="s">
        <v>749</v>
      </c>
      <c r="F226" s="247" t="s">
        <v>754</v>
      </c>
      <c r="G226" s="263" t="s">
        <v>72</v>
      </c>
      <c r="H226" s="250" t="s">
        <v>72</v>
      </c>
      <c r="I226" s="251">
        <v>60</v>
      </c>
      <c r="J226" s="252" t="s">
        <v>359</v>
      </c>
      <c r="K226" s="253">
        <v>50000000</v>
      </c>
      <c r="L226" s="254">
        <v>0.19</v>
      </c>
      <c r="M226" s="255">
        <v>9500000</v>
      </c>
      <c r="N226" s="256">
        <v>59500000</v>
      </c>
      <c r="O226" s="257" t="s">
        <v>365</v>
      </c>
      <c r="P226" s="258" t="s">
        <v>91</v>
      </c>
      <c r="Q226" s="259">
        <v>59500000</v>
      </c>
      <c r="R226" s="259">
        <v>0</v>
      </c>
      <c r="S226" s="259">
        <v>0</v>
      </c>
      <c r="T226" s="259">
        <v>0</v>
      </c>
      <c r="U226" s="247" t="s">
        <v>753</v>
      </c>
    </row>
    <row r="227" spans="1:21" ht="41.5" hidden="1" customHeight="1" x14ac:dyDescent="0.35">
      <c r="A227" s="247" t="s">
        <v>356</v>
      </c>
      <c r="B227" s="247" t="s">
        <v>232</v>
      </c>
      <c r="C227" s="247" t="s">
        <v>234</v>
      </c>
      <c r="D227" s="261">
        <v>86121700</v>
      </c>
      <c r="E227" s="249" t="s">
        <v>749</v>
      </c>
      <c r="F227" s="247" t="s">
        <v>755</v>
      </c>
      <c r="G227" s="250" t="s">
        <v>74</v>
      </c>
      <c r="H227" s="250" t="s">
        <v>74</v>
      </c>
      <c r="I227" s="251">
        <v>60</v>
      </c>
      <c r="J227" s="252" t="s">
        <v>359</v>
      </c>
      <c r="K227" s="253">
        <v>50000000</v>
      </c>
      <c r="L227" s="254">
        <v>0.19</v>
      </c>
      <c r="M227" s="255">
        <v>9500000</v>
      </c>
      <c r="N227" s="256">
        <v>59500000</v>
      </c>
      <c r="O227" s="257" t="s">
        <v>365</v>
      </c>
      <c r="P227" s="258" t="s">
        <v>91</v>
      </c>
      <c r="Q227" s="259">
        <v>59500000</v>
      </c>
      <c r="R227" s="259">
        <v>0</v>
      </c>
      <c r="S227" s="259">
        <v>0</v>
      </c>
      <c r="T227" s="259">
        <v>0</v>
      </c>
      <c r="U227" s="247" t="s">
        <v>753</v>
      </c>
    </row>
    <row r="228" spans="1:21" ht="41.5" hidden="1" customHeight="1" x14ac:dyDescent="0.35">
      <c r="A228" s="247" t="s">
        <v>356</v>
      </c>
      <c r="B228" s="247" t="s">
        <v>232</v>
      </c>
      <c r="C228" s="247" t="s">
        <v>234</v>
      </c>
      <c r="D228" s="261">
        <v>86121700</v>
      </c>
      <c r="E228" s="249" t="s">
        <v>749</v>
      </c>
      <c r="F228" s="247" t="s">
        <v>756</v>
      </c>
      <c r="G228" s="250" t="s">
        <v>76</v>
      </c>
      <c r="H228" s="250" t="s">
        <v>76</v>
      </c>
      <c r="I228" s="251">
        <v>60</v>
      </c>
      <c r="J228" s="252" t="s">
        <v>359</v>
      </c>
      <c r="K228" s="253">
        <v>50000000</v>
      </c>
      <c r="L228" s="254">
        <v>0.19</v>
      </c>
      <c r="M228" s="255">
        <v>9500000</v>
      </c>
      <c r="N228" s="256">
        <v>59500000</v>
      </c>
      <c r="O228" s="257" t="s">
        <v>365</v>
      </c>
      <c r="P228" s="258" t="s">
        <v>91</v>
      </c>
      <c r="Q228" s="259">
        <v>59500000</v>
      </c>
      <c r="R228" s="259">
        <v>0</v>
      </c>
      <c r="S228" s="259">
        <v>0</v>
      </c>
      <c r="T228" s="259">
        <v>0</v>
      </c>
      <c r="U228" s="247" t="s">
        <v>753</v>
      </c>
    </row>
    <row r="229" spans="1:21" ht="41.5" hidden="1" customHeight="1" x14ac:dyDescent="0.35">
      <c r="A229" s="247" t="s">
        <v>356</v>
      </c>
      <c r="B229" s="247" t="s">
        <v>232</v>
      </c>
      <c r="C229" s="247" t="s">
        <v>234</v>
      </c>
      <c r="D229" s="261">
        <v>43232300</v>
      </c>
      <c r="E229" s="249" t="s">
        <v>757</v>
      </c>
      <c r="F229" s="247" t="s">
        <v>758</v>
      </c>
      <c r="G229" s="250" t="s">
        <v>75</v>
      </c>
      <c r="H229" s="250" t="s">
        <v>75</v>
      </c>
      <c r="I229" s="251">
        <v>330</v>
      </c>
      <c r="J229" s="252" t="s">
        <v>359</v>
      </c>
      <c r="K229" s="253">
        <v>11975635</v>
      </c>
      <c r="L229" s="254">
        <v>0.19</v>
      </c>
      <c r="M229" s="255">
        <v>2275370.65</v>
      </c>
      <c r="N229" s="256">
        <v>14251005.65</v>
      </c>
      <c r="O229" s="257" t="s">
        <v>360</v>
      </c>
      <c r="P229" s="258" t="s">
        <v>374</v>
      </c>
      <c r="Q229" s="265">
        <v>13063422</v>
      </c>
      <c r="R229" s="265">
        <v>14251005.65</v>
      </c>
      <c r="S229" s="259">
        <v>0</v>
      </c>
      <c r="T229" s="259">
        <v>0</v>
      </c>
      <c r="U229" s="247" t="s">
        <v>759</v>
      </c>
    </row>
    <row r="230" spans="1:21" ht="41.5" hidden="1" customHeight="1" x14ac:dyDescent="0.35">
      <c r="A230" s="247" t="s">
        <v>356</v>
      </c>
      <c r="B230" s="247" t="s">
        <v>232</v>
      </c>
      <c r="C230" s="247" t="s">
        <v>234</v>
      </c>
      <c r="D230" s="261">
        <v>43232313</v>
      </c>
      <c r="E230" s="249" t="s">
        <v>760</v>
      </c>
      <c r="F230" s="247" t="s">
        <v>761</v>
      </c>
      <c r="G230" s="250" t="s">
        <v>66</v>
      </c>
      <c r="H230" s="250" t="s">
        <v>66</v>
      </c>
      <c r="I230" s="251">
        <v>365</v>
      </c>
      <c r="J230" s="252" t="s">
        <v>359</v>
      </c>
      <c r="K230" s="253">
        <v>59700000</v>
      </c>
      <c r="L230" s="254">
        <v>0.19</v>
      </c>
      <c r="M230" s="255">
        <v>11343000</v>
      </c>
      <c r="N230" s="256">
        <v>71043000</v>
      </c>
      <c r="O230" s="257" t="s">
        <v>365</v>
      </c>
      <c r="P230" s="258" t="s">
        <v>91</v>
      </c>
      <c r="Q230" s="259">
        <v>71043000</v>
      </c>
      <c r="R230" s="259">
        <v>0</v>
      </c>
      <c r="S230" s="259">
        <v>0</v>
      </c>
      <c r="T230" s="259">
        <v>0</v>
      </c>
      <c r="U230" s="247" t="s">
        <v>762</v>
      </c>
    </row>
    <row r="231" spans="1:21" ht="41.4" customHeight="1" x14ac:dyDescent="0.35">
      <c r="A231" s="247" t="s">
        <v>356</v>
      </c>
      <c r="B231" s="247" t="s">
        <v>232</v>
      </c>
      <c r="C231" s="247" t="s">
        <v>87</v>
      </c>
      <c r="D231" s="261">
        <v>86141501</v>
      </c>
      <c r="E231" s="249" t="s">
        <v>763</v>
      </c>
      <c r="F231" s="247" t="s">
        <v>764</v>
      </c>
      <c r="G231" s="250" t="s">
        <v>75</v>
      </c>
      <c r="H231" s="277" t="s">
        <v>74</v>
      </c>
      <c r="I231" s="251">
        <v>31</v>
      </c>
      <c r="J231" s="252" t="s">
        <v>470</v>
      </c>
      <c r="K231" s="253">
        <v>1500000</v>
      </c>
      <c r="L231" s="254">
        <v>0.19</v>
      </c>
      <c r="M231" s="255">
        <v>285000</v>
      </c>
      <c r="N231" s="256">
        <v>1785000</v>
      </c>
      <c r="O231" s="257" t="s">
        <v>365</v>
      </c>
      <c r="P231" s="258" t="s">
        <v>91</v>
      </c>
      <c r="Q231" s="259">
        <v>1785000</v>
      </c>
      <c r="R231" s="259">
        <v>0</v>
      </c>
      <c r="S231" s="259">
        <v>0</v>
      </c>
      <c r="T231" s="259">
        <v>0</v>
      </c>
      <c r="U231" s="247" t="s">
        <v>765</v>
      </c>
    </row>
    <row r="232" spans="1:21" ht="41.4" customHeight="1" x14ac:dyDescent="0.35">
      <c r="A232" s="247" t="s">
        <v>356</v>
      </c>
      <c r="B232" s="247" t="s">
        <v>232</v>
      </c>
      <c r="C232" s="247" t="s">
        <v>87</v>
      </c>
      <c r="D232" s="261">
        <v>60105200</v>
      </c>
      <c r="E232" s="249" t="s">
        <v>766</v>
      </c>
      <c r="F232" s="247" t="s">
        <v>767</v>
      </c>
      <c r="G232" s="264" t="s">
        <v>71</v>
      </c>
      <c r="H232" s="250" t="s">
        <v>72</v>
      </c>
      <c r="I232" s="251">
        <v>365</v>
      </c>
      <c r="J232" s="252" t="s">
        <v>359</v>
      </c>
      <c r="K232" s="253">
        <v>150000000</v>
      </c>
      <c r="L232" s="254">
        <v>0.19</v>
      </c>
      <c r="M232" s="255">
        <v>28500000</v>
      </c>
      <c r="N232" s="256">
        <v>178500000</v>
      </c>
      <c r="O232" s="257" t="s">
        <v>360</v>
      </c>
      <c r="P232" s="258" t="s">
        <v>361</v>
      </c>
      <c r="Q232" s="259">
        <v>100596688.08</v>
      </c>
      <c r="R232" s="259">
        <v>77903311.920000002</v>
      </c>
      <c r="S232" s="259">
        <v>0</v>
      </c>
      <c r="T232" s="259">
        <v>0</v>
      </c>
      <c r="U232" s="247" t="s">
        <v>768</v>
      </c>
    </row>
    <row r="233" spans="1:21" ht="41.4" customHeight="1" x14ac:dyDescent="0.35">
      <c r="A233" s="247" t="s">
        <v>356</v>
      </c>
      <c r="B233" s="247" t="s">
        <v>232</v>
      </c>
      <c r="C233" s="247" t="s">
        <v>87</v>
      </c>
      <c r="D233" s="261">
        <v>43232408</v>
      </c>
      <c r="E233" s="249" t="s">
        <v>769</v>
      </c>
      <c r="F233" s="247" t="s">
        <v>770</v>
      </c>
      <c r="G233" s="250" t="s">
        <v>66</v>
      </c>
      <c r="H233" s="250" t="s">
        <v>66</v>
      </c>
      <c r="I233" s="251">
        <v>365</v>
      </c>
      <c r="J233" s="252" t="s">
        <v>359</v>
      </c>
      <c r="K233" s="253">
        <v>27579991</v>
      </c>
      <c r="L233" s="272">
        <v>0.19</v>
      </c>
      <c r="M233" s="278">
        <v>4591763</v>
      </c>
      <c r="N233" s="256">
        <v>32171754</v>
      </c>
      <c r="O233" s="257" t="s">
        <v>365</v>
      </c>
      <c r="P233" s="258" t="s">
        <v>91</v>
      </c>
      <c r="Q233" s="259">
        <v>32171754</v>
      </c>
      <c r="R233" s="259">
        <v>0</v>
      </c>
      <c r="S233" s="259">
        <v>0</v>
      </c>
      <c r="T233" s="259">
        <v>0</v>
      </c>
      <c r="U233" s="247" t="s">
        <v>768</v>
      </c>
    </row>
    <row r="234" spans="1:21" ht="41.4" customHeight="1" x14ac:dyDescent="0.35">
      <c r="A234" s="247" t="s">
        <v>356</v>
      </c>
      <c r="B234" s="247" t="s">
        <v>232</v>
      </c>
      <c r="C234" s="247" t="s">
        <v>87</v>
      </c>
      <c r="D234" s="261">
        <v>80141605</v>
      </c>
      <c r="E234" s="249" t="s">
        <v>771</v>
      </c>
      <c r="F234" s="247" t="s">
        <v>772</v>
      </c>
      <c r="G234" s="250" t="s">
        <v>72</v>
      </c>
      <c r="H234" s="250" t="s">
        <v>73</v>
      </c>
      <c r="I234" s="251">
        <v>31</v>
      </c>
      <c r="J234" s="252" t="s">
        <v>359</v>
      </c>
      <c r="K234" s="253">
        <v>80000000</v>
      </c>
      <c r="L234" s="254">
        <v>0.19</v>
      </c>
      <c r="M234" s="255">
        <v>15200000</v>
      </c>
      <c r="N234" s="256">
        <v>95200000</v>
      </c>
      <c r="O234" s="257" t="s">
        <v>365</v>
      </c>
      <c r="P234" s="258" t="s">
        <v>91</v>
      </c>
      <c r="Q234" s="259">
        <v>95200000</v>
      </c>
      <c r="R234" s="259">
        <v>0</v>
      </c>
      <c r="S234" s="259">
        <v>0</v>
      </c>
      <c r="T234" s="259">
        <v>0</v>
      </c>
      <c r="U234" s="247" t="s">
        <v>773</v>
      </c>
    </row>
    <row r="235" spans="1:21" ht="41.4" customHeight="1" x14ac:dyDescent="0.35">
      <c r="A235" s="247" t="s">
        <v>356</v>
      </c>
      <c r="B235" s="247" t="s">
        <v>232</v>
      </c>
      <c r="C235" s="247" t="s">
        <v>87</v>
      </c>
      <c r="D235" s="261">
        <v>80141626</v>
      </c>
      <c r="E235" s="249" t="s">
        <v>774</v>
      </c>
      <c r="F235" s="247" t="s">
        <v>775</v>
      </c>
      <c r="G235" s="264" t="s">
        <v>68</v>
      </c>
      <c r="H235" s="250" t="s">
        <v>69</v>
      </c>
      <c r="I235" s="251">
        <v>240</v>
      </c>
      <c r="J235" s="252" t="s">
        <v>381</v>
      </c>
      <c r="K235" s="253">
        <v>150000000</v>
      </c>
      <c r="L235" s="254">
        <v>0.19</v>
      </c>
      <c r="M235" s="255">
        <v>28500000</v>
      </c>
      <c r="N235" s="256">
        <v>178500000</v>
      </c>
      <c r="O235" s="257" t="s">
        <v>365</v>
      </c>
      <c r="P235" s="258" t="s">
        <v>91</v>
      </c>
      <c r="Q235" s="259">
        <v>178500000</v>
      </c>
      <c r="R235" s="259">
        <v>0</v>
      </c>
      <c r="S235" s="259">
        <v>0</v>
      </c>
      <c r="T235" s="259">
        <v>0</v>
      </c>
      <c r="U235" s="247" t="s">
        <v>776</v>
      </c>
    </row>
    <row r="236" spans="1:21" ht="41.4" customHeight="1" x14ac:dyDescent="0.35">
      <c r="A236" s="247" t="s">
        <v>356</v>
      </c>
      <c r="B236" s="247" t="s">
        <v>232</v>
      </c>
      <c r="C236" s="247" t="s">
        <v>87</v>
      </c>
      <c r="D236" s="261">
        <v>81112001</v>
      </c>
      <c r="E236" s="249" t="s">
        <v>719</v>
      </c>
      <c r="F236" s="266" t="s">
        <v>777</v>
      </c>
      <c r="G236" s="277" t="s">
        <v>77</v>
      </c>
      <c r="H236" s="277" t="s">
        <v>66</v>
      </c>
      <c r="I236" s="251">
        <v>1095</v>
      </c>
      <c r="J236" s="252" t="s">
        <v>359</v>
      </c>
      <c r="K236" s="253">
        <v>160121541</v>
      </c>
      <c r="L236" s="254">
        <v>0.19</v>
      </c>
      <c r="M236" s="255">
        <v>30423092.789999999</v>
      </c>
      <c r="N236" s="256">
        <v>190544633.78999999</v>
      </c>
      <c r="O236" s="257" t="s">
        <v>360</v>
      </c>
      <c r="P236" s="258" t="s">
        <v>374</v>
      </c>
      <c r="Q236" s="259">
        <v>61756270.939999998</v>
      </c>
      <c r="R236" s="259">
        <v>64004111.919999994</v>
      </c>
      <c r="S236" s="259">
        <v>64784250.93</v>
      </c>
      <c r="T236" s="259">
        <v>0</v>
      </c>
      <c r="U236" s="247" t="s">
        <v>778</v>
      </c>
    </row>
    <row r="237" spans="1:21" ht="41.4" customHeight="1" x14ac:dyDescent="0.35">
      <c r="A237" s="247" t="s">
        <v>356</v>
      </c>
      <c r="B237" s="247" t="s">
        <v>232</v>
      </c>
      <c r="C237" s="247" t="s">
        <v>87</v>
      </c>
      <c r="D237" s="261">
        <v>86141501</v>
      </c>
      <c r="E237" s="249" t="s">
        <v>763</v>
      </c>
      <c r="F237" s="247" t="s">
        <v>779</v>
      </c>
      <c r="G237" s="250" t="s">
        <v>66</v>
      </c>
      <c r="H237" s="250" t="s">
        <v>66</v>
      </c>
      <c r="I237" s="251">
        <v>300</v>
      </c>
      <c r="J237" s="252" t="s">
        <v>359</v>
      </c>
      <c r="K237" s="253">
        <v>51662353</v>
      </c>
      <c r="L237" s="254">
        <v>0.19</v>
      </c>
      <c r="M237" s="255">
        <v>9815847.0700000003</v>
      </c>
      <c r="N237" s="256">
        <v>61478200.07</v>
      </c>
      <c r="O237" s="257" t="s">
        <v>365</v>
      </c>
      <c r="P237" s="258" t="s">
        <v>91</v>
      </c>
      <c r="Q237" s="259">
        <v>61478200</v>
      </c>
      <c r="R237" s="259">
        <v>0</v>
      </c>
      <c r="S237" s="259">
        <v>0</v>
      </c>
      <c r="T237" s="259">
        <v>0</v>
      </c>
      <c r="U237" s="247" t="s">
        <v>768</v>
      </c>
    </row>
    <row r="238" spans="1:21" ht="41.4" customHeight="1" x14ac:dyDescent="0.35">
      <c r="A238" s="247" t="s">
        <v>356</v>
      </c>
      <c r="B238" s="247" t="s">
        <v>232</v>
      </c>
      <c r="C238" s="247" t="s">
        <v>87</v>
      </c>
      <c r="D238" s="261">
        <v>80141626</v>
      </c>
      <c r="E238" s="249" t="s">
        <v>774</v>
      </c>
      <c r="F238" s="247" t="s">
        <v>780</v>
      </c>
      <c r="G238" s="250" t="s">
        <v>66</v>
      </c>
      <c r="H238" s="250" t="s">
        <v>66</v>
      </c>
      <c r="I238" s="251">
        <v>330</v>
      </c>
      <c r="J238" s="252" t="s">
        <v>359</v>
      </c>
      <c r="K238" s="253">
        <v>70000000</v>
      </c>
      <c r="L238" s="254">
        <v>0.19</v>
      </c>
      <c r="M238" s="255">
        <v>13300000</v>
      </c>
      <c r="N238" s="256">
        <v>83300000</v>
      </c>
      <c r="O238" s="257" t="s">
        <v>365</v>
      </c>
      <c r="P238" s="258" t="s">
        <v>91</v>
      </c>
      <c r="Q238" s="259">
        <v>83300000</v>
      </c>
      <c r="R238" s="259">
        <v>0</v>
      </c>
      <c r="S238" s="259">
        <v>0</v>
      </c>
      <c r="T238" s="259">
        <v>0</v>
      </c>
      <c r="U238" s="247" t="s">
        <v>781</v>
      </c>
    </row>
    <row r="239" spans="1:21" ht="41.5" hidden="1" customHeight="1" x14ac:dyDescent="0.35">
      <c r="A239" s="247" t="s">
        <v>356</v>
      </c>
      <c r="B239" s="247" t="s">
        <v>232</v>
      </c>
      <c r="C239" s="247" t="s">
        <v>782</v>
      </c>
      <c r="D239" s="261">
        <v>80141605</v>
      </c>
      <c r="E239" s="249" t="s">
        <v>771</v>
      </c>
      <c r="F239" s="247" t="s">
        <v>783</v>
      </c>
      <c r="G239" s="250" t="s">
        <v>67</v>
      </c>
      <c r="H239" s="250" t="s">
        <v>69</v>
      </c>
      <c r="I239" s="251">
        <v>30</v>
      </c>
      <c r="J239" s="252" t="s">
        <v>381</v>
      </c>
      <c r="K239" s="253">
        <v>110000000</v>
      </c>
      <c r="L239" s="254">
        <v>0.19</v>
      </c>
      <c r="M239" s="255">
        <v>20900000</v>
      </c>
      <c r="N239" s="256">
        <v>130900000</v>
      </c>
      <c r="O239" s="257" t="s">
        <v>365</v>
      </c>
      <c r="P239" s="258" t="s">
        <v>91</v>
      </c>
      <c r="Q239" s="259">
        <v>130900000</v>
      </c>
      <c r="R239" s="259">
        <v>0</v>
      </c>
      <c r="S239" s="259">
        <v>0</v>
      </c>
      <c r="T239" s="259">
        <v>0</v>
      </c>
      <c r="U239" s="247" t="s">
        <v>784</v>
      </c>
    </row>
    <row r="240" spans="1:21" ht="41.5" hidden="1" customHeight="1" x14ac:dyDescent="0.35">
      <c r="A240" s="247" t="s">
        <v>356</v>
      </c>
      <c r="B240" s="247" t="s">
        <v>232</v>
      </c>
      <c r="C240" s="247" t="s">
        <v>782</v>
      </c>
      <c r="D240" s="261">
        <v>80141902</v>
      </c>
      <c r="E240" s="249" t="s">
        <v>785</v>
      </c>
      <c r="F240" s="279" t="s">
        <v>786</v>
      </c>
      <c r="G240" s="263" t="s">
        <v>66</v>
      </c>
      <c r="H240" s="263" t="s">
        <v>66</v>
      </c>
      <c r="I240" s="251">
        <v>8</v>
      </c>
      <c r="J240" s="252" t="s">
        <v>359</v>
      </c>
      <c r="K240" s="253">
        <v>98500000</v>
      </c>
      <c r="L240" s="254">
        <v>0.19</v>
      </c>
      <c r="M240" s="255">
        <v>18715000</v>
      </c>
      <c r="N240" s="256">
        <v>117215000</v>
      </c>
      <c r="O240" s="257" t="s">
        <v>365</v>
      </c>
      <c r="P240" s="258" t="s">
        <v>91</v>
      </c>
      <c r="Q240" s="259">
        <v>117215000</v>
      </c>
      <c r="R240" s="259">
        <v>0</v>
      </c>
      <c r="S240" s="259">
        <v>0</v>
      </c>
      <c r="T240" s="259">
        <v>0</v>
      </c>
      <c r="U240" s="247" t="s">
        <v>787</v>
      </c>
    </row>
    <row r="241" spans="1:21" ht="41.5" hidden="1" customHeight="1" x14ac:dyDescent="0.35">
      <c r="A241" s="247" t="s">
        <v>356</v>
      </c>
      <c r="B241" s="247" t="s">
        <v>232</v>
      </c>
      <c r="C241" s="247" t="s">
        <v>788</v>
      </c>
      <c r="D241" s="261">
        <v>80141500</v>
      </c>
      <c r="E241" s="249" t="s">
        <v>789</v>
      </c>
      <c r="F241" s="247" t="s">
        <v>790</v>
      </c>
      <c r="G241" s="250" t="s">
        <v>75</v>
      </c>
      <c r="H241" s="277" t="s">
        <v>74</v>
      </c>
      <c r="I241" s="251">
        <v>730</v>
      </c>
      <c r="J241" s="252" t="s">
        <v>381</v>
      </c>
      <c r="K241" s="253">
        <v>421923491</v>
      </c>
      <c r="L241" s="254">
        <v>0.19</v>
      </c>
      <c r="M241" s="255">
        <v>80165463.290000007</v>
      </c>
      <c r="N241" s="256">
        <v>502088954.29000002</v>
      </c>
      <c r="O241" s="257" t="s">
        <v>360</v>
      </c>
      <c r="P241" s="258" t="s">
        <v>361</v>
      </c>
      <c r="Q241" s="259">
        <v>218514259</v>
      </c>
      <c r="R241" s="259">
        <v>225506716</v>
      </c>
      <c r="S241" s="259">
        <v>58067979</v>
      </c>
      <c r="T241" s="259">
        <v>0</v>
      </c>
      <c r="U241" s="247" t="s">
        <v>791</v>
      </c>
    </row>
    <row r="242" spans="1:21" ht="41.5" hidden="1" customHeight="1" x14ac:dyDescent="0.35">
      <c r="A242" s="247" t="s">
        <v>356</v>
      </c>
      <c r="B242" s="247" t="s">
        <v>232</v>
      </c>
      <c r="C242" s="247" t="s">
        <v>788</v>
      </c>
      <c r="D242" s="261">
        <v>55101519</v>
      </c>
      <c r="E242" s="249" t="s">
        <v>721</v>
      </c>
      <c r="F242" s="247" t="s">
        <v>792</v>
      </c>
      <c r="G242" s="250" t="s">
        <v>66</v>
      </c>
      <c r="H242" s="250" t="s">
        <v>69</v>
      </c>
      <c r="I242" s="251">
        <v>120</v>
      </c>
      <c r="J242" s="252" t="s">
        <v>359</v>
      </c>
      <c r="K242" s="253">
        <v>12500000</v>
      </c>
      <c r="L242" s="254">
        <v>0.19</v>
      </c>
      <c r="M242" s="255">
        <v>2375000</v>
      </c>
      <c r="N242" s="256">
        <v>14875000</v>
      </c>
      <c r="O242" s="257" t="s">
        <v>365</v>
      </c>
      <c r="P242" s="258" t="s">
        <v>91</v>
      </c>
      <c r="Q242" s="259">
        <v>14875000</v>
      </c>
      <c r="R242" s="259">
        <v>0</v>
      </c>
      <c r="S242" s="259">
        <v>0</v>
      </c>
      <c r="T242" s="259">
        <v>0</v>
      </c>
      <c r="U242" s="247" t="s">
        <v>791</v>
      </c>
    </row>
    <row r="243" spans="1:21" ht="41.5" hidden="1" customHeight="1" x14ac:dyDescent="0.35">
      <c r="A243" s="247" t="s">
        <v>356</v>
      </c>
      <c r="B243" s="247" t="s">
        <v>232</v>
      </c>
      <c r="C243" s="247" t="s">
        <v>788</v>
      </c>
      <c r="D243" s="261">
        <v>81112501</v>
      </c>
      <c r="E243" s="249" t="s">
        <v>572</v>
      </c>
      <c r="F243" s="247" t="s">
        <v>793</v>
      </c>
      <c r="G243" s="250" t="s">
        <v>68</v>
      </c>
      <c r="H243" s="250" t="s">
        <v>71</v>
      </c>
      <c r="I243" s="251">
        <v>730</v>
      </c>
      <c r="J243" s="252" t="s">
        <v>373</v>
      </c>
      <c r="K243" s="253">
        <v>2953309200</v>
      </c>
      <c r="L243" s="254">
        <v>0</v>
      </c>
      <c r="M243" s="255">
        <v>0</v>
      </c>
      <c r="N243" s="256">
        <v>2953309200</v>
      </c>
      <c r="O243" s="257" t="s">
        <v>360</v>
      </c>
      <c r="P243" s="258" t="s">
        <v>361</v>
      </c>
      <c r="Q243" s="265">
        <v>1434199740</v>
      </c>
      <c r="R243" s="265">
        <v>1589224500</v>
      </c>
      <c r="S243" s="265">
        <v>0</v>
      </c>
      <c r="T243" s="265">
        <v>0</v>
      </c>
      <c r="U243" s="247" t="s">
        <v>794</v>
      </c>
    </row>
    <row r="244" spans="1:21" ht="41.5" hidden="1" customHeight="1" x14ac:dyDescent="0.35">
      <c r="A244" s="280" t="s">
        <v>795</v>
      </c>
      <c r="B244" s="247" t="s">
        <v>232</v>
      </c>
      <c r="C244" s="280" t="s">
        <v>796</v>
      </c>
      <c r="D244" s="261">
        <v>80141902</v>
      </c>
      <c r="E244" s="281" t="s">
        <v>785</v>
      </c>
      <c r="F244" s="247" t="s">
        <v>797</v>
      </c>
      <c r="G244" s="252" t="s">
        <v>71</v>
      </c>
      <c r="H244" s="252" t="s">
        <v>71</v>
      </c>
      <c r="I244" s="282">
        <v>1</v>
      </c>
      <c r="J244" s="252" t="s">
        <v>470</v>
      </c>
      <c r="K244" s="253">
        <v>1500000</v>
      </c>
      <c r="L244" s="254">
        <v>0</v>
      </c>
      <c r="M244" s="255">
        <v>0</v>
      </c>
      <c r="N244" s="255">
        <v>1500000</v>
      </c>
      <c r="O244" s="257" t="s">
        <v>365</v>
      </c>
      <c r="P244" s="258" t="s">
        <v>91</v>
      </c>
      <c r="Q244" s="259">
        <v>1500000</v>
      </c>
      <c r="R244" s="259">
        <v>0</v>
      </c>
      <c r="S244" s="259">
        <v>0</v>
      </c>
      <c r="T244" s="259">
        <v>0</v>
      </c>
      <c r="U244" s="280" t="s">
        <v>798</v>
      </c>
    </row>
    <row r="245" spans="1:21" ht="41.5" hidden="1" customHeight="1" x14ac:dyDescent="0.35">
      <c r="A245" s="280" t="s">
        <v>795</v>
      </c>
      <c r="B245" s="247" t="s">
        <v>232</v>
      </c>
      <c r="C245" s="280" t="s">
        <v>796</v>
      </c>
      <c r="D245" s="261">
        <v>72101507</v>
      </c>
      <c r="E245" s="281" t="s">
        <v>799</v>
      </c>
      <c r="F245" s="247" t="s">
        <v>800</v>
      </c>
      <c r="G245" s="252" t="s">
        <v>72</v>
      </c>
      <c r="H245" s="252" t="s">
        <v>72</v>
      </c>
      <c r="I245" s="283">
        <v>30</v>
      </c>
      <c r="J245" s="252" t="s">
        <v>359</v>
      </c>
      <c r="K245" s="253">
        <v>25000000</v>
      </c>
      <c r="L245" s="254">
        <v>0.19</v>
      </c>
      <c r="M245" s="255">
        <v>4750000</v>
      </c>
      <c r="N245" s="255">
        <v>29750000</v>
      </c>
      <c r="O245" s="257" t="s">
        <v>365</v>
      </c>
      <c r="P245" s="258" t="s">
        <v>91</v>
      </c>
      <c r="Q245" s="259">
        <v>29750000</v>
      </c>
      <c r="R245" s="259">
        <v>0</v>
      </c>
      <c r="S245" s="259">
        <v>0</v>
      </c>
      <c r="T245" s="259">
        <v>0</v>
      </c>
      <c r="U245" s="280" t="s">
        <v>798</v>
      </c>
    </row>
    <row r="246" spans="1:21" ht="41.5" hidden="1" customHeight="1" x14ac:dyDescent="0.35">
      <c r="A246" s="280" t="s">
        <v>795</v>
      </c>
      <c r="B246" s="247" t="s">
        <v>232</v>
      </c>
      <c r="C246" s="280" t="s">
        <v>796</v>
      </c>
      <c r="D246" s="261">
        <v>40101701</v>
      </c>
      <c r="E246" s="281" t="s">
        <v>801</v>
      </c>
      <c r="F246" s="284" t="s">
        <v>802</v>
      </c>
      <c r="G246" s="252" t="s">
        <v>72</v>
      </c>
      <c r="H246" s="252" t="s">
        <v>72</v>
      </c>
      <c r="I246" s="283">
        <v>30</v>
      </c>
      <c r="J246" s="252" t="s">
        <v>470</v>
      </c>
      <c r="K246" s="253">
        <v>4000000</v>
      </c>
      <c r="L246" s="254">
        <v>0.19</v>
      </c>
      <c r="M246" s="255">
        <v>760000</v>
      </c>
      <c r="N246" s="255">
        <v>4760000</v>
      </c>
      <c r="O246" s="257" t="s">
        <v>365</v>
      </c>
      <c r="P246" s="258" t="s">
        <v>91</v>
      </c>
      <c r="Q246" s="259">
        <v>4760000</v>
      </c>
      <c r="R246" s="259">
        <v>0</v>
      </c>
      <c r="S246" s="259">
        <v>0</v>
      </c>
      <c r="T246" s="259">
        <v>0</v>
      </c>
      <c r="U246" s="280" t="s">
        <v>798</v>
      </c>
    </row>
    <row r="247" spans="1:21" ht="41.5" hidden="1" customHeight="1" x14ac:dyDescent="0.35">
      <c r="A247" s="280" t="s">
        <v>795</v>
      </c>
      <c r="B247" s="247" t="s">
        <v>232</v>
      </c>
      <c r="C247" s="280" t="s">
        <v>796</v>
      </c>
      <c r="D247" s="261">
        <v>52141502</v>
      </c>
      <c r="E247" s="281" t="s">
        <v>803</v>
      </c>
      <c r="F247" s="284" t="s">
        <v>804</v>
      </c>
      <c r="G247" s="252" t="s">
        <v>72</v>
      </c>
      <c r="H247" s="252" t="s">
        <v>72</v>
      </c>
      <c r="I247" s="283">
        <v>30</v>
      </c>
      <c r="J247" s="252" t="s">
        <v>470</v>
      </c>
      <c r="K247" s="253">
        <v>3500000</v>
      </c>
      <c r="L247" s="254">
        <v>0.19</v>
      </c>
      <c r="M247" s="255">
        <v>665000</v>
      </c>
      <c r="N247" s="255">
        <v>4165000</v>
      </c>
      <c r="O247" s="257" t="s">
        <v>365</v>
      </c>
      <c r="P247" s="258" t="s">
        <v>91</v>
      </c>
      <c r="Q247" s="259">
        <v>4165000</v>
      </c>
      <c r="R247" s="259">
        <v>0</v>
      </c>
      <c r="S247" s="259">
        <v>0</v>
      </c>
      <c r="T247" s="259">
        <v>0</v>
      </c>
      <c r="U247" s="280" t="s">
        <v>798</v>
      </c>
    </row>
    <row r="248" spans="1:21" ht="41.5" hidden="1" customHeight="1" x14ac:dyDescent="0.35">
      <c r="A248" s="280" t="s">
        <v>795</v>
      </c>
      <c r="B248" s="247" t="s">
        <v>232</v>
      </c>
      <c r="C248" s="280" t="s">
        <v>796</v>
      </c>
      <c r="D248" s="261">
        <v>80141902</v>
      </c>
      <c r="E248" s="281" t="s">
        <v>785</v>
      </c>
      <c r="F248" s="247" t="s">
        <v>805</v>
      </c>
      <c r="G248" s="252" t="s">
        <v>73</v>
      </c>
      <c r="H248" s="252" t="s">
        <v>73</v>
      </c>
      <c r="I248" s="282">
        <v>1</v>
      </c>
      <c r="J248" s="252" t="s">
        <v>470</v>
      </c>
      <c r="K248" s="253">
        <v>1500000</v>
      </c>
      <c r="L248" s="254">
        <v>0</v>
      </c>
      <c r="M248" s="255">
        <v>0</v>
      </c>
      <c r="N248" s="255">
        <v>1500000</v>
      </c>
      <c r="O248" s="257" t="s">
        <v>365</v>
      </c>
      <c r="P248" s="258" t="s">
        <v>91</v>
      </c>
      <c r="Q248" s="259">
        <v>1500000</v>
      </c>
      <c r="R248" s="259">
        <v>0</v>
      </c>
      <c r="S248" s="259">
        <v>0</v>
      </c>
      <c r="T248" s="259">
        <v>0</v>
      </c>
      <c r="U248" s="280" t="s">
        <v>798</v>
      </c>
    </row>
    <row r="249" spans="1:21" ht="41.5" hidden="1" customHeight="1" x14ac:dyDescent="0.35">
      <c r="A249" s="280" t="s">
        <v>795</v>
      </c>
      <c r="B249" s="247" t="s">
        <v>232</v>
      </c>
      <c r="C249" s="280" t="s">
        <v>796</v>
      </c>
      <c r="D249" s="261">
        <v>80141902</v>
      </c>
      <c r="E249" s="281" t="s">
        <v>785</v>
      </c>
      <c r="F249" s="260" t="s">
        <v>806</v>
      </c>
      <c r="G249" s="252" t="s">
        <v>77</v>
      </c>
      <c r="H249" s="252" t="s">
        <v>77</v>
      </c>
      <c r="I249" s="282">
        <v>1</v>
      </c>
      <c r="J249" s="252" t="s">
        <v>470</v>
      </c>
      <c r="K249" s="253">
        <v>1900000</v>
      </c>
      <c r="L249" s="254">
        <v>0</v>
      </c>
      <c r="M249" s="255">
        <v>0</v>
      </c>
      <c r="N249" s="255">
        <v>1900000</v>
      </c>
      <c r="O249" s="257" t="s">
        <v>365</v>
      </c>
      <c r="P249" s="258" t="s">
        <v>91</v>
      </c>
      <c r="Q249" s="259">
        <v>1900000</v>
      </c>
      <c r="R249" s="259">
        <v>0</v>
      </c>
      <c r="S249" s="259">
        <v>0</v>
      </c>
      <c r="T249" s="259">
        <v>0</v>
      </c>
      <c r="U249" s="280" t="s">
        <v>798</v>
      </c>
    </row>
    <row r="250" spans="1:21" ht="41.5" hidden="1" customHeight="1" x14ac:dyDescent="0.35">
      <c r="A250" s="280" t="s">
        <v>795</v>
      </c>
      <c r="B250" s="247" t="s">
        <v>232</v>
      </c>
      <c r="C250" s="280" t="s">
        <v>796</v>
      </c>
      <c r="D250" s="261">
        <v>80141902</v>
      </c>
      <c r="E250" s="281" t="s">
        <v>785</v>
      </c>
      <c r="F250" s="260" t="s">
        <v>807</v>
      </c>
      <c r="G250" s="263" t="s">
        <v>66</v>
      </c>
      <c r="H250" s="252" t="s">
        <v>66</v>
      </c>
      <c r="I250" s="282">
        <v>70</v>
      </c>
      <c r="J250" s="252" t="s">
        <v>470</v>
      </c>
      <c r="K250" s="253">
        <v>1572000</v>
      </c>
      <c r="L250" s="254">
        <v>0.19</v>
      </c>
      <c r="M250" s="255">
        <v>298680</v>
      </c>
      <c r="N250" s="255">
        <v>1870680</v>
      </c>
      <c r="O250" s="257" t="s">
        <v>365</v>
      </c>
      <c r="P250" s="258" t="s">
        <v>91</v>
      </c>
      <c r="Q250" s="259">
        <v>1870680</v>
      </c>
      <c r="R250" s="259">
        <v>0</v>
      </c>
      <c r="S250" s="259">
        <v>0</v>
      </c>
      <c r="T250" s="259">
        <v>0</v>
      </c>
      <c r="U250" s="280" t="s">
        <v>808</v>
      </c>
    </row>
    <row r="251" spans="1:21" ht="41.5" hidden="1" customHeight="1" x14ac:dyDescent="0.35">
      <c r="A251" s="280" t="s">
        <v>795</v>
      </c>
      <c r="B251" s="247" t="s">
        <v>232</v>
      </c>
      <c r="C251" s="280" t="s">
        <v>796</v>
      </c>
      <c r="D251" s="261">
        <v>80141902</v>
      </c>
      <c r="E251" s="281" t="s">
        <v>785</v>
      </c>
      <c r="F251" s="260" t="s">
        <v>809</v>
      </c>
      <c r="G251" s="252" t="s">
        <v>76</v>
      </c>
      <c r="H251" s="252" t="s">
        <v>76</v>
      </c>
      <c r="I251" s="282">
        <v>30</v>
      </c>
      <c r="J251" s="252" t="s">
        <v>470</v>
      </c>
      <c r="K251" s="253">
        <v>1572000</v>
      </c>
      <c r="L251" s="254">
        <v>0.19</v>
      </c>
      <c r="M251" s="255">
        <v>298680</v>
      </c>
      <c r="N251" s="255">
        <v>1870680</v>
      </c>
      <c r="O251" s="257" t="s">
        <v>365</v>
      </c>
      <c r="P251" s="258" t="s">
        <v>91</v>
      </c>
      <c r="Q251" s="259">
        <v>1870680</v>
      </c>
      <c r="R251" s="259">
        <v>0</v>
      </c>
      <c r="S251" s="259">
        <v>0</v>
      </c>
      <c r="T251" s="259">
        <v>0</v>
      </c>
      <c r="U251" s="280" t="s">
        <v>808</v>
      </c>
    </row>
    <row r="252" spans="1:21" ht="41.5" hidden="1" customHeight="1" x14ac:dyDescent="0.35">
      <c r="A252" s="280" t="s">
        <v>795</v>
      </c>
      <c r="B252" s="247" t="s">
        <v>232</v>
      </c>
      <c r="C252" s="247" t="s">
        <v>810</v>
      </c>
      <c r="D252" s="263">
        <v>72101511</v>
      </c>
      <c r="E252" s="249" t="s">
        <v>811</v>
      </c>
      <c r="F252" s="284" t="s">
        <v>812</v>
      </c>
      <c r="G252" s="285" t="s">
        <v>66</v>
      </c>
      <c r="H252" s="285" t="s">
        <v>66</v>
      </c>
      <c r="I252" s="250">
        <v>365</v>
      </c>
      <c r="J252" s="285" t="s">
        <v>359</v>
      </c>
      <c r="K252" s="253">
        <v>9630738</v>
      </c>
      <c r="L252" s="254">
        <v>0.19</v>
      </c>
      <c r="M252" s="255">
        <v>1829840.22</v>
      </c>
      <c r="N252" s="256">
        <v>11460578.220000001</v>
      </c>
      <c r="O252" s="257" t="s">
        <v>365</v>
      </c>
      <c r="P252" s="258" t="s">
        <v>91</v>
      </c>
      <c r="Q252" s="259">
        <v>11460578</v>
      </c>
      <c r="R252" s="259">
        <v>0</v>
      </c>
      <c r="S252" s="259">
        <v>0</v>
      </c>
      <c r="T252" s="259">
        <v>0</v>
      </c>
      <c r="U252" s="247" t="s">
        <v>813</v>
      </c>
    </row>
    <row r="253" spans="1:21" ht="41.5" hidden="1" customHeight="1" x14ac:dyDescent="0.35">
      <c r="A253" s="280" t="s">
        <v>795</v>
      </c>
      <c r="B253" s="247" t="s">
        <v>232</v>
      </c>
      <c r="C253" s="247" t="s">
        <v>810</v>
      </c>
      <c r="D253" s="263">
        <v>70171701</v>
      </c>
      <c r="E253" s="249" t="s">
        <v>814</v>
      </c>
      <c r="F253" s="247" t="s">
        <v>815</v>
      </c>
      <c r="G253" s="285" t="s">
        <v>75</v>
      </c>
      <c r="H253" s="285" t="s">
        <v>75</v>
      </c>
      <c r="I253" s="285">
        <v>30</v>
      </c>
      <c r="J253" s="285" t="s">
        <v>359</v>
      </c>
      <c r="K253" s="253">
        <v>11000000</v>
      </c>
      <c r="L253" s="254">
        <v>0.19</v>
      </c>
      <c r="M253" s="255">
        <v>2090000</v>
      </c>
      <c r="N253" s="256">
        <v>13090000</v>
      </c>
      <c r="O253" s="257" t="s">
        <v>365</v>
      </c>
      <c r="P253" s="258" t="s">
        <v>91</v>
      </c>
      <c r="Q253" s="259">
        <v>13090000</v>
      </c>
      <c r="R253" s="259">
        <v>0</v>
      </c>
      <c r="S253" s="259">
        <v>0</v>
      </c>
      <c r="T253" s="259">
        <v>0</v>
      </c>
      <c r="U253" s="247" t="s">
        <v>813</v>
      </c>
    </row>
    <row r="254" spans="1:21" ht="41.5" hidden="1" customHeight="1" x14ac:dyDescent="0.35">
      <c r="A254" s="280" t="s">
        <v>795</v>
      </c>
      <c r="B254" s="247" t="s">
        <v>232</v>
      </c>
      <c r="C254" s="247" t="s">
        <v>810</v>
      </c>
      <c r="D254" s="263">
        <v>72101510</v>
      </c>
      <c r="E254" s="249" t="s">
        <v>816</v>
      </c>
      <c r="F254" s="260" t="s">
        <v>817</v>
      </c>
      <c r="G254" s="285" t="s">
        <v>75</v>
      </c>
      <c r="H254" s="285" t="s">
        <v>75</v>
      </c>
      <c r="I254" s="285">
        <v>30</v>
      </c>
      <c r="J254" s="285" t="s">
        <v>470</v>
      </c>
      <c r="K254" s="253">
        <v>3000000</v>
      </c>
      <c r="L254" s="254">
        <v>0.19</v>
      </c>
      <c r="M254" s="255">
        <v>570000</v>
      </c>
      <c r="N254" s="256">
        <v>3570000</v>
      </c>
      <c r="O254" s="257" t="s">
        <v>365</v>
      </c>
      <c r="P254" s="258" t="s">
        <v>91</v>
      </c>
      <c r="Q254" s="259">
        <v>3570000</v>
      </c>
      <c r="R254" s="259">
        <v>0</v>
      </c>
      <c r="S254" s="259">
        <v>0</v>
      </c>
      <c r="T254" s="259">
        <v>0</v>
      </c>
      <c r="U254" s="247" t="s">
        <v>813</v>
      </c>
    </row>
    <row r="255" spans="1:21" ht="41.5" hidden="1" customHeight="1" x14ac:dyDescent="0.35">
      <c r="A255" s="280" t="s">
        <v>795</v>
      </c>
      <c r="B255" s="247" t="s">
        <v>232</v>
      </c>
      <c r="C255" s="247" t="s">
        <v>810</v>
      </c>
      <c r="D255" s="263">
        <v>72151507</v>
      </c>
      <c r="E255" s="249" t="s">
        <v>818</v>
      </c>
      <c r="F255" s="284" t="s">
        <v>819</v>
      </c>
      <c r="G255" s="250" t="s">
        <v>75</v>
      </c>
      <c r="H255" s="250" t="s">
        <v>75</v>
      </c>
      <c r="I255" s="285">
        <v>30</v>
      </c>
      <c r="J255" s="285" t="s">
        <v>470</v>
      </c>
      <c r="K255" s="253">
        <v>5000000</v>
      </c>
      <c r="L255" s="254">
        <v>0.19</v>
      </c>
      <c r="M255" s="255">
        <v>950000</v>
      </c>
      <c r="N255" s="256">
        <v>5950000</v>
      </c>
      <c r="O255" s="257" t="s">
        <v>365</v>
      </c>
      <c r="P255" s="258" t="s">
        <v>91</v>
      </c>
      <c r="Q255" s="259">
        <v>5950000</v>
      </c>
      <c r="R255" s="259">
        <v>0</v>
      </c>
      <c r="S255" s="259">
        <v>0</v>
      </c>
      <c r="T255" s="259">
        <v>0</v>
      </c>
      <c r="U255" s="247" t="s">
        <v>813</v>
      </c>
    </row>
    <row r="256" spans="1:21" ht="41.5" hidden="1" customHeight="1" x14ac:dyDescent="0.35">
      <c r="A256" s="280" t="s">
        <v>795</v>
      </c>
      <c r="B256" s="247" t="s">
        <v>232</v>
      </c>
      <c r="C256" s="247" t="s">
        <v>810</v>
      </c>
      <c r="D256" s="263">
        <v>80141902</v>
      </c>
      <c r="E256" s="249" t="s">
        <v>785</v>
      </c>
      <c r="F256" s="247" t="s">
        <v>820</v>
      </c>
      <c r="G256" s="250" t="s">
        <v>74</v>
      </c>
      <c r="H256" s="250" t="s">
        <v>74</v>
      </c>
      <c r="I256" s="282">
        <v>1</v>
      </c>
      <c r="J256" s="252" t="s">
        <v>470</v>
      </c>
      <c r="K256" s="253">
        <v>2959000</v>
      </c>
      <c r="L256" s="254">
        <v>0.19</v>
      </c>
      <c r="M256" s="255">
        <v>562210</v>
      </c>
      <c r="N256" s="256">
        <v>3521210</v>
      </c>
      <c r="O256" s="257" t="s">
        <v>365</v>
      </c>
      <c r="P256" s="258" t="s">
        <v>91</v>
      </c>
      <c r="Q256" s="259">
        <v>3521210</v>
      </c>
      <c r="R256" s="259">
        <v>0</v>
      </c>
      <c r="S256" s="259">
        <v>0</v>
      </c>
      <c r="T256" s="259">
        <v>0</v>
      </c>
      <c r="U256" s="247" t="s">
        <v>813</v>
      </c>
    </row>
    <row r="257" spans="1:21" ht="41.5" hidden="1" customHeight="1" x14ac:dyDescent="0.35">
      <c r="A257" s="280" t="s">
        <v>795</v>
      </c>
      <c r="B257" s="247" t="s">
        <v>232</v>
      </c>
      <c r="C257" s="247" t="s">
        <v>810</v>
      </c>
      <c r="D257" s="263">
        <v>78181703</v>
      </c>
      <c r="E257" s="249" t="s">
        <v>821</v>
      </c>
      <c r="F257" s="247" t="s">
        <v>822</v>
      </c>
      <c r="G257" s="264" t="s">
        <v>67</v>
      </c>
      <c r="H257" s="250" t="s">
        <v>67</v>
      </c>
      <c r="I257" s="251">
        <v>365</v>
      </c>
      <c r="J257" s="252" t="s">
        <v>470</v>
      </c>
      <c r="K257" s="253">
        <v>3630931</v>
      </c>
      <c r="L257" s="254">
        <v>0.19</v>
      </c>
      <c r="M257" s="255">
        <v>689876.89</v>
      </c>
      <c r="N257" s="256">
        <v>4320807.8899999997</v>
      </c>
      <c r="O257" s="257" t="s">
        <v>365</v>
      </c>
      <c r="P257" s="258" t="s">
        <v>91</v>
      </c>
      <c r="Q257" s="259">
        <v>4320808</v>
      </c>
      <c r="R257" s="259">
        <v>0</v>
      </c>
      <c r="S257" s="259">
        <v>0</v>
      </c>
      <c r="T257" s="259">
        <v>0</v>
      </c>
      <c r="U257" s="247" t="s">
        <v>813</v>
      </c>
    </row>
    <row r="258" spans="1:21" ht="41.5" hidden="1" customHeight="1" x14ac:dyDescent="0.35">
      <c r="A258" s="280" t="s">
        <v>795</v>
      </c>
      <c r="B258" s="247" t="s">
        <v>232</v>
      </c>
      <c r="C258" s="280" t="s">
        <v>810</v>
      </c>
      <c r="D258" s="263">
        <v>80141902</v>
      </c>
      <c r="E258" s="249" t="s">
        <v>785</v>
      </c>
      <c r="F258" s="280" t="s">
        <v>823</v>
      </c>
      <c r="G258" s="252" t="s">
        <v>77</v>
      </c>
      <c r="H258" s="252" t="s">
        <v>77</v>
      </c>
      <c r="I258" s="282">
        <v>1</v>
      </c>
      <c r="J258" s="252" t="s">
        <v>470</v>
      </c>
      <c r="K258" s="253">
        <v>3960000</v>
      </c>
      <c r="L258" s="254">
        <v>0.19</v>
      </c>
      <c r="M258" s="255">
        <v>752400</v>
      </c>
      <c r="N258" s="255">
        <v>4712400</v>
      </c>
      <c r="O258" s="257" t="s">
        <v>365</v>
      </c>
      <c r="P258" s="258" t="s">
        <v>91</v>
      </c>
      <c r="Q258" s="259">
        <v>4712400</v>
      </c>
      <c r="R258" s="259">
        <v>0</v>
      </c>
      <c r="S258" s="259">
        <v>0</v>
      </c>
      <c r="T258" s="259">
        <v>0</v>
      </c>
      <c r="U258" s="280" t="s">
        <v>813</v>
      </c>
    </row>
    <row r="259" spans="1:21" ht="41.5" hidden="1" customHeight="1" x14ac:dyDescent="0.35">
      <c r="A259" s="280" t="s">
        <v>795</v>
      </c>
      <c r="B259" s="247" t="s">
        <v>232</v>
      </c>
      <c r="C259" s="280" t="s">
        <v>810</v>
      </c>
      <c r="D259" s="286">
        <v>80141902</v>
      </c>
      <c r="E259" s="249" t="s">
        <v>785</v>
      </c>
      <c r="F259" s="280" t="s">
        <v>824</v>
      </c>
      <c r="G259" s="287" t="s">
        <v>73</v>
      </c>
      <c r="H259" s="252" t="s">
        <v>73</v>
      </c>
      <c r="I259" s="282">
        <v>1</v>
      </c>
      <c r="J259" s="252" t="s">
        <v>470</v>
      </c>
      <c r="K259" s="253">
        <v>1640000</v>
      </c>
      <c r="L259" s="254">
        <v>0.19</v>
      </c>
      <c r="M259" s="255">
        <v>311600</v>
      </c>
      <c r="N259" s="255">
        <v>1951600</v>
      </c>
      <c r="O259" s="257" t="s">
        <v>365</v>
      </c>
      <c r="P259" s="258" t="s">
        <v>91</v>
      </c>
      <c r="Q259" s="259">
        <v>1951600</v>
      </c>
      <c r="R259" s="259">
        <v>0</v>
      </c>
      <c r="S259" s="259">
        <v>0</v>
      </c>
      <c r="T259" s="259">
        <v>0</v>
      </c>
      <c r="U259" s="280" t="s">
        <v>813</v>
      </c>
    </row>
    <row r="260" spans="1:21" ht="41.5" hidden="1" customHeight="1" x14ac:dyDescent="0.35">
      <c r="A260" s="280" t="s">
        <v>795</v>
      </c>
      <c r="B260" s="247" t="s">
        <v>232</v>
      </c>
      <c r="C260" s="247" t="s">
        <v>810</v>
      </c>
      <c r="D260" s="263">
        <v>80141902</v>
      </c>
      <c r="E260" s="249" t="s">
        <v>785</v>
      </c>
      <c r="F260" s="247" t="s">
        <v>807</v>
      </c>
      <c r="G260" s="288" t="s">
        <v>66</v>
      </c>
      <c r="H260" s="285" t="s">
        <v>66</v>
      </c>
      <c r="I260" s="289">
        <v>70</v>
      </c>
      <c r="J260" s="285" t="s">
        <v>470</v>
      </c>
      <c r="K260" s="253">
        <v>3144000</v>
      </c>
      <c r="L260" s="254">
        <v>0.19</v>
      </c>
      <c r="M260" s="255">
        <v>597360</v>
      </c>
      <c r="N260" s="255">
        <v>3741360</v>
      </c>
      <c r="O260" s="257" t="s">
        <v>365</v>
      </c>
      <c r="P260" s="258" t="s">
        <v>91</v>
      </c>
      <c r="Q260" s="259">
        <v>3741360</v>
      </c>
      <c r="R260" s="259">
        <v>0</v>
      </c>
      <c r="S260" s="259">
        <v>0</v>
      </c>
      <c r="T260" s="259">
        <v>0</v>
      </c>
      <c r="U260" s="247" t="s">
        <v>813</v>
      </c>
    </row>
    <row r="261" spans="1:21" ht="41.5" hidden="1" customHeight="1" x14ac:dyDescent="0.35">
      <c r="A261" s="280" t="s">
        <v>795</v>
      </c>
      <c r="B261" s="280" t="s">
        <v>232</v>
      </c>
      <c r="C261" s="280" t="s">
        <v>810</v>
      </c>
      <c r="D261" s="252">
        <v>80141902</v>
      </c>
      <c r="E261" s="281" t="s">
        <v>785</v>
      </c>
      <c r="F261" s="280" t="s">
        <v>809</v>
      </c>
      <c r="G261" s="252" t="s">
        <v>76</v>
      </c>
      <c r="H261" s="252" t="s">
        <v>76</v>
      </c>
      <c r="I261" s="263">
        <v>30</v>
      </c>
      <c r="J261" s="283" t="s">
        <v>470</v>
      </c>
      <c r="K261" s="253">
        <v>3144000</v>
      </c>
      <c r="L261" s="254">
        <v>0.19</v>
      </c>
      <c r="M261" s="255">
        <v>597360</v>
      </c>
      <c r="N261" s="256">
        <v>3741360</v>
      </c>
      <c r="O261" s="290" t="s">
        <v>365</v>
      </c>
      <c r="P261" s="291" t="s">
        <v>91</v>
      </c>
      <c r="Q261" s="291">
        <v>3741360</v>
      </c>
      <c r="R261" s="259">
        <v>0</v>
      </c>
      <c r="S261" s="259">
        <v>0</v>
      </c>
      <c r="T261" s="259">
        <v>0</v>
      </c>
      <c r="U261" s="247" t="s">
        <v>813</v>
      </c>
    </row>
    <row r="262" spans="1:21" ht="41.5" hidden="1" customHeight="1" x14ac:dyDescent="0.35">
      <c r="A262" s="280" t="s">
        <v>795</v>
      </c>
      <c r="B262" s="247" t="s">
        <v>232</v>
      </c>
      <c r="C262" s="280" t="s">
        <v>825</v>
      </c>
      <c r="D262" s="261">
        <v>80141902</v>
      </c>
      <c r="E262" s="281" t="s">
        <v>785</v>
      </c>
      <c r="F262" s="280" t="s">
        <v>826</v>
      </c>
      <c r="G262" s="252" t="s">
        <v>76</v>
      </c>
      <c r="H262" s="252" t="s">
        <v>76</v>
      </c>
      <c r="I262" s="282">
        <v>1</v>
      </c>
      <c r="J262" s="252" t="s">
        <v>470</v>
      </c>
      <c r="K262" s="253">
        <v>5000000</v>
      </c>
      <c r="L262" s="254">
        <v>0.19</v>
      </c>
      <c r="M262" s="255">
        <v>950000</v>
      </c>
      <c r="N262" s="255">
        <v>5950000</v>
      </c>
      <c r="O262" s="257" t="s">
        <v>365</v>
      </c>
      <c r="P262" s="258" t="s">
        <v>91</v>
      </c>
      <c r="Q262" s="259">
        <v>5950000</v>
      </c>
      <c r="R262" s="259">
        <v>0</v>
      </c>
      <c r="S262" s="259">
        <v>0</v>
      </c>
      <c r="T262" s="259">
        <v>0</v>
      </c>
      <c r="U262" s="280" t="s">
        <v>827</v>
      </c>
    </row>
    <row r="263" spans="1:21" ht="41.5" hidden="1" customHeight="1" x14ac:dyDescent="0.35">
      <c r="A263" s="280" t="s">
        <v>795</v>
      </c>
      <c r="B263" s="247" t="s">
        <v>232</v>
      </c>
      <c r="C263" s="280" t="s">
        <v>825</v>
      </c>
      <c r="D263" s="261">
        <v>80141902</v>
      </c>
      <c r="E263" s="281" t="s">
        <v>785</v>
      </c>
      <c r="F263" s="262" t="s">
        <v>828</v>
      </c>
      <c r="G263" s="252" t="s">
        <v>73</v>
      </c>
      <c r="H263" s="252" t="s">
        <v>73</v>
      </c>
      <c r="I263" s="282">
        <v>1</v>
      </c>
      <c r="J263" s="252" t="s">
        <v>470</v>
      </c>
      <c r="K263" s="253">
        <v>5000000</v>
      </c>
      <c r="L263" s="254">
        <v>0.19</v>
      </c>
      <c r="M263" s="255">
        <v>950000</v>
      </c>
      <c r="N263" s="255">
        <v>5950000</v>
      </c>
      <c r="O263" s="257" t="s">
        <v>365</v>
      </c>
      <c r="P263" s="258" t="s">
        <v>91</v>
      </c>
      <c r="Q263" s="259">
        <v>5950000</v>
      </c>
      <c r="R263" s="259">
        <v>0</v>
      </c>
      <c r="S263" s="259">
        <v>0</v>
      </c>
      <c r="T263" s="259">
        <v>0</v>
      </c>
      <c r="U263" s="280" t="s">
        <v>827</v>
      </c>
    </row>
    <row r="264" spans="1:21" ht="41.5" hidden="1" customHeight="1" x14ac:dyDescent="0.35">
      <c r="A264" s="280" t="s">
        <v>795</v>
      </c>
      <c r="B264" s="247" t="s">
        <v>232</v>
      </c>
      <c r="C264" s="280" t="s">
        <v>825</v>
      </c>
      <c r="D264" s="261">
        <v>80141902</v>
      </c>
      <c r="E264" s="281" t="s">
        <v>785</v>
      </c>
      <c r="F264" s="280" t="s">
        <v>829</v>
      </c>
      <c r="G264" s="264" t="s">
        <v>71</v>
      </c>
      <c r="H264" s="252" t="s">
        <v>71</v>
      </c>
      <c r="I264" s="282">
        <v>1</v>
      </c>
      <c r="J264" s="267" t="s">
        <v>359</v>
      </c>
      <c r="K264" s="253">
        <v>3500000</v>
      </c>
      <c r="L264" s="254">
        <v>0.19</v>
      </c>
      <c r="M264" s="255">
        <v>665000</v>
      </c>
      <c r="N264" s="255">
        <v>4165000</v>
      </c>
      <c r="O264" s="257" t="s">
        <v>365</v>
      </c>
      <c r="P264" s="258" t="s">
        <v>91</v>
      </c>
      <c r="Q264" s="259">
        <v>4165000</v>
      </c>
      <c r="R264" s="259">
        <v>0</v>
      </c>
      <c r="S264" s="259">
        <v>0</v>
      </c>
      <c r="T264" s="259">
        <v>0</v>
      </c>
      <c r="U264" s="280" t="s">
        <v>827</v>
      </c>
    </row>
    <row r="265" spans="1:21" ht="41.5" hidden="1" customHeight="1" x14ac:dyDescent="0.35">
      <c r="A265" s="280" t="s">
        <v>795</v>
      </c>
      <c r="B265" s="247" t="s">
        <v>232</v>
      </c>
      <c r="C265" s="280" t="s">
        <v>825</v>
      </c>
      <c r="D265" s="261">
        <v>72101511</v>
      </c>
      <c r="E265" s="281" t="s">
        <v>811</v>
      </c>
      <c r="F265" s="284" t="s">
        <v>830</v>
      </c>
      <c r="G265" s="264" t="s">
        <v>66</v>
      </c>
      <c r="H265" s="252" t="s">
        <v>66</v>
      </c>
      <c r="I265" s="283">
        <v>365</v>
      </c>
      <c r="J265" s="252" t="s">
        <v>359</v>
      </c>
      <c r="K265" s="253">
        <v>15024000</v>
      </c>
      <c r="L265" s="254">
        <v>0.19</v>
      </c>
      <c r="M265" s="255">
        <v>2854560</v>
      </c>
      <c r="N265" s="255">
        <v>17878560</v>
      </c>
      <c r="O265" s="257" t="s">
        <v>365</v>
      </c>
      <c r="P265" s="258" t="s">
        <v>91</v>
      </c>
      <c r="Q265" s="259">
        <v>17878560</v>
      </c>
      <c r="R265" s="259">
        <v>0</v>
      </c>
      <c r="S265" s="259">
        <v>0</v>
      </c>
      <c r="T265" s="259">
        <v>0</v>
      </c>
      <c r="U265" s="280" t="s">
        <v>827</v>
      </c>
    </row>
    <row r="266" spans="1:21" ht="41.5" hidden="1" customHeight="1" x14ac:dyDescent="0.35">
      <c r="A266" s="280" t="s">
        <v>795</v>
      </c>
      <c r="B266" s="247" t="s">
        <v>232</v>
      </c>
      <c r="C266" s="280" t="s">
        <v>825</v>
      </c>
      <c r="D266" s="261">
        <v>72101516</v>
      </c>
      <c r="E266" s="281" t="s">
        <v>831</v>
      </c>
      <c r="F266" s="284" t="s">
        <v>832</v>
      </c>
      <c r="G266" s="252" t="s">
        <v>72</v>
      </c>
      <c r="H266" s="252" t="s">
        <v>72</v>
      </c>
      <c r="I266" s="283">
        <v>8</v>
      </c>
      <c r="J266" s="252" t="s">
        <v>470</v>
      </c>
      <c r="K266" s="253">
        <v>1500000</v>
      </c>
      <c r="L266" s="254">
        <v>0.19</v>
      </c>
      <c r="M266" s="255">
        <v>285000</v>
      </c>
      <c r="N266" s="255">
        <v>1785000</v>
      </c>
      <c r="O266" s="257" t="s">
        <v>365</v>
      </c>
      <c r="P266" s="258" t="s">
        <v>91</v>
      </c>
      <c r="Q266" s="259">
        <v>1785000</v>
      </c>
      <c r="R266" s="259">
        <v>0</v>
      </c>
      <c r="S266" s="259">
        <v>0</v>
      </c>
      <c r="T266" s="259">
        <v>0</v>
      </c>
      <c r="U266" s="280" t="s">
        <v>827</v>
      </c>
    </row>
    <row r="267" spans="1:21" ht="41.5" hidden="1" customHeight="1" x14ac:dyDescent="0.35">
      <c r="A267" s="280" t="s">
        <v>795</v>
      </c>
      <c r="B267" s="247" t="s">
        <v>232</v>
      </c>
      <c r="C267" s="280" t="s">
        <v>825</v>
      </c>
      <c r="D267" s="261">
        <v>72152400</v>
      </c>
      <c r="E267" s="281" t="s">
        <v>833</v>
      </c>
      <c r="F267" s="284" t="s">
        <v>834</v>
      </c>
      <c r="G267" s="252" t="s">
        <v>72</v>
      </c>
      <c r="H267" s="252" t="s">
        <v>72</v>
      </c>
      <c r="I267" s="283">
        <v>30</v>
      </c>
      <c r="J267" s="252" t="s">
        <v>359</v>
      </c>
      <c r="K267" s="253">
        <v>10000000</v>
      </c>
      <c r="L267" s="254">
        <v>0.19</v>
      </c>
      <c r="M267" s="255">
        <v>1900000</v>
      </c>
      <c r="N267" s="255">
        <v>11900000</v>
      </c>
      <c r="O267" s="257" t="s">
        <v>365</v>
      </c>
      <c r="P267" s="258" t="s">
        <v>91</v>
      </c>
      <c r="Q267" s="259">
        <v>11900000</v>
      </c>
      <c r="R267" s="259">
        <v>0</v>
      </c>
      <c r="S267" s="259">
        <v>0</v>
      </c>
      <c r="T267" s="259">
        <v>0</v>
      </c>
      <c r="U267" s="280" t="s">
        <v>827</v>
      </c>
    </row>
    <row r="268" spans="1:21" ht="41.5" hidden="1" customHeight="1" x14ac:dyDescent="0.35">
      <c r="A268" s="280" t="s">
        <v>795</v>
      </c>
      <c r="B268" s="247" t="s">
        <v>232</v>
      </c>
      <c r="C268" s="280" t="s">
        <v>825</v>
      </c>
      <c r="D268" s="261">
        <v>52141516</v>
      </c>
      <c r="E268" s="281" t="s">
        <v>835</v>
      </c>
      <c r="F268" s="284" t="s">
        <v>836</v>
      </c>
      <c r="G268" s="264" t="s">
        <v>71</v>
      </c>
      <c r="H268" s="252" t="s">
        <v>71</v>
      </c>
      <c r="I268" s="283">
        <v>30</v>
      </c>
      <c r="J268" s="267" t="s">
        <v>359</v>
      </c>
      <c r="K268" s="253">
        <v>700000</v>
      </c>
      <c r="L268" s="254">
        <v>0.19</v>
      </c>
      <c r="M268" s="255">
        <v>133000</v>
      </c>
      <c r="N268" s="255">
        <v>833000</v>
      </c>
      <c r="O268" s="257" t="s">
        <v>365</v>
      </c>
      <c r="P268" s="258" t="s">
        <v>91</v>
      </c>
      <c r="Q268" s="259">
        <v>833000</v>
      </c>
      <c r="R268" s="259">
        <v>0</v>
      </c>
      <c r="S268" s="259">
        <v>0</v>
      </c>
      <c r="T268" s="259">
        <v>0</v>
      </c>
      <c r="U268" s="280" t="s">
        <v>827</v>
      </c>
    </row>
    <row r="269" spans="1:21" ht="41.5" hidden="1" customHeight="1" x14ac:dyDescent="0.35">
      <c r="A269" s="280" t="s">
        <v>795</v>
      </c>
      <c r="B269" s="247" t="s">
        <v>232</v>
      </c>
      <c r="C269" s="280" t="s">
        <v>825</v>
      </c>
      <c r="D269" s="261">
        <v>72102900</v>
      </c>
      <c r="E269" s="281" t="s">
        <v>837</v>
      </c>
      <c r="F269" s="280" t="s">
        <v>838</v>
      </c>
      <c r="G269" s="252" t="s">
        <v>73</v>
      </c>
      <c r="H269" s="252" t="s">
        <v>73</v>
      </c>
      <c r="I269" s="283">
        <v>60</v>
      </c>
      <c r="J269" s="252" t="s">
        <v>359</v>
      </c>
      <c r="K269" s="253">
        <v>10000000</v>
      </c>
      <c r="L269" s="254">
        <v>0.19</v>
      </c>
      <c r="M269" s="255">
        <v>1900000</v>
      </c>
      <c r="N269" s="255">
        <v>11900000</v>
      </c>
      <c r="O269" s="257" t="s">
        <v>365</v>
      </c>
      <c r="P269" s="258" t="s">
        <v>91</v>
      </c>
      <c r="Q269" s="259">
        <v>11900000</v>
      </c>
      <c r="R269" s="259">
        <v>0</v>
      </c>
      <c r="S269" s="259">
        <v>0</v>
      </c>
      <c r="T269" s="259">
        <v>0</v>
      </c>
      <c r="U269" s="280" t="s">
        <v>827</v>
      </c>
    </row>
    <row r="270" spans="1:21" ht="41.5" hidden="1" customHeight="1" x14ac:dyDescent="0.35">
      <c r="A270" s="280" t="s">
        <v>795</v>
      </c>
      <c r="B270" s="247" t="s">
        <v>232</v>
      </c>
      <c r="C270" s="280" t="s">
        <v>825</v>
      </c>
      <c r="D270" s="261">
        <v>72102900</v>
      </c>
      <c r="E270" s="281" t="s">
        <v>837</v>
      </c>
      <c r="F270" s="280" t="s">
        <v>839</v>
      </c>
      <c r="G270" s="252" t="s">
        <v>73</v>
      </c>
      <c r="H270" s="252" t="s">
        <v>73</v>
      </c>
      <c r="I270" s="283">
        <v>30</v>
      </c>
      <c r="J270" s="252" t="s">
        <v>470</v>
      </c>
      <c r="K270" s="253">
        <v>3000000</v>
      </c>
      <c r="L270" s="254">
        <v>0.19</v>
      </c>
      <c r="M270" s="255">
        <v>570000</v>
      </c>
      <c r="N270" s="255">
        <v>3570000</v>
      </c>
      <c r="O270" s="257" t="s">
        <v>365</v>
      </c>
      <c r="P270" s="258" t="s">
        <v>91</v>
      </c>
      <c r="Q270" s="259">
        <v>3570000</v>
      </c>
      <c r="R270" s="259">
        <v>0</v>
      </c>
      <c r="S270" s="259">
        <v>0</v>
      </c>
      <c r="T270" s="259">
        <v>0</v>
      </c>
      <c r="U270" s="280" t="s">
        <v>827</v>
      </c>
    </row>
    <row r="271" spans="1:21" ht="41.5" hidden="1" customHeight="1" x14ac:dyDescent="0.35">
      <c r="A271" s="280" t="s">
        <v>795</v>
      </c>
      <c r="B271" s="247" t="s">
        <v>232</v>
      </c>
      <c r="C271" s="280" t="s">
        <v>825</v>
      </c>
      <c r="D271" s="261">
        <v>72102900</v>
      </c>
      <c r="E271" s="281" t="s">
        <v>837</v>
      </c>
      <c r="F271" s="284" t="s">
        <v>840</v>
      </c>
      <c r="G271" s="252" t="s">
        <v>74</v>
      </c>
      <c r="H271" s="252" t="s">
        <v>74</v>
      </c>
      <c r="I271" s="283">
        <v>30</v>
      </c>
      <c r="J271" s="252" t="s">
        <v>470</v>
      </c>
      <c r="K271" s="253">
        <v>1000000</v>
      </c>
      <c r="L271" s="254">
        <v>0.19</v>
      </c>
      <c r="M271" s="255">
        <v>190000</v>
      </c>
      <c r="N271" s="255">
        <v>1190000</v>
      </c>
      <c r="O271" s="257" t="s">
        <v>365</v>
      </c>
      <c r="P271" s="258" t="s">
        <v>91</v>
      </c>
      <c r="Q271" s="259">
        <v>1190000</v>
      </c>
      <c r="R271" s="259">
        <v>0</v>
      </c>
      <c r="S271" s="259">
        <v>0</v>
      </c>
      <c r="T271" s="259">
        <v>0</v>
      </c>
      <c r="U271" s="280" t="s">
        <v>827</v>
      </c>
    </row>
    <row r="272" spans="1:21" ht="41.5" hidden="1" customHeight="1" x14ac:dyDescent="0.35">
      <c r="A272" s="280" t="s">
        <v>795</v>
      </c>
      <c r="B272" s="247" t="s">
        <v>232</v>
      </c>
      <c r="C272" s="280" t="s">
        <v>825</v>
      </c>
      <c r="D272" s="261">
        <v>54111503</v>
      </c>
      <c r="E272" s="281" t="s">
        <v>841</v>
      </c>
      <c r="F272" s="284" t="s">
        <v>842</v>
      </c>
      <c r="G272" s="252" t="s">
        <v>72</v>
      </c>
      <c r="H272" s="252" t="s">
        <v>72</v>
      </c>
      <c r="I272" s="283">
        <v>30</v>
      </c>
      <c r="J272" s="252" t="s">
        <v>470</v>
      </c>
      <c r="K272" s="253">
        <v>700000</v>
      </c>
      <c r="L272" s="254">
        <v>0.19</v>
      </c>
      <c r="M272" s="255">
        <v>133000</v>
      </c>
      <c r="N272" s="255">
        <v>833000</v>
      </c>
      <c r="O272" s="257" t="s">
        <v>365</v>
      </c>
      <c r="P272" s="258" t="s">
        <v>91</v>
      </c>
      <c r="Q272" s="259">
        <v>833000</v>
      </c>
      <c r="R272" s="259">
        <v>0</v>
      </c>
      <c r="S272" s="259">
        <v>0</v>
      </c>
      <c r="T272" s="259">
        <v>0</v>
      </c>
      <c r="U272" s="280" t="s">
        <v>827</v>
      </c>
    </row>
    <row r="273" spans="1:21" ht="41.5" hidden="1" customHeight="1" x14ac:dyDescent="0.35">
      <c r="A273" s="280" t="s">
        <v>795</v>
      </c>
      <c r="B273" s="247" t="s">
        <v>232</v>
      </c>
      <c r="C273" s="280" t="s">
        <v>825</v>
      </c>
      <c r="D273" s="261">
        <v>72102900</v>
      </c>
      <c r="E273" s="281" t="s">
        <v>837</v>
      </c>
      <c r="F273" s="280" t="s">
        <v>843</v>
      </c>
      <c r="G273" s="252" t="s">
        <v>74</v>
      </c>
      <c r="H273" s="252" t="s">
        <v>74</v>
      </c>
      <c r="I273" s="283">
        <v>30</v>
      </c>
      <c r="J273" s="252" t="s">
        <v>470</v>
      </c>
      <c r="K273" s="253">
        <v>5000000</v>
      </c>
      <c r="L273" s="254">
        <v>0.19</v>
      </c>
      <c r="M273" s="255">
        <v>950000</v>
      </c>
      <c r="N273" s="255">
        <v>5950000</v>
      </c>
      <c r="O273" s="257" t="s">
        <v>365</v>
      </c>
      <c r="P273" s="258" t="s">
        <v>91</v>
      </c>
      <c r="Q273" s="259">
        <v>5950000</v>
      </c>
      <c r="R273" s="259">
        <v>0</v>
      </c>
      <c r="S273" s="259">
        <v>0</v>
      </c>
      <c r="T273" s="259">
        <v>0</v>
      </c>
      <c r="U273" s="280" t="s">
        <v>827</v>
      </c>
    </row>
    <row r="274" spans="1:21" ht="41.5" hidden="1" customHeight="1" x14ac:dyDescent="0.35">
      <c r="A274" s="280" t="s">
        <v>795</v>
      </c>
      <c r="B274" s="247" t="s">
        <v>232</v>
      </c>
      <c r="C274" s="280" t="s">
        <v>825</v>
      </c>
      <c r="D274" s="261">
        <v>56112104</v>
      </c>
      <c r="E274" s="281" t="s">
        <v>844</v>
      </c>
      <c r="F274" s="284" t="s">
        <v>845</v>
      </c>
      <c r="G274" s="252" t="s">
        <v>74</v>
      </c>
      <c r="H274" s="252" t="s">
        <v>74</v>
      </c>
      <c r="I274" s="283">
        <v>45</v>
      </c>
      <c r="J274" s="252" t="s">
        <v>470</v>
      </c>
      <c r="K274" s="253">
        <v>1200000</v>
      </c>
      <c r="L274" s="254">
        <v>0.19</v>
      </c>
      <c r="M274" s="255">
        <v>228000</v>
      </c>
      <c r="N274" s="255">
        <v>1428000</v>
      </c>
      <c r="O274" s="257" t="s">
        <v>365</v>
      </c>
      <c r="P274" s="258" t="s">
        <v>91</v>
      </c>
      <c r="Q274" s="259">
        <v>1428000</v>
      </c>
      <c r="R274" s="259">
        <v>0</v>
      </c>
      <c r="S274" s="259">
        <v>0</v>
      </c>
      <c r="T274" s="259">
        <v>0</v>
      </c>
      <c r="U274" s="280" t="s">
        <v>827</v>
      </c>
    </row>
    <row r="275" spans="1:21" ht="41.5" hidden="1" customHeight="1" x14ac:dyDescent="0.35">
      <c r="A275" s="280" t="s">
        <v>795</v>
      </c>
      <c r="B275" s="247" t="s">
        <v>232</v>
      </c>
      <c r="C275" s="280" t="s">
        <v>825</v>
      </c>
      <c r="D275" s="261">
        <v>80141902</v>
      </c>
      <c r="E275" s="281" t="s">
        <v>785</v>
      </c>
      <c r="F275" s="280" t="s">
        <v>807</v>
      </c>
      <c r="G275" s="264" t="s">
        <v>66</v>
      </c>
      <c r="H275" s="252" t="s">
        <v>66</v>
      </c>
      <c r="I275" s="283">
        <v>70</v>
      </c>
      <c r="J275" s="252" t="s">
        <v>359</v>
      </c>
      <c r="K275" s="253">
        <v>9432000</v>
      </c>
      <c r="L275" s="254">
        <v>0.19</v>
      </c>
      <c r="M275" s="255">
        <v>1792080</v>
      </c>
      <c r="N275" s="255">
        <v>11224080</v>
      </c>
      <c r="O275" s="257" t="s">
        <v>365</v>
      </c>
      <c r="P275" s="258" t="s">
        <v>91</v>
      </c>
      <c r="Q275" s="259">
        <v>11224080</v>
      </c>
      <c r="R275" s="259">
        <v>0</v>
      </c>
      <c r="S275" s="259">
        <v>0</v>
      </c>
      <c r="T275" s="259">
        <v>0</v>
      </c>
      <c r="U275" s="280" t="s">
        <v>827</v>
      </c>
    </row>
    <row r="276" spans="1:21" ht="41.5" hidden="1" customHeight="1" x14ac:dyDescent="0.35">
      <c r="A276" s="280" t="s">
        <v>795</v>
      </c>
      <c r="B276" s="247" t="s">
        <v>232</v>
      </c>
      <c r="C276" s="280" t="s">
        <v>825</v>
      </c>
      <c r="D276" s="261">
        <v>80141902</v>
      </c>
      <c r="E276" s="281" t="s">
        <v>785</v>
      </c>
      <c r="F276" s="262" t="s">
        <v>809</v>
      </c>
      <c r="G276" s="252" t="s">
        <v>76</v>
      </c>
      <c r="H276" s="252" t="s">
        <v>76</v>
      </c>
      <c r="I276" s="283">
        <v>30</v>
      </c>
      <c r="J276" s="252" t="s">
        <v>359</v>
      </c>
      <c r="K276" s="253">
        <v>9432000</v>
      </c>
      <c r="L276" s="254">
        <v>0.19</v>
      </c>
      <c r="M276" s="255">
        <v>1792080</v>
      </c>
      <c r="N276" s="255">
        <v>11224080</v>
      </c>
      <c r="O276" s="257" t="s">
        <v>365</v>
      </c>
      <c r="P276" s="258" t="s">
        <v>91</v>
      </c>
      <c r="Q276" s="259">
        <v>11224080</v>
      </c>
      <c r="R276" s="259">
        <v>0</v>
      </c>
      <c r="S276" s="259">
        <v>0</v>
      </c>
      <c r="T276" s="259">
        <v>0</v>
      </c>
      <c r="U276" s="280" t="s">
        <v>827</v>
      </c>
    </row>
    <row r="277" spans="1:21" ht="41.5" hidden="1" customHeight="1" x14ac:dyDescent="0.35">
      <c r="A277" s="280" t="s">
        <v>795</v>
      </c>
      <c r="B277" s="247" t="s">
        <v>232</v>
      </c>
      <c r="C277" s="247" t="s">
        <v>846</v>
      </c>
      <c r="D277" s="261">
        <v>72101511</v>
      </c>
      <c r="E277" s="249" t="s">
        <v>811</v>
      </c>
      <c r="F277" s="284" t="s">
        <v>847</v>
      </c>
      <c r="G277" s="285" t="s">
        <v>74</v>
      </c>
      <c r="H277" s="285" t="s">
        <v>74</v>
      </c>
      <c r="I277" s="251">
        <v>300</v>
      </c>
      <c r="J277" s="267" t="s">
        <v>359</v>
      </c>
      <c r="K277" s="253">
        <v>3500000</v>
      </c>
      <c r="L277" s="254">
        <v>0.19</v>
      </c>
      <c r="M277" s="255">
        <v>665000</v>
      </c>
      <c r="N277" s="256">
        <v>4165000</v>
      </c>
      <c r="O277" s="257" t="s">
        <v>365</v>
      </c>
      <c r="P277" s="292" t="s">
        <v>848</v>
      </c>
      <c r="Q277" s="259">
        <v>4165000</v>
      </c>
      <c r="R277" s="293">
        <v>0</v>
      </c>
      <c r="S277" s="293">
        <v>0</v>
      </c>
      <c r="T277" s="293">
        <v>0</v>
      </c>
      <c r="U277" s="247" t="s">
        <v>849</v>
      </c>
    </row>
    <row r="278" spans="1:21" ht="41.5" hidden="1" customHeight="1" x14ac:dyDescent="0.35">
      <c r="A278" s="280" t="s">
        <v>795</v>
      </c>
      <c r="B278" s="247" t="s">
        <v>232</v>
      </c>
      <c r="C278" s="247" t="s">
        <v>846</v>
      </c>
      <c r="D278" s="263">
        <v>72102900</v>
      </c>
      <c r="E278" s="249" t="s">
        <v>837</v>
      </c>
      <c r="F278" s="247" t="s">
        <v>850</v>
      </c>
      <c r="G278" s="264" t="s">
        <v>67</v>
      </c>
      <c r="H278" s="250" t="s">
        <v>67</v>
      </c>
      <c r="I278" s="251">
        <v>30</v>
      </c>
      <c r="J278" s="267" t="s">
        <v>359</v>
      </c>
      <c r="K278" s="253">
        <v>1000000</v>
      </c>
      <c r="L278" s="254">
        <v>0.19</v>
      </c>
      <c r="M278" s="255">
        <v>190000</v>
      </c>
      <c r="N278" s="256">
        <v>1190000</v>
      </c>
      <c r="O278" s="257" t="s">
        <v>365</v>
      </c>
      <c r="P278" s="258" t="s">
        <v>91</v>
      </c>
      <c r="Q278" s="259">
        <v>1190000</v>
      </c>
      <c r="R278" s="293">
        <v>0</v>
      </c>
      <c r="S278" s="293">
        <v>0</v>
      </c>
      <c r="T278" s="293">
        <v>0</v>
      </c>
      <c r="U278" s="247" t="s">
        <v>849</v>
      </c>
    </row>
    <row r="279" spans="1:21" ht="41.5" hidden="1" customHeight="1" x14ac:dyDescent="0.35">
      <c r="A279" s="280" t="s">
        <v>795</v>
      </c>
      <c r="B279" s="247" t="s">
        <v>232</v>
      </c>
      <c r="C279" s="247" t="s">
        <v>846</v>
      </c>
      <c r="D279" s="263">
        <v>82121507</v>
      </c>
      <c r="E279" s="249" t="s">
        <v>851</v>
      </c>
      <c r="F279" s="247" t="s">
        <v>852</v>
      </c>
      <c r="G279" s="264" t="s">
        <v>67</v>
      </c>
      <c r="H279" s="250" t="s">
        <v>67</v>
      </c>
      <c r="I279" s="251">
        <v>330</v>
      </c>
      <c r="J279" s="252" t="s">
        <v>359</v>
      </c>
      <c r="K279" s="253">
        <v>14850000</v>
      </c>
      <c r="L279" s="254">
        <v>0</v>
      </c>
      <c r="M279" s="255">
        <v>0</v>
      </c>
      <c r="N279" s="256">
        <v>14850000</v>
      </c>
      <c r="O279" s="257" t="s">
        <v>365</v>
      </c>
      <c r="P279" s="258" t="s">
        <v>91</v>
      </c>
      <c r="Q279" s="259">
        <v>14850000</v>
      </c>
      <c r="R279" s="259">
        <v>0</v>
      </c>
      <c r="S279" s="259">
        <v>0</v>
      </c>
      <c r="T279" s="259">
        <v>0</v>
      </c>
      <c r="U279" s="247" t="s">
        <v>849</v>
      </c>
    </row>
    <row r="280" spans="1:21" ht="41.5" hidden="1" customHeight="1" x14ac:dyDescent="0.35">
      <c r="A280" s="280" t="s">
        <v>795</v>
      </c>
      <c r="B280" s="247" t="s">
        <v>232</v>
      </c>
      <c r="C280" s="247" t="s">
        <v>846</v>
      </c>
      <c r="D280" s="261">
        <v>80141902</v>
      </c>
      <c r="E280" s="249" t="s">
        <v>785</v>
      </c>
      <c r="F280" s="247" t="s">
        <v>853</v>
      </c>
      <c r="G280" s="252" t="s">
        <v>74</v>
      </c>
      <c r="H280" s="252" t="s">
        <v>74</v>
      </c>
      <c r="I280" s="283">
        <v>15</v>
      </c>
      <c r="J280" s="267" t="s">
        <v>359</v>
      </c>
      <c r="K280" s="253">
        <v>1058400</v>
      </c>
      <c r="L280" s="254">
        <v>0.08</v>
      </c>
      <c r="M280" s="255">
        <v>84672</v>
      </c>
      <c r="N280" s="255">
        <v>1143072</v>
      </c>
      <c r="O280" s="257" t="s">
        <v>365</v>
      </c>
      <c r="P280" s="258" t="s">
        <v>91</v>
      </c>
      <c r="Q280" s="259">
        <v>1143072</v>
      </c>
      <c r="R280" s="259">
        <v>0</v>
      </c>
      <c r="S280" s="259">
        <v>0</v>
      </c>
      <c r="T280" s="259">
        <v>0</v>
      </c>
      <c r="U280" s="280" t="s">
        <v>849</v>
      </c>
    </row>
    <row r="281" spans="1:21" ht="41.5" hidden="1" customHeight="1" x14ac:dyDescent="0.35">
      <c r="A281" s="280" t="s">
        <v>795</v>
      </c>
      <c r="B281" s="247" t="s">
        <v>232</v>
      </c>
      <c r="C281" s="247" t="s">
        <v>846</v>
      </c>
      <c r="D281" s="261">
        <v>80141902</v>
      </c>
      <c r="E281" s="249" t="s">
        <v>785</v>
      </c>
      <c r="F281" s="280" t="s">
        <v>854</v>
      </c>
      <c r="G281" s="252" t="s">
        <v>73</v>
      </c>
      <c r="H281" s="252" t="s">
        <v>73</v>
      </c>
      <c r="I281" s="283">
        <v>15</v>
      </c>
      <c r="J281" s="267" t="s">
        <v>359</v>
      </c>
      <c r="K281" s="253">
        <v>880000</v>
      </c>
      <c r="L281" s="254">
        <v>0.08</v>
      </c>
      <c r="M281" s="255">
        <v>70400</v>
      </c>
      <c r="N281" s="255">
        <v>950400</v>
      </c>
      <c r="O281" s="257" t="s">
        <v>365</v>
      </c>
      <c r="P281" s="258" t="s">
        <v>91</v>
      </c>
      <c r="Q281" s="259">
        <v>950400</v>
      </c>
      <c r="R281" s="259">
        <v>0</v>
      </c>
      <c r="S281" s="259">
        <v>0</v>
      </c>
      <c r="T281" s="259">
        <v>0</v>
      </c>
      <c r="U281" s="280" t="s">
        <v>849</v>
      </c>
    </row>
    <row r="282" spans="1:21" ht="41.5" hidden="1" customHeight="1" x14ac:dyDescent="0.35">
      <c r="A282" s="280" t="s">
        <v>795</v>
      </c>
      <c r="B282" s="247" t="s">
        <v>232</v>
      </c>
      <c r="C282" s="247" t="s">
        <v>846</v>
      </c>
      <c r="D282" s="261">
        <v>80141902</v>
      </c>
      <c r="E282" s="249" t="s">
        <v>785</v>
      </c>
      <c r="F282" s="280" t="s">
        <v>855</v>
      </c>
      <c r="G282" s="252" t="s">
        <v>77</v>
      </c>
      <c r="H282" s="252" t="s">
        <v>77</v>
      </c>
      <c r="I282" s="283">
        <v>15</v>
      </c>
      <c r="J282" s="267" t="s">
        <v>359</v>
      </c>
      <c r="K282" s="253">
        <v>1320000</v>
      </c>
      <c r="L282" s="254">
        <v>0.08</v>
      </c>
      <c r="M282" s="255">
        <v>105600</v>
      </c>
      <c r="N282" s="255">
        <v>1425600</v>
      </c>
      <c r="O282" s="257" t="s">
        <v>365</v>
      </c>
      <c r="P282" s="258" t="s">
        <v>91</v>
      </c>
      <c r="Q282" s="259">
        <v>1425600</v>
      </c>
      <c r="R282" s="259">
        <v>0</v>
      </c>
      <c r="S282" s="259">
        <v>0</v>
      </c>
      <c r="T282" s="259">
        <v>0</v>
      </c>
      <c r="U282" s="280" t="s">
        <v>849</v>
      </c>
    </row>
    <row r="283" spans="1:21" ht="41.5" hidden="1" customHeight="1" x14ac:dyDescent="0.35">
      <c r="A283" s="280" t="s">
        <v>795</v>
      </c>
      <c r="B283" s="247" t="s">
        <v>232</v>
      </c>
      <c r="C283" s="247" t="s">
        <v>846</v>
      </c>
      <c r="D283" s="261">
        <v>80141902</v>
      </c>
      <c r="E283" s="249" t="s">
        <v>785</v>
      </c>
      <c r="F283" s="294" t="s">
        <v>807</v>
      </c>
      <c r="G283" s="264" t="s">
        <v>66</v>
      </c>
      <c r="H283" s="252" t="s">
        <v>66</v>
      </c>
      <c r="I283" s="251">
        <v>70</v>
      </c>
      <c r="J283" s="252" t="s">
        <v>470</v>
      </c>
      <c r="K283" s="253">
        <v>2096000</v>
      </c>
      <c r="L283" s="254">
        <v>0.19</v>
      </c>
      <c r="M283" s="255">
        <v>398240</v>
      </c>
      <c r="N283" s="255">
        <v>2494240</v>
      </c>
      <c r="O283" s="257" t="s">
        <v>365</v>
      </c>
      <c r="P283" s="258" t="s">
        <v>91</v>
      </c>
      <c r="Q283" s="259">
        <v>2494240</v>
      </c>
      <c r="R283" s="259">
        <v>0</v>
      </c>
      <c r="S283" s="259">
        <v>0</v>
      </c>
      <c r="T283" s="259">
        <v>0</v>
      </c>
      <c r="U283" s="247" t="s">
        <v>849</v>
      </c>
    </row>
    <row r="284" spans="1:21" ht="41.5" hidden="1" customHeight="1" x14ac:dyDescent="0.35">
      <c r="A284" s="280" t="s">
        <v>795</v>
      </c>
      <c r="B284" s="247" t="s">
        <v>232</v>
      </c>
      <c r="C284" s="247" t="s">
        <v>846</v>
      </c>
      <c r="D284" s="261">
        <v>80141902</v>
      </c>
      <c r="E284" s="249" t="s">
        <v>785</v>
      </c>
      <c r="F284" s="295" t="s">
        <v>809</v>
      </c>
      <c r="G284" s="252" t="s">
        <v>76</v>
      </c>
      <c r="H284" s="252" t="s">
        <v>76</v>
      </c>
      <c r="I284" s="283">
        <v>30</v>
      </c>
      <c r="J284" s="252" t="s">
        <v>470</v>
      </c>
      <c r="K284" s="253">
        <v>2096000</v>
      </c>
      <c r="L284" s="254">
        <v>0.19</v>
      </c>
      <c r="M284" s="255">
        <v>398240</v>
      </c>
      <c r="N284" s="255">
        <v>2494240</v>
      </c>
      <c r="O284" s="257" t="s">
        <v>365</v>
      </c>
      <c r="P284" s="258" t="s">
        <v>91</v>
      </c>
      <c r="Q284" s="259">
        <v>2494240</v>
      </c>
      <c r="R284" s="259">
        <v>0</v>
      </c>
      <c r="S284" s="259">
        <v>0</v>
      </c>
      <c r="T284" s="259">
        <v>0</v>
      </c>
      <c r="U284" s="280" t="s">
        <v>849</v>
      </c>
    </row>
    <row r="285" spans="1:21" ht="41.5" hidden="1" customHeight="1" x14ac:dyDescent="0.35">
      <c r="A285" s="280" t="s">
        <v>795</v>
      </c>
      <c r="B285" s="247" t="s">
        <v>232</v>
      </c>
      <c r="C285" s="292" t="s">
        <v>856</v>
      </c>
      <c r="D285" s="289">
        <v>73181100</v>
      </c>
      <c r="E285" s="296" t="s">
        <v>857</v>
      </c>
      <c r="F285" s="247" t="s">
        <v>858</v>
      </c>
      <c r="G285" s="285" t="s">
        <v>74</v>
      </c>
      <c r="H285" s="285" t="s">
        <v>76</v>
      </c>
      <c r="I285" s="285">
        <v>90</v>
      </c>
      <c r="J285" s="263" t="s">
        <v>359</v>
      </c>
      <c r="K285" s="297">
        <v>13000000</v>
      </c>
      <c r="L285" s="298">
        <v>0.19</v>
      </c>
      <c r="M285" s="255">
        <v>2470000</v>
      </c>
      <c r="N285" s="299">
        <v>15470000</v>
      </c>
      <c r="O285" s="285" t="s">
        <v>859</v>
      </c>
      <c r="P285" s="292" t="s">
        <v>848</v>
      </c>
      <c r="Q285" s="259">
        <v>15470000</v>
      </c>
      <c r="R285" s="293">
        <v>0</v>
      </c>
      <c r="S285" s="293">
        <v>0</v>
      </c>
      <c r="T285" s="293">
        <v>0</v>
      </c>
      <c r="U285" s="292" t="s">
        <v>860</v>
      </c>
    </row>
    <row r="286" spans="1:21" ht="41.5" hidden="1" customHeight="1" x14ac:dyDescent="0.35">
      <c r="A286" s="280" t="s">
        <v>795</v>
      </c>
      <c r="B286" s="247" t="s">
        <v>232</v>
      </c>
      <c r="C286" s="292" t="s">
        <v>856</v>
      </c>
      <c r="D286" s="289">
        <v>72153605</v>
      </c>
      <c r="E286" s="300" t="s">
        <v>861</v>
      </c>
      <c r="F286" s="247" t="s">
        <v>862</v>
      </c>
      <c r="G286" s="285" t="s">
        <v>74</v>
      </c>
      <c r="H286" s="285" t="s">
        <v>76</v>
      </c>
      <c r="I286" s="285">
        <v>90</v>
      </c>
      <c r="J286" s="263" t="s">
        <v>359</v>
      </c>
      <c r="K286" s="297">
        <v>19000000</v>
      </c>
      <c r="L286" s="298">
        <v>0.19</v>
      </c>
      <c r="M286" s="255">
        <v>3610000</v>
      </c>
      <c r="N286" s="299">
        <v>22610000</v>
      </c>
      <c r="O286" s="285" t="s">
        <v>859</v>
      </c>
      <c r="P286" s="292" t="s">
        <v>848</v>
      </c>
      <c r="Q286" s="259">
        <v>22610000</v>
      </c>
      <c r="R286" s="293">
        <v>0</v>
      </c>
      <c r="S286" s="293">
        <v>0</v>
      </c>
      <c r="T286" s="293">
        <v>0</v>
      </c>
      <c r="U286" s="292" t="s">
        <v>860</v>
      </c>
    </row>
    <row r="287" spans="1:21" ht="41.5" hidden="1" customHeight="1" x14ac:dyDescent="0.35">
      <c r="A287" s="280" t="s">
        <v>795</v>
      </c>
      <c r="B287" s="247" t="s">
        <v>232</v>
      </c>
      <c r="C287" s="292" t="s">
        <v>856</v>
      </c>
      <c r="D287" s="289">
        <v>72153605</v>
      </c>
      <c r="E287" s="300" t="s">
        <v>861</v>
      </c>
      <c r="F287" s="247" t="s">
        <v>863</v>
      </c>
      <c r="G287" s="285" t="s">
        <v>75</v>
      </c>
      <c r="H287" s="285" t="s">
        <v>77</v>
      </c>
      <c r="I287" s="285">
        <v>90</v>
      </c>
      <c r="J287" s="252" t="s">
        <v>470</v>
      </c>
      <c r="K287" s="297">
        <v>2000000</v>
      </c>
      <c r="L287" s="298">
        <v>0.19</v>
      </c>
      <c r="M287" s="255">
        <v>380000</v>
      </c>
      <c r="N287" s="299">
        <v>2380000</v>
      </c>
      <c r="O287" s="285" t="s">
        <v>859</v>
      </c>
      <c r="P287" s="292" t="s">
        <v>848</v>
      </c>
      <c r="Q287" s="259">
        <v>2380000</v>
      </c>
      <c r="R287" s="293">
        <v>0</v>
      </c>
      <c r="S287" s="293">
        <v>0</v>
      </c>
      <c r="T287" s="293">
        <v>0</v>
      </c>
      <c r="U287" s="292" t="s">
        <v>860</v>
      </c>
    </row>
    <row r="288" spans="1:21" ht="41.5" hidden="1" customHeight="1" x14ac:dyDescent="0.35">
      <c r="A288" s="280" t="s">
        <v>795</v>
      </c>
      <c r="B288" s="247" t="s">
        <v>232</v>
      </c>
      <c r="C288" s="292" t="s">
        <v>856</v>
      </c>
      <c r="D288" s="289">
        <v>72153613</v>
      </c>
      <c r="E288" s="300" t="s">
        <v>864</v>
      </c>
      <c r="F288" s="247" t="s">
        <v>865</v>
      </c>
      <c r="G288" s="285" t="s">
        <v>74</v>
      </c>
      <c r="H288" s="285" t="s">
        <v>76</v>
      </c>
      <c r="I288" s="251">
        <v>90</v>
      </c>
      <c r="J288" s="263" t="s">
        <v>359</v>
      </c>
      <c r="K288" s="297">
        <v>8000000</v>
      </c>
      <c r="L288" s="298">
        <v>0.19</v>
      </c>
      <c r="M288" s="255">
        <v>1520000</v>
      </c>
      <c r="N288" s="299">
        <v>9520000</v>
      </c>
      <c r="O288" s="285" t="s">
        <v>859</v>
      </c>
      <c r="P288" s="292" t="s">
        <v>848</v>
      </c>
      <c r="Q288" s="259">
        <v>9520000</v>
      </c>
      <c r="R288" s="293">
        <v>0</v>
      </c>
      <c r="S288" s="293">
        <v>0</v>
      </c>
      <c r="T288" s="293">
        <v>0</v>
      </c>
      <c r="U288" s="292" t="s">
        <v>860</v>
      </c>
    </row>
    <row r="289" spans="1:21" ht="41.5" hidden="1" customHeight="1" x14ac:dyDescent="0.35">
      <c r="A289" s="280" t="s">
        <v>795</v>
      </c>
      <c r="B289" s="247" t="s">
        <v>232</v>
      </c>
      <c r="C289" s="292" t="s">
        <v>856</v>
      </c>
      <c r="D289" s="289">
        <v>73181100</v>
      </c>
      <c r="E289" s="296" t="s">
        <v>857</v>
      </c>
      <c r="F289" s="247" t="s">
        <v>866</v>
      </c>
      <c r="G289" s="285" t="s">
        <v>74</v>
      </c>
      <c r="H289" s="285" t="s">
        <v>76</v>
      </c>
      <c r="I289" s="250">
        <v>90</v>
      </c>
      <c r="J289" s="252" t="s">
        <v>470</v>
      </c>
      <c r="K289" s="297">
        <v>3000000</v>
      </c>
      <c r="L289" s="298">
        <v>0.19</v>
      </c>
      <c r="M289" s="255">
        <v>570000</v>
      </c>
      <c r="N289" s="299">
        <v>3570000</v>
      </c>
      <c r="O289" s="285" t="s">
        <v>859</v>
      </c>
      <c r="P289" s="292" t="s">
        <v>848</v>
      </c>
      <c r="Q289" s="259">
        <v>3570000</v>
      </c>
      <c r="R289" s="293">
        <v>0</v>
      </c>
      <c r="S289" s="293">
        <v>0</v>
      </c>
      <c r="T289" s="293">
        <v>0</v>
      </c>
      <c r="U289" s="292" t="s">
        <v>860</v>
      </c>
    </row>
    <row r="290" spans="1:21" ht="41.5" hidden="1" customHeight="1" x14ac:dyDescent="0.35">
      <c r="A290" s="280" t="s">
        <v>795</v>
      </c>
      <c r="B290" s="247" t="s">
        <v>232</v>
      </c>
      <c r="C290" s="292" t="s">
        <v>856</v>
      </c>
      <c r="D290" s="289">
        <v>73181104</v>
      </c>
      <c r="E290" s="300" t="s">
        <v>867</v>
      </c>
      <c r="F290" s="247" t="s">
        <v>868</v>
      </c>
      <c r="G290" s="285" t="s">
        <v>74</v>
      </c>
      <c r="H290" s="285" t="s">
        <v>76</v>
      </c>
      <c r="I290" s="285">
        <v>90</v>
      </c>
      <c r="J290" s="263" t="s">
        <v>359</v>
      </c>
      <c r="K290" s="297">
        <v>15000000</v>
      </c>
      <c r="L290" s="298">
        <v>0.19</v>
      </c>
      <c r="M290" s="255">
        <v>2850000</v>
      </c>
      <c r="N290" s="299">
        <v>17850000</v>
      </c>
      <c r="O290" s="285" t="s">
        <v>859</v>
      </c>
      <c r="P290" s="292" t="s">
        <v>848</v>
      </c>
      <c r="Q290" s="259">
        <v>17850000</v>
      </c>
      <c r="R290" s="293">
        <v>0</v>
      </c>
      <c r="S290" s="293">
        <v>0</v>
      </c>
      <c r="T290" s="293">
        <v>0</v>
      </c>
      <c r="U290" s="292" t="s">
        <v>860</v>
      </c>
    </row>
    <row r="291" spans="1:21" ht="41.5" hidden="1" customHeight="1" x14ac:dyDescent="0.35">
      <c r="A291" s="280" t="s">
        <v>795</v>
      </c>
      <c r="B291" s="247" t="s">
        <v>232</v>
      </c>
      <c r="C291" s="292" t="s">
        <v>856</v>
      </c>
      <c r="D291" s="289">
        <v>72102900</v>
      </c>
      <c r="E291" s="300" t="s">
        <v>837</v>
      </c>
      <c r="F291" s="247" t="s">
        <v>869</v>
      </c>
      <c r="G291" s="285" t="s">
        <v>74</v>
      </c>
      <c r="H291" s="285" t="s">
        <v>76</v>
      </c>
      <c r="I291" s="285">
        <v>90</v>
      </c>
      <c r="J291" s="263" t="s">
        <v>359</v>
      </c>
      <c r="K291" s="297">
        <v>11000000</v>
      </c>
      <c r="L291" s="298">
        <v>0.19</v>
      </c>
      <c r="M291" s="255">
        <v>2090000</v>
      </c>
      <c r="N291" s="299">
        <v>13090000</v>
      </c>
      <c r="O291" s="285" t="s">
        <v>859</v>
      </c>
      <c r="P291" s="292" t="s">
        <v>848</v>
      </c>
      <c r="Q291" s="259">
        <v>13090000</v>
      </c>
      <c r="R291" s="293">
        <v>0</v>
      </c>
      <c r="S291" s="293">
        <v>0</v>
      </c>
      <c r="T291" s="293">
        <v>0</v>
      </c>
      <c r="U291" s="292" t="s">
        <v>860</v>
      </c>
    </row>
    <row r="292" spans="1:21" ht="41.5" hidden="1" customHeight="1" x14ac:dyDescent="0.35">
      <c r="A292" s="280" t="s">
        <v>795</v>
      </c>
      <c r="B292" s="247" t="s">
        <v>232</v>
      </c>
      <c r="C292" s="292" t="s">
        <v>856</v>
      </c>
      <c r="D292" s="289">
        <v>80141902</v>
      </c>
      <c r="E292" s="300" t="s">
        <v>785</v>
      </c>
      <c r="F292" s="247" t="s">
        <v>870</v>
      </c>
      <c r="G292" s="289" t="s">
        <v>73</v>
      </c>
      <c r="H292" s="285" t="s">
        <v>74</v>
      </c>
      <c r="I292" s="301">
        <v>1</v>
      </c>
      <c r="J292" s="252" t="s">
        <v>359</v>
      </c>
      <c r="K292" s="297">
        <v>9473600</v>
      </c>
      <c r="L292" s="298">
        <v>0.19</v>
      </c>
      <c r="M292" s="255">
        <v>1799984</v>
      </c>
      <c r="N292" s="299">
        <v>11273584</v>
      </c>
      <c r="O292" s="285" t="s">
        <v>859</v>
      </c>
      <c r="P292" s="292" t="s">
        <v>848</v>
      </c>
      <c r="Q292" s="259">
        <v>11273584</v>
      </c>
      <c r="R292" s="293">
        <v>0</v>
      </c>
      <c r="S292" s="293">
        <v>0</v>
      </c>
      <c r="T292" s="293">
        <v>0</v>
      </c>
      <c r="U292" s="292" t="s">
        <v>860</v>
      </c>
    </row>
    <row r="293" spans="1:21" ht="41.5" hidden="1" customHeight="1" x14ac:dyDescent="0.35">
      <c r="A293" s="280" t="s">
        <v>795</v>
      </c>
      <c r="B293" s="247" t="s">
        <v>232</v>
      </c>
      <c r="C293" s="292" t="s">
        <v>856</v>
      </c>
      <c r="D293" s="289">
        <v>23181801</v>
      </c>
      <c r="E293" s="300" t="s">
        <v>871</v>
      </c>
      <c r="F293" s="284" t="s">
        <v>872</v>
      </c>
      <c r="G293" s="289" t="s">
        <v>72</v>
      </c>
      <c r="H293" s="285" t="s">
        <v>73</v>
      </c>
      <c r="I293" s="289">
        <v>60</v>
      </c>
      <c r="J293" s="252" t="s">
        <v>470</v>
      </c>
      <c r="K293" s="302">
        <v>1500000</v>
      </c>
      <c r="L293" s="298">
        <v>0.19</v>
      </c>
      <c r="M293" s="255">
        <v>285000</v>
      </c>
      <c r="N293" s="299">
        <v>1785000</v>
      </c>
      <c r="O293" s="285" t="s">
        <v>859</v>
      </c>
      <c r="P293" s="292" t="s">
        <v>848</v>
      </c>
      <c r="Q293" s="259">
        <v>1785000</v>
      </c>
      <c r="R293" s="293">
        <v>0</v>
      </c>
      <c r="S293" s="293">
        <v>0</v>
      </c>
      <c r="T293" s="293">
        <v>0</v>
      </c>
      <c r="U293" s="292" t="s">
        <v>860</v>
      </c>
    </row>
    <row r="294" spans="1:21" ht="41.5" hidden="1" customHeight="1" x14ac:dyDescent="0.35">
      <c r="A294" s="280" t="s">
        <v>795</v>
      </c>
      <c r="B294" s="247" t="s">
        <v>232</v>
      </c>
      <c r="C294" s="292" t="s">
        <v>856</v>
      </c>
      <c r="D294" s="289">
        <v>52141502</v>
      </c>
      <c r="E294" s="300" t="s">
        <v>803</v>
      </c>
      <c r="F294" s="284" t="s">
        <v>873</v>
      </c>
      <c r="G294" s="289" t="s">
        <v>72</v>
      </c>
      <c r="H294" s="285" t="s">
        <v>73</v>
      </c>
      <c r="I294" s="301">
        <v>1</v>
      </c>
      <c r="J294" s="252" t="s">
        <v>470</v>
      </c>
      <c r="K294" s="297">
        <v>2800000</v>
      </c>
      <c r="L294" s="298">
        <v>0.19</v>
      </c>
      <c r="M294" s="255">
        <v>532000</v>
      </c>
      <c r="N294" s="299">
        <v>3332000</v>
      </c>
      <c r="O294" s="285" t="s">
        <v>859</v>
      </c>
      <c r="P294" s="292" t="s">
        <v>848</v>
      </c>
      <c r="Q294" s="259">
        <v>3332000</v>
      </c>
      <c r="R294" s="293">
        <v>0</v>
      </c>
      <c r="S294" s="293">
        <v>0</v>
      </c>
      <c r="T294" s="293">
        <v>0</v>
      </c>
      <c r="U294" s="292" t="s">
        <v>860</v>
      </c>
    </row>
    <row r="295" spans="1:21" ht="41.5" hidden="1" customHeight="1" x14ac:dyDescent="0.35">
      <c r="A295" s="280" t="s">
        <v>795</v>
      </c>
      <c r="B295" s="247" t="s">
        <v>232</v>
      </c>
      <c r="C295" s="292" t="s">
        <v>856</v>
      </c>
      <c r="D295" s="289">
        <v>80141902</v>
      </c>
      <c r="E295" s="300" t="s">
        <v>785</v>
      </c>
      <c r="F295" s="247" t="s">
        <v>807</v>
      </c>
      <c r="G295" s="289" t="s">
        <v>71</v>
      </c>
      <c r="H295" s="285" t="s">
        <v>72</v>
      </c>
      <c r="I295" s="301">
        <v>1</v>
      </c>
      <c r="J295" s="252" t="s">
        <v>359</v>
      </c>
      <c r="K295" s="297">
        <v>11340000</v>
      </c>
      <c r="L295" s="298">
        <v>0.19</v>
      </c>
      <c r="M295" s="255">
        <v>2154600</v>
      </c>
      <c r="N295" s="299">
        <v>13494600</v>
      </c>
      <c r="O295" s="285" t="s">
        <v>859</v>
      </c>
      <c r="P295" s="292" t="s">
        <v>848</v>
      </c>
      <c r="Q295" s="259">
        <v>13494600</v>
      </c>
      <c r="R295" s="293">
        <v>0</v>
      </c>
      <c r="S295" s="293">
        <v>0</v>
      </c>
      <c r="T295" s="293">
        <v>0</v>
      </c>
      <c r="U295" s="292" t="s">
        <v>860</v>
      </c>
    </row>
    <row r="296" spans="1:21" ht="41.5" hidden="1" customHeight="1" x14ac:dyDescent="0.35">
      <c r="A296" s="280" t="s">
        <v>795</v>
      </c>
      <c r="B296" s="247" t="s">
        <v>232</v>
      </c>
      <c r="C296" s="292" t="s">
        <v>856</v>
      </c>
      <c r="D296" s="289">
        <v>80141902</v>
      </c>
      <c r="E296" s="300" t="s">
        <v>785</v>
      </c>
      <c r="F296" s="247" t="s">
        <v>874</v>
      </c>
      <c r="G296" s="285" t="s">
        <v>76</v>
      </c>
      <c r="H296" s="285" t="s">
        <v>77</v>
      </c>
      <c r="I296" s="301">
        <v>1</v>
      </c>
      <c r="J296" s="252" t="s">
        <v>359</v>
      </c>
      <c r="K296" s="297">
        <v>11340000</v>
      </c>
      <c r="L296" s="298">
        <v>0.19</v>
      </c>
      <c r="M296" s="255">
        <v>2154600</v>
      </c>
      <c r="N296" s="299">
        <v>13494600</v>
      </c>
      <c r="O296" s="285" t="s">
        <v>859</v>
      </c>
      <c r="P296" s="292" t="s">
        <v>848</v>
      </c>
      <c r="Q296" s="259">
        <v>13494600</v>
      </c>
      <c r="R296" s="293">
        <v>0</v>
      </c>
      <c r="S296" s="293">
        <v>0</v>
      </c>
      <c r="T296" s="293">
        <v>0</v>
      </c>
      <c r="U296" s="292" t="s">
        <v>860</v>
      </c>
    </row>
    <row r="297" spans="1:21" ht="41.5" hidden="1" customHeight="1" x14ac:dyDescent="0.35">
      <c r="A297" s="280" t="s">
        <v>795</v>
      </c>
      <c r="B297" s="247" t="s">
        <v>232</v>
      </c>
      <c r="C297" s="292" t="s">
        <v>856</v>
      </c>
      <c r="D297" s="289">
        <v>80141902</v>
      </c>
      <c r="E297" s="300" t="s">
        <v>785</v>
      </c>
      <c r="F297" s="247" t="s">
        <v>875</v>
      </c>
      <c r="G297" s="285" t="s">
        <v>73</v>
      </c>
      <c r="H297" s="285" t="s">
        <v>74</v>
      </c>
      <c r="I297" s="301">
        <v>1</v>
      </c>
      <c r="J297" s="252" t="s">
        <v>470</v>
      </c>
      <c r="K297" s="297">
        <v>3320000</v>
      </c>
      <c r="L297" s="298">
        <v>0.19</v>
      </c>
      <c r="M297" s="255">
        <v>630800</v>
      </c>
      <c r="N297" s="299">
        <v>3950800</v>
      </c>
      <c r="O297" s="285" t="s">
        <v>859</v>
      </c>
      <c r="P297" s="292" t="s">
        <v>848</v>
      </c>
      <c r="Q297" s="259">
        <v>3950800</v>
      </c>
      <c r="R297" s="293">
        <v>0</v>
      </c>
      <c r="S297" s="293">
        <v>0</v>
      </c>
      <c r="T297" s="293">
        <v>0</v>
      </c>
      <c r="U297" s="292" t="s">
        <v>860</v>
      </c>
    </row>
    <row r="298" spans="1:21" ht="41.5" hidden="1" customHeight="1" x14ac:dyDescent="0.35">
      <c r="A298" s="280" t="s">
        <v>795</v>
      </c>
      <c r="B298" s="247" t="s">
        <v>232</v>
      </c>
      <c r="C298" s="292" t="s">
        <v>856</v>
      </c>
      <c r="D298" s="289">
        <v>80141902</v>
      </c>
      <c r="E298" s="300" t="s">
        <v>785</v>
      </c>
      <c r="F298" s="247" t="s">
        <v>826</v>
      </c>
      <c r="G298" s="285" t="s">
        <v>76</v>
      </c>
      <c r="H298" s="285" t="s">
        <v>77</v>
      </c>
      <c r="I298" s="301">
        <v>1</v>
      </c>
      <c r="J298" s="252" t="s">
        <v>359</v>
      </c>
      <c r="K298" s="297">
        <v>13200000</v>
      </c>
      <c r="L298" s="298">
        <v>0.19</v>
      </c>
      <c r="M298" s="255">
        <v>2508000</v>
      </c>
      <c r="N298" s="255">
        <v>15708000</v>
      </c>
      <c r="O298" s="285" t="s">
        <v>859</v>
      </c>
      <c r="P298" s="292" t="s">
        <v>848</v>
      </c>
      <c r="Q298" s="259">
        <v>15708000</v>
      </c>
      <c r="R298" s="293">
        <v>0</v>
      </c>
      <c r="S298" s="293">
        <v>0</v>
      </c>
      <c r="T298" s="293">
        <v>0</v>
      </c>
      <c r="U298" s="292" t="s">
        <v>860</v>
      </c>
    </row>
    <row r="299" spans="1:21" ht="41.5" hidden="1" customHeight="1" x14ac:dyDescent="0.35">
      <c r="A299" s="280" t="s">
        <v>795</v>
      </c>
      <c r="B299" s="247" t="s">
        <v>232</v>
      </c>
      <c r="C299" s="292" t="s">
        <v>856</v>
      </c>
      <c r="D299" s="289">
        <v>78181703</v>
      </c>
      <c r="E299" s="300" t="s">
        <v>821</v>
      </c>
      <c r="F299" s="247" t="s">
        <v>876</v>
      </c>
      <c r="G299" s="285" t="s">
        <v>66</v>
      </c>
      <c r="H299" s="285" t="s">
        <v>66</v>
      </c>
      <c r="I299" s="263">
        <v>365</v>
      </c>
      <c r="J299" s="252" t="s">
        <v>359</v>
      </c>
      <c r="K299" s="297">
        <v>85680000</v>
      </c>
      <c r="L299" s="298">
        <v>0.19</v>
      </c>
      <c r="M299" s="255">
        <v>16279200</v>
      </c>
      <c r="N299" s="299">
        <v>101959200</v>
      </c>
      <c r="O299" s="285" t="s">
        <v>859</v>
      </c>
      <c r="P299" s="292" t="s">
        <v>848</v>
      </c>
      <c r="Q299" s="259">
        <v>101959200</v>
      </c>
      <c r="R299" s="293">
        <v>0</v>
      </c>
      <c r="S299" s="293">
        <v>0</v>
      </c>
      <c r="T299" s="293">
        <v>0</v>
      </c>
      <c r="U299" s="292" t="s">
        <v>860</v>
      </c>
    </row>
    <row r="300" spans="1:21" ht="41.5" hidden="1" customHeight="1" x14ac:dyDescent="0.35">
      <c r="A300" s="280" t="s">
        <v>795</v>
      </c>
      <c r="B300" s="247" t="s">
        <v>232</v>
      </c>
      <c r="C300" s="292" t="s">
        <v>856</v>
      </c>
      <c r="D300" s="289">
        <v>72101511</v>
      </c>
      <c r="E300" s="300" t="s">
        <v>811</v>
      </c>
      <c r="F300" s="284" t="s">
        <v>877</v>
      </c>
      <c r="G300" s="289" t="s">
        <v>66</v>
      </c>
      <c r="H300" s="285" t="s">
        <v>66</v>
      </c>
      <c r="I300" s="263">
        <v>365</v>
      </c>
      <c r="J300" s="252" t="s">
        <v>359</v>
      </c>
      <c r="K300" s="297">
        <v>7172000</v>
      </c>
      <c r="L300" s="298">
        <v>0.19</v>
      </c>
      <c r="M300" s="255">
        <v>1362680</v>
      </c>
      <c r="N300" s="299">
        <v>8534680</v>
      </c>
      <c r="O300" s="285" t="s">
        <v>859</v>
      </c>
      <c r="P300" s="292" t="s">
        <v>848</v>
      </c>
      <c r="Q300" s="259">
        <v>8534680</v>
      </c>
      <c r="R300" s="303">
        <v>0</v>
      </c>
      <c r="S300" s="303">
        <v>0</v>
      </c>
      <c r="T300" s="303">
        <v>0</v>
      </c>
      <c r="U300" s="292" t="s">
        <v>860</v>
      </c>
    </row>
    <row r="301" spans="1:21" ht="41.5" hidden="1" customHeight="1" x14ac:dyDescent="0.35">
      <c r="A301" s="280" t="s">
        <v>795</v>
      </c>
      <c r="B301" s="247" t="s">
        <v>232</v>
      </c>
      <c r="C301" s="247" t="s">
        <v>878</v>
      </c>
      <c r="D301" s="263">
        <v>78181703</v>
      </c>
      <c r="E301" s="249" t="s">
        <v>821</v>
      </c>
      <c r="F301" s="247" t="s">
        <v>879</v>
      </c>
      <c r="G301" s="264" t="s">
        <v>66</v>
      </c>
      <c r="H301" s="250" t="s">
        <v>66</v>
      </c>
      <c r="I301" s="251">
        <v>333</v>
      </c>
      <c r="J301" s="252" t="s">
        <v>359</v>
      </c>
      <c r="K301" s="253">
        <v>24201681</v>
      </c>
      <c r="L301" s="254">
        <v>0.19</v>
      </c>
      <c r="M301" s="255">
        <v>4598319.3899999997</v>
      </c>
      <c r="N301" s="256">
        <v>28800000.390000001</v>
      </c>
      <c r="O301" s="257" t="s">
        <v>365</v>
      </c>
      <c r="P301" s="258" t="s">
        <v>91</v>
      </c>
      <c r="Q301" s="259">
        <v>28800000.390000001</v>
      </c>
      <c r="R301" s="259">
        <v>0</v>
      </c>
      <c r="S301" s="259">
        <v>0</v>
      </c>
      <c r="T301" s="259">
        <v>0</v>
      </c>
      <c r="U301" s="247" t="s">
        <v>880</v>
      </c>
    </row>
    <row r="302" spans="1:21" ht="41.5" hidden="1" customHeight="1" x14ac:dyDescent="0.35">
      <c r="A302" s="280" t="s">
        <v>795</v>
      </c>
      <c r="B302" s="247" t="s">
        <v>232</v>
      </c>
      <c r="C302" s="247" t="s">
        <v>878</v>
      </c>
      <c r="D302" s="263">
        <v>72101511</v>
      </c>
      <c r="E302" s="249" t="s">
        <v>801</v>
      </c>
      <c r="F302" s="284" t="s">
        <v>881</v>
      </c>
      <c r="G302" s="264" t="s">
        <v>66</v>
      </c>
      <c r="H302" s="250" t="s">
        <v>66</v>
      </c>
      <c r="I302" s="251">
        <v>333</v>
      </c>
      <c r="J302" s="252" t="s">
        <v>470</v>
      </c>
      <c r="K302" s="253">
        <v>4377388</v>
      </c>
      <c r="L302" s="254">
        <v>0.19</v>
      </c>
      <c r="M302" s="255">
        <v>831703.72</v>
      </c>
      <c r="N302" s="256">
        <v>5209091.72</v>
      </c>
      <c r="O302" s="257" t="s">
        <v>365</v>
      </c>
      <c r="P302" s="258" t="s">
        <v>91</v>
      </c>
      <c r="Q302" s="259">
        <v>5209092</v>
      </c>
      <c r="R302" s="259">
        <v>0</v>
      </c>
      <c r="S302" s="259">
        <v>0</v>
      </c>
      <c r="T302" s="259">
        <v>0</v>
      </c>
      <c r="U302" s="247" t="s">
        <v>880</v>
      </c>
    </row>
    <row r="303" spans="1:21" ht="41.5" hidden="1" customHeight="1" x14ac:dyDescent="0.35">
      <c r="A303" s="280" t="s">
        <v>795</v>
      </c>
      <c r="B303" s="247" t="s">
        <v>232</v>
      </c>
      <c r="C303" s="247" t="s">
        <v>878</v>
      </c>
      <c r="D303" s="263">
        <v>73152108</v>
      </c>
      <c r="E303" s="249" t="s">
        <v>882</v>
      </c>
      <c r="F303" s="284" t="s">
        <v>883</v>
      </c>
      <c r="G303" s="264" t="s">
        <v>66</v>
      </c>
      <c r="H303" s="250" t="s">
        <v>66</v>
      </c>
      <c r="I303" s="251">
        <v>333</v>
      </c>
      <c r="J303" s="252" t="s">
        <v>470</v>
      </c>
      <c r="K303" s="253">
        <v>4787787</v>
      </c>
      <c r="L303" s="254">
        <v>0.19</v>
      </c>
      <c r="M303" s="255">
        <v>909679.53</v>
      </c>
      <c r="N303" s="256">
        <v>5697466.5300000003</v>
      </c>
      <c r="O303" s="257" t="s">
        <v>365</v>
      </c>
      <c r="P303" s="258" t="s">
        <v>91</v>
      </c>
      <c r="Q303" s="259">
        <v>5697467</v>
      </c>
      <c r="R303" s="259">
        <v>0</v>
      </c>
      <c r="S303" s="259">
        <v>0</v>
      </c>
      <c r="T303" s="259">
        <v>0</v>
      </c>
      <c r="U303" s="247" t="s">
        <v>880</v>
      </c>
    </row>
    <row r="304" spans="1:21" ht="41.5" hidden="1" customHeight="1" x14ac:dyDescent="0.35">
      <c r="A304" s="280" t="s">
        <v>795</v>
      </c>
      <c r="B304" s="247" t="s">
        <v>232</v>
      </c>
      <c r="C304" s="247" t="s">
        <v>878</v>
      </c>
      <c r="D304" s="263">
        <v>80141902</v>
      </c>
      <c r="E304" s="249" t="s">
        <v>785</v>
      </c>
      <c r="F304" s="247" t="s">
        <v>884</v>
      </c>
      <c r="G304" s="250" t="s">
        <v>73</v>
      </c>
      <c r="H304" s="250" t="s">
        <v>73</v>
      </c>
      <c r="I304" s="251">
        <v>10</v>
      </c>
      <c r="J304" s="252" t="s">
        <v>470</v>
      </c>
      <c r="K304" s="253">
        <v>3412800</v>
      </c>
      <c r="L304" s="254">
        <v>0.19</v>
      </c>
      <c r="M304" s="255">
        <v>648432</v>
      </c>
      <c r="N304" s="256">
        <v>4061232</v>
      </c>
      <c r="O304" s="257" t="s">
        <v>365</v>
      </c>
      <c r="P304" s="258" t="s">
        <v>91</v>
      </c>
      <c r="Q304" s="259">
        <v>4061232</v>
      </c>
      <c r="R304" s="259">
        <v>0</v>
      </c>
      <c r="S304" s="259">
        <v>0</v>
      </c>
      <c r="T304" s="259">
        <v>0</v>
      </c>
      <c r="U304" s="247" t="s">
        <v>880</v>
      </c>
    </row>
    <row r="305" spans="1:21" ht="41.5" hidden="1" customHeight="1" x14ac:dyDescent="0.35">
      <c r="A305" s="280" t="s">
        <v>795</v>
      </c>
      <c r="B305" s="247" t="s">
        <v>232</v>
      </c>
      <c r="C305" s="247" t="s">
        <v>878</v>
      </c>
      <c r="D305" s="263">
        <v>80141902</v>
      </c>
      <c r="E305" s="249" t="s">
        <v>785</v>
      </c>
      <c r="F305" s="247" t="s">
        <v>885</v>
      </c>
      <c r="G305" s="250" t="s">
        <v>73</v>
      </c>
      <c r="H305" s="250" t="s">
        <v>73</v>
      </c>
      <c r="I305" s="251">
        <v>10</v>
      </c>
      <c r="J305" s="252" t="s">
        <v>470</v>
      </c>
      <c r="K305" s="253">
        <v>1760000</v>
      </c>
      <c r="L305" s="254">
        <v>0.19</v>
      </c>
      <c r="M305" s="255">
        <v>334400</v>
      </c>
      <c r="N305" s="256">
        <v>2094400</v>
      </c>
      <c r="O305" s="257" t="s">
        <v>365</v>
      </c>
      <c r="P305" s="258" t="s">
        <v>91</v>
      </c>
      <c r="Q305" s="259">
        <v>2094400</v>
      </c>
      <c r="R305" s="259">
        <v>0</v>
      </c>
      <c r="S305" s="259">
        <v>0</v>
      </c>
      <c r="T305" s="259">
        <v>0</v>
      </c>
      <c r="U305" s="247" t="s">
        <v>880</v>
      </c>
    </row>
    <row r="306" spans="1:21" ht="41.5" hidden="1" customHeight="1" x14ac:dyDescent="0.35">
      <c r="A306" s="280" t="s">
        <v>795</v>
      </c>
      <c r="B306" s="247" t="s">
        <v>232</v>
      </c>
      <c r="C306" s="247" t="s">
        <v>878</v>
      </c>
      <c r="D306" s="263">
        <v>80141902</v>
      </c>
      <c r="E306" s="249" t="s">
        <v>785</v>
      </c>
      <c r="F306" s="247" t="s">
        <v>886</v>
      </c>
      <c r="G306" s="250" t="s">
        <v>77</v>
      </c>
      <c r="H306" s="250" t="s">
        <v>77</v>
      </c>
      <c r="I306" s="251">
        <v>10</v>
      </c>
      <c r="J306" s="252" t="s">
        <v>470</v>
      </c>
      <c r="K306" s="253">
        <v>4620000</v>
      </c>
      <c r="L306" s="254">
        <v>0.19</v>
      </c>
      <c r="M306" s="255">
        <v>877800</v>
      </c>
      <c r="N306" s="256">
        <v>5497800</v>
      </c>
      <c r="O306" s="257" t="s">
        <v>365</v>
      </c>
      <c r="P306" s="258" t="s">
        <v>91</v>
      </c>
      <c r="Q306" s="259">
        <v>5497800</v>
      </c>
      <c r="R306" s="259">
        <v>0</v>
      </c>
      <c r="S306" s="259">
        <v>0</v>
      </c>
      <c r="T306" s="259">
        <v>0</v>
      </c>
      <c r="U306" s="247" t="s">
        <v>880</v>
      </c>
    </row>
    <row r="307" spans="1:21" ht="41.5" hidden="1" customHeight="1" x14ac:dyDescent="0.35">
      <c r="A307" s="280" t="s">
        <v>795</v>
      </c>
      <c r="B307" s="247" t="s">
        <v>232</v>
      </c>
      <c r="C307" s="247" t="s">
        <v>878</v>
      </c>
      <c r="D307" s="263">
        <v>40101701</v>
      </c>
      <c r="E307" s="249" t="s">
        <v>801</v>
      </c>
      <c r="F307" s="284" t="s">
        <v>887</v>
      </c>
      <c r="G307" s="250" t="s">
        <v>72</v>
      </c>
      <c r="H307" s="250" t="s">
        <v>72</v>
      </c>
      <c r="I307" s="251">
        <v>30</v>
      </c>
      <c r="J307" s="252" t="s">
        <v>359</v>
      </c>
      <c r="K307" s="253">
        <v>15500000</v>
      </c>
      <c r="L307" s="254">
        <v>0.19</v>
      </c>
      <c r="M307" s="255">
        <v>2945000</v>
      </c>
      <c r="N307" s="256">
        <v>18445000</v>
      </c>
      <c r="O307" s="257" t="s">
        <v>365</v>
      </c>
      <c r="P307" s="258" t="s">
        <v>91</v>
      </c>
      <c r="Q307" s="259">
        <v>18445000</v>
      </c>
      <c r="R307" s="259">
        <v>0</v>
      </c>
      <c r="S307" s="259">
        <v>0</v>
      </c>
      <c r="T307" s="259">
        <v>0</v>
      </c>
      <c r="U307" s="247" t="s">
        <v>880</v>
      </c>
    </row>
    <row r="308" spans="1:21" ht="41.5" hidden="1" customHeight="1" x14ac:dyDescent="0.35">
      <c r="A308" s="280" t="s">
        <v>795</v>
      </c>
      <c r="B308" s="247" t="s">
        <v>232</v>
      </c>
      <c r="C308" s="247" t="s">
        <v>878</v>
      </c>
      <c r="D308" s="263">
        <v>80141902</v>
      </c>
      <c r="E308" s="249" t="s">
        <v>785</v>
      </c>
      <c r="F308" s="247" t="s">
        <v>807</v>
      </c>
      <c r="G308" s="264" t="s">
        <v>66</v>
      </c>
      <c r="H308" s="250" t="s">
        <v>66</v>
      </c>
      <c r="I308" s="251">
        <v>70</v>
      </c>
      <c r="J308" s="252" t="s">
        <v>359</v>
      </c>
      <c r="K308" s="253">
        <v>10480000</v>
      </c>
      <c r="L308" s="254">
        <v>0.19</v>
      </c>
      <c r="M308" s="255">
        <v>1991200</v>
      </c>
      <c r="N308" s="256">
        <v>12471200</v>
      </c>
      <c r="O308" s="257" t="s">
        <v>365</v>
      </c>
      <c r="P308" s="258" t="s">
        <v>91</v>
      </c>
      <c r="Q308" s="259">
        <v>12471200</v>
      </c>
      <c r="R308" s="259">
        <v>0</v>
      </c>
      <c r="S308" s="259">
        <v>0</v>
      </c>
      <c r="T308" s="259">
        <v>0</v>
      </c>
      <c r="U308" s="247" t="s">
        <v>880</v>
      </c>
    </row>
    <row r="309" spans="1:21" ht="41.5" hidden="1" customHeight="1" x14ac:dyDescent="0.35">
      <c r="A309" s="280" t="s">
        <v>795</v>
      </c>
      <c r="B309" s="247" t="s">
        <v>232</v>
      </c>
      <c r="C309" s="247" t="s">
        <v>878</v>
      </c>
      <c r="D309" s="263">
        <v>80141902</v>
      </c>
      <c r="E309" s="249" t="s">
        <v>785</v>
      </c>
      <c r="F309" s="247" t="s">
        <v>809</v>
      </c>
      <c r="G309" s="250" t="s">
        <v>76</v>
      </c>
      <c r="H309" s="250" t="s">
        <v>76</v>
      </c>
      <c r="I309" s="251">
        <v>30</v>
      </c>
      <c r="J309" s="252" t="s">
        <v>359</v>
      </c>
      <c r="K309" s="253">
        <v>10480000</v>
      </c>
      <c r="L309" s="254">
        <v>0.19</v>
      </c>
      <c r="M309" s="255">
        <v>1991200</v>
      </c>
      <c r="N309" s="256">
        <v>12471200</v>
      </c>
      <c r="O309" s="257" t="s">
        <v>365</v>
      </c>
      <c r="P309" s="258" t="s">
        <v>91</v>
      </c>
      <c r="Q309" s="259">
        <v>12471200</v>
      </c>
      <c r="R309" s="259">
        <v>0</v>
      </c>
      <c r="S309" s="259">
        <v>0</v>
      </c>
      <c r="T309" s="259">
        <v>0</v>
      </c>
      <c r="U309" s="247" t="s">
        <v>880</v>
      </c>
    </row>
    <row r="310" spans="1:21" ht="41.5" hidden="1" customHeight="1" x14ac:dyDescent="0.35">
      <c r="A310" s="280" t="s">
        <v>795</v>
      </c>
      <c r="B310" s="247" t="s">
        <v>232</v>
      </c>
      <c r="C310" s="247" t="s">
        <v>888</v>
      </c>
      <c r="D310" s="263">
        <v>56112103</v>
      </c>
      <c r="E310" s="249" t="s">
        <v>889</v>
      </c>
      <c r="F310" s="284" t="s">
        <v>890</v>
      </c>
      <c r="G310" s="250" t="s">
        <v>72</v>
      </c>
      <c r="H310" s="250" t="s">
        <v>72</v>
      </c>
      <c r="I310" s="251">
        <v>60</v>
      </c>
      <c r="J310" s="252" t="s">
        <v>359</v>
      </c>
      <c r="K310" s="253">
        <v>14100000</v>
      </c>
      <c r="L310" s="254">
        <v>0.19</v>
      </c>
      <c r="M310" s="255">
        <v>2679000</v>
      </c>
      <c r="N310" s="256">
        <v>16779000</v>
      </c>
      <c r="O310" s="257" t="s">
        <v>365</v>
      </c>
      <c r="P310" s="258" t="s">
        <v>91</v>
      </c>
      <c r="Q310" s="259">
        <v>16779000</v>
      </c>
      <c r="R310" s="259">
        <v>0</v>
      </c>
      <c r="S310" s="259">
        <v>0</v>
      </c>
      <c r="T310" s="259">
        <v>0</v>
      </c>
      <c r="U310" s="247" t="s">
        <v>891</v>
      </c>
    </row>
    <row r="311" spans="1:21" ht="41.5" hidden="1" customHeight="1" x14ac:dyDescent="0.35">
      <c r="A311" s="280" t="s">
        <v>795</v>
      </c>
      <c r="B311" s="247" t="s">
        <v>232</v>
      </c>
      <c r="C311" s="247" t="s">
        <v>888</v>
      </c>
      <c r="D311" s="263">
        <v>72102900</v>
      </c>
      <c r="E311" s="249" t="s">
        <v>837</v>
      </c>
      <c r="F311" s="284" t="s">
        <v>892</v>
      </c>
      <c r="G311" s="250" t="s">
        <v>73</v>
      </c>
      <c r="H311" s="250" t="s">
        <v>73</v>
      </c>
      <c r="I311" s="251">
        <v>90</v>
      </c>
      <c r="J311" s="252" t="s">
        <v>359</v>
      </c>
      <c r="K311" s="253">
        <v>11000000</v>
      </c>
      <c r="L311" s="254">
        <v>0.19</v>
      </c>
      <c r="M311" s="255">
        <v>2090000</v>
      </c>
      <c r="N311" s="256">
        <v>13090000</v>
      </c>
      <c r="O311" s="257" t="s">
        <v>365</v>
      </c>
      <c r="P311" s="258" t="s">
        <v>91</v>
      </c>
      <c r="Q311" s="259">
        <v>13090000</v>
      </c>
      <c r="R311" s="259">
        <v>0</v>
      </c>
      <c r="S311" s="259">
        <v>0</v>
      </c>
      <c r="T311" s="259">
        <v>0</v>
      </c>
      <c r="U311" s="247" t="s">
        <v>891</v>
      </c>
    </row>
    <row r="312" spans="1:21" ht="41.5" hidden="1" customHeight="1" x14ac:dyDescent="0.35">
      <c r="A312" s="280" t="s">
        <v>795</v>
      </c>
      <c r="B312" s="247" t="s">
        <v>232</v>
      </c>
      <c r="C312" s="247" t="s">
        <v>888</v>
      </c>
      <c r="D312" s="263">
        <v>56101700</v>
      </c>
      <c r="E312" s="249" t="s">
        <v>893</v>
      </c>
      <c r="F312" s="284" t="s">
        <v>894</v>
      </c>
      <c r="G312" s="250" t="s">
        <v>75</v>
      </c>
      <c r="H312" s="250" t="s">
        <v>75</v>
      </c>
      <c r="I312" s="251">
        <v>90</v>
      </c>
      <c r="J312" s="267" t="s">
        <v>359</v>
      </c>
      <c r="K312" s="253">
        <v>7000000</v>
      </c>
      <c r="L312" s="254">
        <v>0.19</v>
      </c>
      <c r="M312" s="255">
        <v>1330000</v>
      </c>
      <c r="N312" s="256">
        <v>8330000</v>
      </c>
      <c r="O312" s="257" t="s">
        <v>365</v>
      </c>
      <c r="P312" s="258" t="s">
        <v>91</v>
      </c>
      <c r="Q312" s="259">
        <v>8330000</v>
      </c>
      <c r="R312" s="259">
        <v>0</v>
      </c>
      <c r="S312" s="259">
        <v>0</v>
      </c>
      <c r="T312" s="259">
        <v>0</v>
      </c>
      <c r="U312" s="247" t="s">
        <v>891</v>
      </c>
    </row>
    <row r="313" spans="1:21" ht="41.5" hidden="1" customHeight="1" x14ac:dyDescent="0.35">
      <c r="A313" s="280" t="s">
        <v>795</v>
      </c>
      <c r="B313" s="247" t="s">
        <v>232</v>
      </c>
      <c r="C313" s="247" t="s">
        <v>895</v>
      </c>
      <c r="D313" s="263">
        <v>72121103</v>
      </c>
      <c r="E313" s="249" t="s">
        <v>896</v>
      </c>
      <c r="F313" s="247" t="s">
        <v>897</v>
      </c>
      <c r="G313" s="250" t="s">
        <v>72</v>
      </c>
      <c r="H313" s="250" t="s">
        <v>72</v>
      </c>
      <c r="I313" s="251">
        <v>90</v>
      </c>
      <c r="J313" s="252" t="s">
        <v>359</v>
      </c>
      <c r="K313" s="253">
        <v>12000000</v>
      </c>
      <c r="L313" s="254">
        <v>0.19</v>
      </c>
      <c r="M313" s="255">
        <v>2280000</v>
      </c>
      <c r="N313" s="256">
        <v>14280000</v>
      </c>
      <c r="O313" s="257" t="s">
        <v>365</v>
      </c>
      <c r="P313" s="258" t="s">
        <v>91</v>
      </c>
      <c r="Q313" s="259">
        <v>14280000</v>
      </c>
      <c r="R313" s="259">
        <v>0</v>
      </c>
      <c r="S313" s="259">
        <v>0</v>
      </c>
      <c r="T313" s="259">
        <v>0</v>
      </c>
      <c r="U313" s="247" t="s">
        <v>898</v>
      </c>
    </row>
    <row r="314" spans="1:21" ht="41.5" hidden="1" customHeight="1" x14ac:dyDescent="0.35">
      <c r="A314" s="280" t="s">
        <v>795</v>
      </c>
      <c r="B314" s="247" t="s">
        <v>232</v>
      </c>
      <c r="C314" s="247" t="s">
        <v>895</v>
      </c>
      <c r="D314" s="263">
        <v>48102009</v>
      </c>
      <c r="E314" s="249" t="s">
        <v>899</v>
      </c>
      <c r="F314" s="284" t="s">
        <v>900</v>
      </c>
      <c r="G314" s="250" t="s">
        <v>74</v>
      </c>
      <c r="H314" s="250" t="s">
        <v>74</v>
      </c>
      <c r="I314" s="251">
        <v>30</v>
      </c>
      <c r="J314" s="252" t="s">
        <v>470</v>
      </c>
      <c r="K314" s="253">
        <v>6400000</v>
      </c>
      <c r="L314" s="254">
        <v>0.19</v>
      </c>
      <c r="M314" s="255">
        <v>1216000</v>
      </c>
      <c r="N314" s="256">
        <v>7616000</v>
      </c>
      <c r="O314" s="257" t="s">
        <v>365</v>
      </c>
      <c r="P314" s="258" t="s">
        <v>91</v>
      </c>
      <c r="Q314" s="259">
        <v>7616000</v>
      </c>
      <c r="R314" s="259">
        <v>0</v>
      </c>
      <c r="S314" s="259">
        <v>0</v>
      </c>
      <c r="T314" s="259">
        <v>0</v>
      </c>
      <c r="U314" s="247" t="s">
        <v>898</v>
      </c>
    </row>
    <row r="315" spans="1:21" ht="41.5" hidden="1" customHeight="1" x14ac:dyDescent="0.35">
      <c r="A315" s="280" t="s">
        <v>795</v>
      </c>
      <c r="B315" s="247" t="s">
        <v>232</v>
      </c>
      <c r="C315" s="247" t="s">
        <v>895</v>
      </c>
      <c r="D315" s="263">
        <v>30181507</v>
      </c>
      <c r="E315" s="249" t="s">
        <v>901</v>
      </c>
      <c r="F315" s="247" t="s">
        <v>902</v>
      </c>
      <c r="G315" s="250" t="s">
        <v>72</v>
      </c>
      <c r="H315" s="304" t="s">
        <v>72</v>
      </c>
      <c r="I315" s="251">
        <v>90</v>
      </c>
      <c r="J315" s="287" t="s">
        <v>470</v>
      </c>
      <c r="K315" s="253">
        <v>5000000</v>
      </c>
      <c r="L315" s="254">
        <v>0.19</v>
      </c>
      <c r="M315" s="255">
        <v>950000</v>
      </c>
      <c r="N315" s="256">
        <v>5950000</v>
      </c>
      <c r="O315" s="257" t="s">
        <v>365</v>
      </c>
      <c r="P315" s="258" t="s">
        <v>91</v>
      </c>
      <c r="Q315" s="259">
        <v>5950000</v>
      </c>
      <c r="R315" s="259">
        <v>0</v>
      </c>
      <c r="S315" s="259">
        <v>0</v>
      </c>
      <c r="T315" s="259">
        <v>0</v>
      </c>
      <c r="U315" s="247" t="s">
        <v>898</v>
      </c>
    </row>
    <row r="316" spans="1:21" ht="41.5" hidden="1" customHeight="1" x14ac:dyDescent="0.35">
      <c r="A316" s="280" t="s">
        <v>795</v>
      </c>
      <c r="B316" s="247" t="s">
        <v>232</v>
      </c>
      <c r="C316" s="247" t="s">
        <v>895</v>
      </c>
      <c r="D316" s="263">
        <v>52141502</v>
      </c>
      <c r="E316" s="249" t="s">
        <v>803</v>
      </c>
      <c r="F316" s="305" t="s">
        <v>903</v>
      </c>
      <c r="G316" s="306" t="s">
        <v>71</v>
      </c>
      <c r="H316" s="307" t="s">
        <v>71</v>
      </c>
      <c r="I316" s="308">
        <v>30</v>
      </c>
      <c r="J316" s="309" t="s">
        <v>470</v>
      </c>
      <c r="K316" s="253">
        <v>3000000</v>
      </c>
      <c r="L316" s="254">
        <v>0.19</v>
      </c>
      <c r="M316" s="255">
        <v>570000</v>
      </c>
      <c r="N316" s="256">
        <v>3570000</v>
      </c>
      <c r="O316" s="257" t="s">
        <v>365</v>
      </c>
      <c r="P316" s="258" t="s">
        <v>91</v>
      </c>
      <c r="Q316" s="259">
        <v>3570000</v>
      </c>
      <c r="R316" s="259">
        <v>0</v>
      </c>
      <c r="S316" s="259">
        <v>0</v>
      </c>
      <c r="T316" s="259">
        <v>0</v>
      </c>
      <c r="U316" s="247" t="s">
        <v>898</v>
      </c>
    </row>
    <row r="317" spans="1:21" ht="41.5" hidden="1" customHeight="1" x14ac:dyDescent="0.35">
      <c r="A317" s="280" t="s">
        <v>795</v>
      </c>
      <c r="B317" s="247" t="s">
        <v>232</v>
      </c>
      <c r="C317" s="247" t="s">
        <v>895</v>
      </c>
      <c r="D317" s="263">
        <v>56101519</v>
      </c>
      <c r="E317" s="249" t="s">
        <v>904</v>
      </c>
      <c r="F317" s="305" t="s">
        <v>905</v>
      </c>
      <c r="G317" s="310" t="s">
        <v>75</v>
      </c>
      <c r="H317" s="307" t="s">
        <v>75</v>
      </c>
      <c r="I317" s="308">
        <v>30</v>
      </c>
      <c r="J317" s="309" t="s">
        <v>470</v>
      </c>
      <c r="K317" s="253">
        <v>3500000</v>
      </c>
      <c r="L317" s="254">
        <v>0.19</v>
      </c>
      <c r="M317" s="255">
        <v>665000</v>
      </c>
      <c r="N317" s="256">
        <v>4165000</v>
      </c>
      <c r="O317" s="257" t="s">
        <v>365</v>
      </c>
      <c r="P317" s="258" t="s">
        <v>91</v>
      </c>
      <c r="Q317" s="259">
        <v>4165000</v>
      </c>
      <c r="R317" s="259">
        <v>0</v>
      </c>
      <c r="S317" s="259">
        <v>0</v>
      </c>
      <c r="T317" s="259">
        <v>0</v>
      </c>
      <c r="U317" s="247" t="s">
        <v>898</v>
      </c>
    </row>
    <row r="318" spans="1:21" ht="41.5" hidden="1" customHeight="1" x14ac:dyDescent="0.35">
      <c r="A318" s="280" t="s">
        <v>795</v>
      </c>
      <c r="B318" s="247" t="s">
        <v>232</v>
      </c>
      <c r="C318" s="247" t="s">
        <v>895</v>
      </c>
      <c r="D318" s="263">
        <v>43211613</v>
      </c>
      <c r="E318" s="249" t="s">
        <v>906</v>
      </c>
      <c r="F318" s="260" t="s">
        <v>907</v>
      </c>
      <c r="G318" s="310" t="s">
        <v>72</v>
      </c>
      <c r="H318" s="307" t="s">
        <v>72</v>
      </c>
      <c r="I318" s="308">
        <v>90</v>
      </c>
      <c r="J318" s="309" t="s">
        <v>359</v>
      </c>
      <c r="K318" s="253">
        <v>70000000</v>
      </c>
      <c r="L318" s="254">
        <v>0.19</v>
      </c>
      <c r="M318" s="255">
        <v>13300000</v>
      </c>
      <c r="N318" s="256">
        <v>83300000</v>
      </c>
      <c r="O318" s="257" t="s">
        <v>365</v>
      </c>
      <c r="P318" s="258" t="s">
        <v>91</v>
      </c>
      <c r="Q318" s="259">
        <v>83300000</v>
      </c>
      <c r="R318" s="259">
        <v>0</v>
      </c>
      <c r="S318" s="259">
        <v>0</v>
      </c>
      <c r="T318" s="259">
        <v>0</v>
      </c>
      <c r="U318" s="247" t="s">
        <v>898</v>
      </c>
    </row>
    <row r="319" spans="1:21" ht="41.5" hidden="1" customHeight="1" x14ac:dyDescent="0.35">
      <c r="A319" s="280" t="s">
        <v>795</v>
      </c>
      <c r="B319" s="247" t="s">
        <v>232</v>
      </c>
      <c r="C319" s="247" t="s">
        <v>895</v>
      </c>
      <c r="D319" s="263">
        <v>43232003</v>
      </c>
      <c r="E319" s="249" t="s">
        <v>908</v>
      </c>
      <c r="F319" s="305" t="s">
        <v>909</v>
      </c>
      <c r="G319" s="310" t="s">
        <v>76</v>
      </c>
      <c r="H319" s="307" t="s">
        <v>76</v>
      </c>
      <c r="I319" s="308">
        <v>30</v>
      </c>
      <c r="J319" s="309" t="s">
        <v>470</v>
      </c>
      <c r="K319" s="253">
        <v>1400000</v>
      </c>
      <c r="L319" s="254">
        <v>0.19</v>
      </c>
      <c r="M319" s="255">
        <v>266000</v>
      </c>
      <c r="N319" s="256">
        <v>1666000</v>
      </c>
      <c r="O319" s="257" t="s">
        <v>365</v>
      </c>
      <c r="P319" s="258" t="s">
        <v>91</v>
      </c>
      <c r="Q319" s="259">
        <v>1666000</v>
      </c>
      <c r="R319" s="259">
        <v>0</v>
      </c>
      <c r="S319" s="259">
        <v>0</v>
      </c>
      <c r="T319" s="259">
        <v>0</v>
      </c>
      <c r="U319" s="247" t="s">
        <v>898</v>
      </c>
    </row>
    <row r="320" spans="1:21" ht="41.5" hidden="1" customHeight="1" x14ac:dyDescent="0.35">
      <c r="A320" s="280" t="s">
        <v>795</v>
      </c>
      <c r="B320" s="247" t="s">
        <v>232</v>
      </c>
      <c r="C320" s="247" t="s">
        <v>910</v>
      </c>
      <c r="D320" s="261">
        <v>80141902</v>
      </c>
      <c r="E320" s="249" t="s">
        <v>785</v>
      </c>
      <c r="F320" s="247" t="s">
        <v>911</v>
      </c>
      <c r="G320" s="250" t="s">
        <v>73</v>
      </c>
      <c r="H320" s="250" t="s">
        <v>73</v>
      </c>
      <c r="I320" s="282">
        <v>1</v>
      </c>
      <c r="J320" s="252" t="s">
        <v>470</v>
      </c>
      <c r="K320" s="253">
        <v>2721600</v>
      </c>
      <c r="L320" s="254">
        <v>0.19</v>
      </c>
      <c r="M320" s="255">
        <v>517104</v>
      </c>
      <c r="N320" s="256">
        <v>3238704</v>
      </c>
      <c r="O320" s="257" t="s">
        <v>365</v>
      </c>
      <c r="P320" s="258" t="s">
        <v>91</v>
      </c>
      <c r="Q320" s="259">
        <v>3238704</v>
      </c>
      <c r="R320" s="259">
        <v>0</v>
      </c>
      <c r="S320" s="259">
        <v>0</v>
      </c>
      <c r="T320" s="259">
        <v>0</v>
      </c>
      <c r="U320" s="247" t="s">
        <v>912</v>
      </c>
    </row>
    <row r="321" spans="1:21" ht="41.5" hidden="1" customHeight="1" x14ac:dyDescent="0.35">
      <c r="A321" s="280" t="s">
        <v>795</v>
      </c>
      <c r="B321" s="247" t="s">
        <v>232</v>
      </c>
      <c r="C321" s="247" t="s">
        <v>910</v>
      </c>
      <c r="D321" s="261">
        <v>80141902</v>
      </c>
      <c r="E321" s="249" t="s">
        <v>785</v>
      </c>
      <c r="F321" s="247" t="s">
        <v>913</v>
      </c>
      <c r="G321" s="250" t="s">
        <v>76</v>
      </c>
      <c r="H321" s="250" t="s">
        <v>76</v>
      </c>
      <c r="I321" s="282">
        <v>1</v>
      </c>
      <c r="J321" s="252" t="s">
        <v>470</v>
      </c>
      <c r="K321" s="253">
        <v>5000000</v>
      </c>
      <c r="L321" s="254">
        <v>0.19</v>
      </c>
      <c r="M321" s="255">
        <v>950000</v>
      </c>
      <c r="N321" s="256">
        <v>5950000</v>
      </c>
      <c r="O321" s="257" t="s">
        <v>365</v>
      </c>
      <c r="P321" s="258" t="s">
        <v>91</v>
      </c>
      <c r="Q321" s="259">
        <v>5950000</v>
      </c>
      <c r="R321" s="259">
        <v>0</v>
      </c>
      <c r="S321" s="259">
        <v>0</v>
      </c>
      <c r="T321" s="259">
        <v>0</v>
      </c>
      <c r="U321" s="247" t="s">
        <v>912</v>
      </c>
    </row>
    <row r="322" spans="1:21" ht="41.5" hidden="1" customHeight="1" x14ac:dyDescent="0.35">
      <c r="A322" s="280" t="s">
        <v>795</v>
      </c>
      <c r="B322" s="247" t="s">
        <v>232</v>
      </c>
      <c r="C322" s="247" t="s">
        <v>910</v>
      </c>
      <c r="D322" s="261">
        <v>72101511</v>
      </c>
      <c r="E322" s="249" t="s">
        <v>811</v>
      </c>
      <c r="F322" s="284" t="s">
        <v>914</v>
      </c>
      <c r="G322" s="264" t="s">
        <v>66</v>
      </c>
      <c r="H322" s="250" t="s">
        <v>66</v>
      </c>
      <c r="I322" s="251">
        <v>365</v>
      </c>
      <c r="J322" s="252" t="s">
        <v>359</v>
      </c>
      <c r="K322" s="253">
        <v>16200000</v>
      </c>
      <c r="L322" s="254">
        <v>0.19</v>
      </c>
      <c r="M322" s="255">
        <v>3078000</v>
      </c>
      <c r="N322" s="256">
        <v>19278000</v>
      </c>
      <c r="O322" s="257" t="s">
        <v>365</v>
      </c>
      <c r="P322" s="258" t="s">
        <v>91</v>
      </c>
      <c r="Q322" s="259">
        <v>19278000</v>
      </c>
      <c r="R322" s="259">
        <v>0</v>
      </c>
      <c r="S322" s="259">
        <v>0</v>
      </c>
      <c r="T322" s="259">
        <v>0</v>
      </c>
      <c r="U322" s="247" t="s">
        <v>912</v>
      </c>
    </row>
    <row r="323" spans="1:21" ht="41.5" hidden="1" customHeight="1" x14ac:dyDescent="0.35">
      <c r="A323" s="280" t="s">
        <v>795</v>
      </c>
      <c r="B323" s="247" t="s">
        <v>232</v>
      </c>
      <c r="C323" s="247" t="s">
        <v>910</v>
      </c>
      <c r="D323" s="261">
        <v>80141902</v>
      </c>
      <c r="E323" s="249" t="s">
        <v>785</v>
      </c>
      <c r="F323" s="247" t="s">
        <v>807</v>
      </c>
      <c r="G323" s="264" t="s">
        <v>66</v>
      </c>
      <c r="H323" s="250" t="s">
        <v>66</v>
      </c>
      <c r="I323" s="311">
        <v>70</v>
      </c>
      <c r="J323" s="252" t="s">
        <v>470</v>
      </c>
      <c r="K323" s="253">
        <v>4716000</v>
      </c>
      <c r="L323" s="254">
        <v>0.19</v>
      </c>
      <c r="M323" s="255">
        <v>896040</v>
      </c>
      <c r="N323" s="256">
        <v>5612040</v>
      </c>
      <c r="O323" s="257" t="s">
        <v>365</v>
      </c>
      <c r="P323" s="258" t="s">
        <v>91</v>
      </c>
      <c r="Q323" s="259">
        <v>5612040</v>
      </c>
      <c r="R323" s="259">
        <v>0</v>
      </c>
      <c r="S323" s="259">
        <v>0</v>
      </c>
      <c r="T323" s="259">
        <v>0</v>
      </c>
      <c r="U323" s="247" t="s">
        <v>912</v>
      </c>
    </row>
    <row r="324" spans="1:21" ht="41.5" hidden="1" customHeight="1" x14ac:dyDescent="0.35">
      <c r="A324" s="280" t="s">
        <v>795</v>
      </c>
      <c r="B324" s="247" t="s">
        <v>232</v>
      </c>
      <c r="C324" s="247" t="s">
        <v>910</v>
      </c>
      <c r="D324" s="261">
        <v>80141902</v>
      </c>
      <c r="E324" s="249" t="s">
        <v>785</v>
      </c>
      <c r="F324" s="247" t="s">
        <v>809</v>
      </c>
      <c r="G324" s="250" t="s">
        <v>76</v>
      </c>
      <c r="H324" s="250" t="s">
        <v>76</v>
      </c>
      <c r="I324" s="311">
        <v>30</v>
      </c>
      <c r="J324" s="252" t="s">
        <v>470</v>
      </c>
      <c r="K324" s="253">
        <v>4716000</v>
      </c>
      <c r="L324" s="254">
        <v>0.19</v>
      </c>
      <c r="M324" s="255">
        <v>896040</v>
      </c>
      <c r="N324" s="256">
        <v>5612040</v>
      </c>
      <c r="O324" s="257" t="s">
        <v>365</v>
      </c>
      <c r="P324" s="258" t="s">
        <v>91</v>
      </c>
      <c r="Q324" s="259">
        <v>5612040</v>
      </c>
      <c r="R324" s="259">
        <v>0</v>
      </c>
      <c r="S324" s="259">
        <v>0</v>
      </c>
      <c r="T324" s="259">
        <v>0</v>
      </c>
      <c r="U324" s="247" t="s">
        <v>912</v>
      </c>
    </row>
    <row r="325" spans="1:21" ht="41.5" hidden="1" customHeight="1" x14ac:dyDescent="0.35">
      <c r="A325" s="280" t="s">
        <v>795</v>
      </c>
      <c r="B325" s="247" t="s">
        <v>232</v>
      </c>
      <c r="C325" s="247" t="s">
        <v>915</v>
      </c>
      <c r="D325" s="263">
        <v>72151302</v>
      </c>
      <c r="E325" s="249" t="s">
        <v>916</v>
      </c>
      <c r="F325" s="247" t="s">
        <v>917</v>
      </c>
      <c r="G325" s="250" t="s">
        <v>73</v>
      </c>
      <c r="H325" s="250" t="s">
        <v>73</v>
      </c>
      <c r="I325" s="251">
        <v>90</v>
      </c>
      <c r="J325" s="252" t="s">
        <v>359</v>
      </c>
      <c r="K325" s="253">
        <v>30000000</v>
      </c>
      <c r="L325" s="254">
        <v>0.19</v>
      </c>
      <c r="M325" s="255">
        <v>5700000</v>
      </c>
      <c r="N325" s="256">
        <v>35700000</v>
      </c>
      <c r="O325" s="257" t="s">
        <v>365</v>
      </c>
      <c r="P325" s="258" t="s">
        <v>91</v>
      </c>
      <c r="Q325" s="259">
        <v>35700000</v>
      </c>
      <c r="R325" s="259">
        <v>0</v>
      </c>
      <c r="S325" s="259">
        <v>0</v>
      </c>
      <c r="T325" s="259">
        <v>0</v>
      </c>
      <c r="U325" s="247" t="s">
        <v>918</v>
      </c>
    </row>
    <row r="326" spans="1:21" ht="41.5" hidden="1" customHeight="1" x14ac:dyDescent="0.35">
      <c r="A326" s="280" t="s">
        <v>795</v>
      </c>
      <c r="B326" s="247" t="s">
        <v>232</v>
      </c>
      <c r="C326" s="280" t="s">
        <v>919</v>
      </c>
      <c r="D326" s="261">
        <v>80101510</v>
      </c>
      <c r="E326" s="281" t="s">
        <v>371</v>
      </c>
      <c r="F326" s="280" t="s">
        <v>920</v>
      </c>
      <c r="G326" s="263" t="s">
        <v>66</v>
      </c>
      <c r="H326" s="252" t="s">
        <v>66</v>
      </c>
      <c r="I326" s="283">
        <v>365</v>
      </c>
      <c r="J326" s="252" t="s">
        <v>359</v>
      </c>
      <c r="K326" s="253">
        <v>28144188</v>
      </c>
      <c r="L326" s="254">
        <v>0.19</v>
      </c>
      <c r="M326" s="255">
        <v>5347396</v>
      </c>
      <c r="N326" s="255">
        <v>33491584</v>
      </c>
      <c r="O326" s="257" t="s">
        <v>365</v>
      </c>
      <c r="P326" s="258" t="s">
        <v>91</v>
      </c>
      <c r="Q326" s="259">
        <v>33491584</v>
      </c>
      <c r="R326" s="259">
        <v>0</v>
      </c>
      <c r="S326" s="259">
        <v>0</v>
      </c>
      <c r="T326" s="259">
        <v>0</v>
      </c>
      <c r="U326" s="280" t="s">
        <v>921</v>
      </c>
    </row>
    <row r="327" spans="1:21" ht="41.5" hidden="1" customHeight="1" x14ac:dyDescent="0.35">
      <c r="A327" s="280" t="s">
        <v>795</v>
      </c>
      <c r="B327" s="247" t="s">
        <v>232</v>
      </c>
      <c r="C327" s="280" t="s">
        <v>919</v>
      </c>
      <c r="D327" s="261">
        <v>72101511</v>
      </c>
      <c r="E327" s="281" t="s">
        <v>811</v>
      </c>
      <c r="F327" s="284" t="s">
        <v>922</v>
      </c>
      <c r="G327" s="264" t="s">
        <v>66</v>
      </c>
      <c r="H327" s="252" t="s">
        <v>66</v>
      </c>
      <c r="I327" s="283">
        <v>365</v>
      </c>
      <c r="J327" s="252" t="s">
        <v>470</v>
      </c>
      <c r="K327" s="253">
        <v>4098723</v>
      </c>
      <c r="L327" s="254">
        <v>0.19</v>
      </c>
      <c r="M327" s="255">
        <v>778757</v>
      </c>
      <c r="N327" s="255">
        <v>4877480</v>
      </c>
      <c r="O327" s="257" t="s">
        <v>365</v>
      </c>
      <c r="P327" s="258" t="s">
        <v>91</v>
      </c>
      <c r="Q327" s="259">
        <v>4877480</v>
      </c>
      <c r="R327" s="259">
        <v>0</v>
      </c>
      <c r="S327" s="259">
        <v>0</v>
      </c>
      <c r="T327" s="259">
        <v>0</v>
      </c>
      <c r="U327" s="280" t="s">
        <v>921</v>
      </c>
    </row>
    <row r="328" spans="1:21" ht="41.5" hidden="1" customHeight="1" x14ac:dyDescent="0.35">
      <c r="A328" s="280" t="s">
        <v>795</v>
      </c>
      <c r="B328" s="247" t="s">
        <v>232</v>
      </c>
      <c r="C328" s="280" t="s">
        <v>919</v>
      </c>
      <c r="D328" s="261">
        <v>72102900</v>
      </c>
      <c r="E328" s="281" t="s">
        <v>837</v>
      </c>
      <c r="F328" s="280" t="s">
        <v>923</v>
      </c>
      <c r="G328" s="252" t="s">
        <v>72</v>
      </c>
      <c r="H328" s="252" t="s">
        <v>72</v>
      </c>
      <c r="I328" s="283">
        <v>30</v>
      </c>
      <c r="J328" s="252" t="s">
        <v>470</v>
      </c>
      <c r="K328" s="253">
        <v>3000000</v>
      </c>
      <c r="L328" s="254">
        <v>0.19</v>
      </c>
      <c r="M328" s="255">
        <v>570000</v>
      </c>
      <c r="N328" s="255">
        <v>3570000</v>
      </c>
      <c r="O328" s="257" t="s">
        <v>365</v>
      </c>
      <c r="P328" s="258" t="s">
        <v>91</v>
      </c>
      <c r="Q328" s="259">
        <v>3570000</v>
      </c>
      <c r="R328" s="259">
        <v>0</v>
      </c>
      <c r="S328" s="259">
        <v>0</v>
      </c>
      <c r="T328" s="259">
        <v>0</v>
      </c>
      <c r="U328" s="280" t="s">
        <v>921</v>
      </c>
    </row>
    <row r="329" spans="1:21" ht="41.5" hidden="1" customHeight="1" x14ac:dyDescent="0.35">
      <c r="A329" s="280" t="s">
        <v>795</v>
      </c>
      <c r="B329" s="247" t="s">
        <v>232</v>
      </c>
      <c r="C329" s="280" t="s">
        <v>919</v>
      </c>
      <c r="D329" s="261">
        <v>80141902</v>
      </c>
      <c r="E329" s="281" t="s">
        <v>785</v>
      </c>
      <c r="F329" s="280" t="s">
        <v>924</v>
      </c>
      <c r="G329" s="252" t="s">
        <v>72</v>
      </c>
      <c r="H329" s="252" t="s">
        <v>72</v>
      </c>
      <c r="I329" s="282">
        <v>1</v>
      </c>
      <c r="J329" s="252" t="s">
        <v>470</v>
      </c>
      <c r="K329" s="253">
        <v>1188000</v>
      </c>
      <c r="L329" s="254">
        <v>0.19</v>
      </c>
      <c r="M329" s="255">
        <v>225720</v>
      </c>
      <c r="N329" s="255">
        <v>1413720</v>
      </c>
      <c r="O329" s="257" t="s">
        <v>365</v>
      </c>
      <c r="P329" s="258" t="s">
        <v>91</v>
      </c>
      <c r="Q329" s="259">
        <v>1413720</v>
      </c>
      <c r="R329" s="259">
        <v>0</v>
      </c>
      <c r="S329" s="259">
        <v>0</v>
      </c>
      <c r="T329" s="259">
        <v>0</v>
      </c>
      <c r="U329" s="280" t="s">
        <v>921</v>
      </c>
    </row>
    <row r="330" spans="1:21" ht="41.5" hidden="1" customHeight="1" x14ac:dyDescent="0.35">
      <c r="A330" s="280" t="s">
        <v>795</v>
      </c>
      <c r="B330" s="247" t="s">
        <v>232</v>
      </c>
      <c r="C330" s="280" t="s">
        <v>919</v>
      </c>
      <c r="D330" s="261">
        <v>80141902</v>
      </c>
      <c r="E330" s="281" t="s">
        <v>785</v>
      </c>
      <c r="F330" s="280" t="s">
        <v>826</v>
      </c>
      <c r="G330" s="252" t="s">
        <v>76</v>
      </c>
      <c r="H330" s="252" t="s">
        <v>76</v>
      </c>
      <c r="I330" s="282">
        <v>1</v>
      </c>
      <c r="J330" s="252" t="s">
        <v>470</v>
      </c>
      <c r="K330" s="253">
        <v>1320000</v>
      </c>
      <c r="L330" s="254">
        <v>0.19</v>
      </c>
      <c r="M330" s="255">
        <v>250800</v>
      </c>
      <c r="N330" s="255">
        <v>1570800</v>
      </c>
      <c r="O330" s="257" t="s">
        <v>365</v>
      </c>
      <c r="P330" s="258" t="s">
        <v>91</v>
      </c>
      <c r="Q330" s="259">
        <v>1570800</v>
      </c>
      <c r="R330" s="259">
        <v>0</v>
      </c>
      <c r="S330" s="259">
        <v>0</v>
      </c>
      <c r="T330" s="259">
        <v>0</v>
      </c>
      <c r="U330" s="280" t="s">
        <v>921</v>
      </c>
    </row>
    <row r="331" spans="1:21" ht="41.5" hidden="1" customHeight="1" x14ac:dyDescent="0.35">
      <c r="A331" s="280" t="s">
        <v>795</v>
      </c>
      <c r="B331" s="247" t="s">
        <v>232</v>
      </c>
      <c r="C331" s="280" t="s">
        <v>919</v>
      </c>
      <c r="D331" s="261">
        <v>83101800</v>
      </c>
      <c r="E331" s="281" t="s">
        <v>925</v>
      </c>
      <c r="F331" s="280" t="s">
        <v>926</v>
      </c>
      <c r="G331" s="252" t="s">
        <v>72</v>
      </c>
      <c r="H331" s="252" t="s">
        <v>72</v>
      </c>
      <c r="I331" s="283">
        <v>30</v>
      </c>
      <c r="J331" s="252" t="s">
        <v>470</v>
      </c>
      <c r="K331" s="253">
        <v>5000000</v>
      </c>
      <c r="L331" s="254">
        <v>0.19</v>
      </c>
      <c r="M331" s="255">
        <v>950000</v>
      </c>
      <c r="N331" s="255">
        <v>5950000</v>
      </c>
      <c r="O331" s="257" t="s">
        <v>365</v>
      </c>
      <c r="P331" s="258" t="s">
        <v>91</v>
      </c>
      <c r="Q331" s="259">
        <v>5950000</v>
      </c>
      <c r="R331" s="259">
        <v>0</v>
      </c>
      <c r="S331" s="259">
        <v>0</v>
      </c>
      <c r="T331" s="259">
        <v>0</v>
      </c>
      <c r="U331" s="280" t="s">
        <v>921</v>
      </c>
    </row>
    <row r="332" spans="1:21" ht="41.5" hidden="1" customHeight="1" x14ac:dyDescent="0.35">
      <c r="A332" s="280" t="s">
        <v>795</v>
      </c>
      <c r="B332" s="247" t="s">
        <v>232</v>
      </c>
      <c r="C332" s="280" t="s">
        <v>919</v>
      </c>
      <c r="D332" s="261">
        <v>80141902</v>
      </c>
      <c r="E332" s="281" t="s">
        <v>785</v>
      </c>
      <c r="F332" s="280" t="s">
        <v>807</v>
      </c>
      <c r="G332" s="264" t="s">
        <v>66</v>
      </c>
      <c r="H332" s="252" t="s">
        <v>66</v>
      </c>
      <c r="I332" s="311">
        <v>70</v>
      </c>
      <c r="J332" s="252" t="s">
        <v>470</v>
      </c>
      <c r="K332" s="253">
        <v>1886400</v>
      </c>
      <c r="L332" s="254">
        <v>0.19</v>
      </c>
      <c r="M332" s="255">
        <v>358416</v>
      </c>
      <c r="N332" s="255">
        <v>2244816</v>
      </c>
      <c r="O332" s="257" t="s">
        <v>365</v>
      </c>
      <c r="P332" s="258" t="s">
        <v>91</v>
      </c>
      <c r="Q332" s="259">
        <v>2244816</v>
      </c>
      <c r="R332" s="259">
        <v>0</v>
      </c>
      <c r="S332" s="259">
        <v>0</v>
      </c>
      <c r="T332" s="259">
        <v>0</v>
      </c>
      <c r="U332" s="280" t="s">
        <v>921</v>
      </c>
    </row>
    <row r="333" spans="1:21" ht="41.5" hidden="1" customHeight="1" x14ac:dyDescent="0.35">
      <c r="A333" s="280" t="s">
        <v>795</v>
      </c>
      <c r="B333" s="247" t="s">
        <v>232</v>
      </c>
      <c r="C333" s="280" t="s">
        <v>919</v>
      </c>
      <c r="D333" s="261">
        <v>80141902</v>
      </c>
      <c r="E333" s="281" t="s">
        <v>785</v>
      </c>
      <c r="F333" s="280" t="s">
        <v>809</v>
      </c>
      <c r="G333" s="252" t="s">
        <v>76</v>
      </c>
      <c r="H333" s="252" t="s">
        <v>76</v>
      </c>
      <c r="I333" s="311">
        <v>30</v>
      </c>
      <c r="J333" s="252" t="s">
        <v>470</v>
      </c>
      <c r="K333" s="253">
        <v>1886400</v>
      </c>
      <c r="L333" s="254">
        <v>0.19</v>
      </c>
      <c r="M333" s="255">
        <v>358416</v>
      </c>
      <c r="N333" s="255">
        <v>2244816</v>
      </c>
      <c r="O333" s="257" t="s">
        <v>365</v>
      </c>
      <c r="P333" s="258" t="s">
        <v>91</v>
      </c>
      <c r="Q333" s="259">
        <v>2244816</v>
      </c>
      <c r="R333" s="259">
        <v>0</v>
      </c>
      <c r="S333" s="259">
        <v>0</v>
      </c>
      <c r="T333" s="259">
        <v>0</v>
      </c>
      <c r="U333" s="280" t="s">
        <v>921</v>
      </c>
    </row>
    <row r="334" spans="1:21" ht="41.5" hidden="1" customHeight="1" x14ac:dyDescent="0.35">
      <c r="A334" s="280" t="s">
        <v>795</v>
      </c>
      <c r="B334" s="247" t="s">
        <v>232</v>
      </c>
      <c r="C334" s="247" t="s">
        <v>927</v>
      </c>
      <c r="D334" s="263">
        <v>72101511</v>
      </c>
      <c r="E334" s="249" t="s">
        <v>801</v>
      </c>
      <c r="F334" s="284" t="s">
        <v>928</v>
      </c>
      <c r="G334" s="263" t="s">
        <v>68</v>
      </c>
      <c r="H334" s="250" t="s">
        <v>68</v>
      </c>
      <c r="I334" s="251">
        <v>30</v>
      </c>
      <c r="J334" s="268" t="s">
        <v>470</v>
      </c>
      <c r="K334" s="253">
        <v>1868823.5294117648</v>
      </c>
      <c r="L334" s="254">
        <v>0.19</v>
      </c>
      <c r="M334" s="255">
        <v>355076.4705882353</v>
      </c>
      <c r="N334" s="256">
        <v>2223900</v>
      </c>
      <c r="O334" s="257" t="s">
        <v>365</v>
      </c>
      <c r="P334" s="258" t="s">
        <v>91</v>
      </c>
      <c r="Q334" s="259">
        <v>2223900</v>
      </c>
      <c r="R334" s="259">
        <v>0</v>
      </c>
      <c r="S334" s="259">
        <v>0</v>
      </c>
      <c r="T334" s="259">
        <v>0</v>
      </c>
      <c r="U334" s="247" t="s">
        <v>929</v>
      </c>
    </row>
    <row r="335" spans="1:21" ht="41.5" hidden="1" customHeight="1" x14ac:dyDescent="0.35">
      <c r="A335" s="280" t="s">
        <v>795</v>
      </c>
      <c r="B335" s="247" t="s">
        <v>232</v>
      </c>
      <c r="C335" s="247" t="s">
        <v>927</v>
      </c>
      <c r="D335" s="263">
        <v>78181703</v>
      </c>
      <c r="E335" s="249" t="s">
        <v>821</v>
      </c>
      <c r="F335" s="247" t="s">
        <v>930</v>
      </c>
      <c r="G335" s="263" t="s">
        <v>66</v>
      </c>
      <c r="H335" s="250" t="s">
        <v>66</v>
      </c>
      <c r="I335" s="251">
        <v>365</v>
      </c>
      <c r="J335" s="268" t="s">
        <v>470</v>
      </c>
      <c r="K335" s="253">
        <v>4914000</v>
      </c>
      <c r="L335" s="254">
        <v>0.19</v>
      </c>
      <c r="M335" s="255">
        <v>933660</v>
      </c>
      <c r="N335" s="256">
        <v>5847660</v>
      </c>
      <c r="O335" s="257" t="s">
        <v>365</v>
      </c>
      <c r="P335" s="258" t="s">
        <v>91</v>
      </c>
      <c r="Q335" s="259">
        <v>5847660</v>
      </c>
      <c r="R335" s="259">
        <v>0</v>
      </c>
      <c r="S335" s="259">
        <v>0</v>
      </c>
      <c r="T335" s="259">
        <v>0</v>
      </c>
      <c r="U335" s="247" t="s">
        <v>929</v>
      </c>
    </row>
    <row r="336" spans="1:21" ht="41.5" hidden="1" customHeight="1" x14ac:dyDescent="0.35">
      <c r="A336" s="280" t="s">
        <v>795</v>
      </c>
      <c r="B336" s="247" t="s">
        <v>232</v>
      </c>
      <c r="C336" s="247" t="s">
        <v>927</v>
      </c>
      <c r="D336" s="263">
        <v>72121103</v>
      </c>
      <c r="E336" s="249" t="s">
        <v>896</v>
      </c>
      <c r="F336" s="247" t="s">
        <v>931</v>
      </c>
      <c r="G336" s="263" t="s">
        <v>66</v>
      </c>
      <c r="H336" s="250" t="s">
        <v>66</v>
      </c>
      <c r="I336" s="251">
        <v>60</v>
      </c>
      <c r="J336" s="252" t="s">
        <v>359</v>
      </c>
      <c r="K336" s="253">
        <v>86399820</v>
      </c>
      <c r="L336" s="254"/>
      <c r="M336" s="255">
        <v>701537</v>
      </c>
      <c r="N336" s="256">
        <v>87101357</v>
      </c>
      <c r="O336" s="257" t="s">
        <v>365</v>
      </c>
      <c r="P336" s="258" t="s">
        <v>91</v>
      </c>
      <c r="Q336" s="259">
        <v>87101357</v>
      </c>
      <c r="R336" s="259">
        <v>0</v>
      </c>
      <c r="S336" s="259">
        <v>0</v>
      </c>
      <c r="T336" s="259">
        <v>0</v>
      </c>
      <c r="U336" s="247" t="s">
        <v>929</v>
      </c>
    </row>
    <row r="337" spans="1:21" ht="41.5" hidden="1" customHeight="1" x14ac:dyDescent="0.35">
      <c r="A337" s="280" t="s">
        <v>795</v>
      </c>
      <c r="B337" s="247" t="s">
        <v>232</v>
      </c>
      <c r="C337" s="247" t="s">
        <v>927</v>
      </c>
      <c r="D337" s="263">
        <v>80141902</v>
      </c>
      <c r="E337" s="249" t="s">
        <v>785</v>
      </c>
      <c r="F337" s="247" t="s">
        <v>884</v>
      </c>
      <c r="G337" s="250" t="s">
        <v>72</v>
      </c>
      <c r="H337" s="250" t="s">
        <v>72</v>
      </c>
      <c r="I337" s="282">
        <v>1</v>
      </c>
      <c r="J337" s="268" t="s">
        <v>470</v>
      </c>
      <c r="K337" s="253">
        <v>3175200</v>
      </c>
      <c r="L337" s="254">
        <v>0.19</v>
      </c>
      <c r="M337" s="255">
        <v>603288</v>
      </c>
      <c r="N337" s="312">
        <v>3778488</v>
      </c>
      <c r="O337" s="257" t="s">
        <v>365</v>
      </c>
      <c r="P337" s="258" t="s">
        <v>91</v>
      </c>
      <c r="Q337" s="313">
        <v>3778488</v>
      </c>
      <c r="R337" s="259">
        <v>0</v>
      </c>
      <c r="S337" s="259">
        <v>0</v>
      </c>
      <c r="T337" s="259">
        <v>0</v>
      </c>
      <c r="U337" s="247" t="s">
        <v>929</v>
      </c>
    </row>
    <row r="338" spans="1:21" ht="41.5" hidden="1" customHeight="1" x14ac:dyDescent="0.35">
      <c r="A338" s="280" t="s">
        <v>795</v>
      </c>
      <c r="B338" s="247" t="s">
        <v>232</v>
      </c>
      <c r="C338" s="247" t="s">
        <v>927</v>
      </c>
      <c r="D338" s="263">
        <v>80141902</v>
      </c>
      <c r="E338" s="249" t="s">
        <v>785</v>
      </c>
      <c r="F338" s="247" t="s">
        <v>932</v>
      </c>
      <c r="G338" s="250" t="s">
        <v>73</v>
      </c>
      <c r="H338" s="250" t="s">
        <v>73</v>
      </c>
      <c r="I338" s="282">
        <v>1</v>
      </c>
      <c r="J338" s="268" t="s">
        <v>470</v>
      </c>
      <c r="K338" s="253">
        <v>1660000</v>
      </c>
      <c r="L338" s="254">
        <v>0.19</v>
      </c>
      <c r="M338" s="255">
        <v>315400</v>
      </c>
      <c r="N338" s="256">
        <v>1975400</v>
      </c>
      <c r="O338" s="257" t="s">
        <v>365</v>
      </c>
      <c r="P338" s="258" t="s">
        <v>91</v>
      </c>
      <c r="Q338" s="259">
        <v>1975400</v>
      </c>
      <c r="R338" s="259">
        <v>0</v>
      </c>
      <c r="S338" s="259">
        <v>0</v>
      </c>
      <c r="T338" s="259">
        <v>0</v>
      </c>
      <c r="U338" s="247" t="s">
        <v>929</v>
      </c>
    </row>
    <row r="339" spans="1:21" ht="41.5" hidden="1" customHeight="1" x14ac:dyDescent="0.35">
      <c r="A339" s="280" t="s">
        <v>795</v>
      </c>
      <c r="B339" s="247" t="s">
        <v>232</v>
      </c>
      <c r="C339" s="247" t="s">
        <v>927</v>
      </c>
      <c r="D339" s="263">
        <v>80141902</v>
      </c>
      <c r="E339" s="249" t="s">
        <v>785</v>
      </c>
      <c r="F339" s="247" t="s">
        <v>933</v>
      </c>
      <c r="G339" s="250" t="s">
        <v>77</v>
      </c>
      <c r="H339" s="250" t="s">
        <v>77</v>
      </c>
      <c r="I339" s="282">
        <v>1</v>
      </c>
      <c r="J339" s="268" t="s">
        <v>470</v>
      </c>
      <c r="K339" s="253">
        <v>3960000</v>
      </c>
      <c r="L339" s="254">
        <v>0.19</v>
      </c>
      <c r="M339" s="255">
        <v>752400</v>
      </c>
      <c r="N339" s="256">
        <v>4712400</v>
      </c>
      <c r="O339" s="257" t="s">
        <v>365</v>
      </c>
      <c r="P339" s="258" t="s">
        <v>91</v>
      </c>
      <c r="Q339" s="259">
        <v>4712400</v>
      </c>
      <c r="R339" s="259">
        <v>0</v>
      </c>
      <c r="S339" s="259">
        <v>0</v>
      </c>
      <c r="T339" s="259">
        <v>0</v>
      </c>
      <c r="U339" s="247" t="s">
        <v>929</v>
      </c>
    </row>
    <row r="340" spans="1:21" ht="41.5" hidden="1" customHeight="1" x14ac:dyDescent="0.35">
      <c r="A340" s="280" t="s">
        <v>795</v>
      </c>
      <c r="B340" s="247" t="s">
        <v>232</v>
      </c>
      <c r="C340" s="247" t="s">
        <v>927</v>
      </c>
      <c r="D340" s="263">
        <v>80141902</v>
      </c>
      <c r="E340" s="249" t="s">
        <v>785</v>
      </c>
      <c r="F340" s="247" t="s">
        <v>807</v>
      </c>
      <c r="G340" s="314" t="s">
        <v>66</v>
      </c>
      <c r="H340" s="268" t="s">
        <v>66</v>
      </c>
      <c r="I340" s="311">
        <v>70</v>
      </c>
      <c r="J340" s="268" t="s">
        <v>470</v>
      </c>
      <c r="K340" s="253">
        <v>4716000</v>
      </c>
      <c r="L340" s="254">
        <v>0.19</v>
      </c>
      <c r="M340" s="255">
        <v>896040</v>
      </c>
      <c r="N340" s="256">
        <v>5612040</v>
      </c>
      <c r="O340" s="257" t="s">
        <v>365</v>
      </c>
      <c r="P340" s="258" t="s">
        <v>91</v>
      </c>
      <c r="Q340" s="315">
        <v>5612040</v>
      </c>
      <c r="R340" s="259">
        <v>0</v>
      </c>
      <c r="S340" s="259">
        <v>0</v>
      </c>
      <c r="T340" s="259">
        <v>0</v>
      </c>
      <c r="U340" s="247" t="s">
        <v>929</v>
      </c>
    </row>
    <row r="341" spans="1:21" ht="41.5" hidden="1" customHeight="1" x14ac:dyDescent="0.35">
      <c r="A341" s="280" t="s">
        <v>795</v>
      </c>
      <c r="B341" s="247" t="s">
        <v>232</v>
      </c>
      <c r="C341" s="247" t="s">
        <v>927</v>
      </c>
      <c r="D341" s="263">
        <v>80141902</v>
      </c>
      <c r="E341" s="249" t="s">
        <v>785</v>
      </c>
      <c r="F341" s="247" t="s">
        <v>809</v>
      </c>
      <c r="G341" s="268" t="s">
        <v>76</v>
      </c>
      <c r="H341" s="268" t="s">
        <v>76</v>
      </c>
      <c r="I341" s="311">
        <v>30</v>
      </c>
      <c r="J341" s="268" t="s">
        <v>470</v>
      </c>
      <c r="K341" s="253">
        <v>4716000</v>
      </c>
      <c r="L341" s="254">
        <v>0.19</v>
      </c>
      <c r="M341" s="255">
        <v>896040</v>
      </c>
      <c r="N341" s="256">
        <v>5612040</v>
      </c>
      <c r="O341" s="257" t="s">
        <v>365</v>
      </c>
      <c r="P341" s="258" t="s">
        <v>91</v>
      </c>
      <c r="Q341" s="315">
        <v>5612040</v>
      </c>
      <c r="R341" s="259">
        <v>0</v>
      </c>
      <c r="S341" s="259">
        <v>0</v>
      </c>
      <c r="T341" s="259">
        <v>0</v>
      </c>
      <c r="U341" s="247" t="s">
        <v>929</v>
      </c>
    </row>
    <row r="342" spans="1:21" ht="41.5" hidden="1" customHeight="1" x14ac:dyDescent="0.35">
      <c r="A342" s="280" t="s">
        <v>795</v>
      </c>
      <c r="B342" s="247" t="s">
        <v>232</v>
      </c>
      <c r="C342" s="247" t="s">
        <v>934</v>
      </c>
      <c r="D342" s="263">
        <v>80141902</v>
      </c>
      <c r="E342" s="249" t="s">
        <v>785</v>
      </c>
      <c r="F342" s="247" t="s">
        <v>826</v>
      </c>
      <c r="G342" s="250" t="s">
        <v>77</v>
      </c>
      <c r="H342" s="250" t="s">
        <v>77</v>
      </c>
      <c r="I342" s="251">
        <v>2</v>
      </c>
      <c r="J342" s="252" t="s">
        <v>470</v>
      </c>
      <c r="K342" s="253">
        <v>3630000</v>
      </c>
      <c r="L342" s="254">
        <v>0.19</v>
      </c>
      <c r="M342" s="255">
        <v>689700</v>
      </c>
      <c r="N342" s="256">
        <v>4319700</v>
      </c>
      <c r="O342" s="257" t="s">
        <v>365</v>
      </c>
      <c r="P342" s="258" t="s">
        <v>91</v>
      </c>
      <c r="Q342" s="259">
        <v>4319700</v>
      </c>
      <c r="R342" s="259">
        <v>0</v>
      </c>
      <c r="S342" s="259">
        <v>0</v>
      </c>
      <c r="T342" s="259">
        <v>0</v>
      </c>
      <c r="U342" s="247" t="s">
        <v>935</v>
      </c>
    </row>
    <row r="343" spans="1:21" ht="41.5" hidden="1" customHeight="1" x14ac:dyDescent="0.35">
      <c r="A343" s="280" t="s">
        <v>795</v>
      </c>
      <c r="B343" s="247" t="s">
        <v>232</v>
      </c>
      <c r="C343" s="247" t="s">
        <v>934</v>
      </c>
      <c r="D343" s="263">
        <v>80141902</v>
      </c>
      <c r="E343" s="249" t="s">
        <v>785</v>
      </c>
      <c r="F343" s="247" t="s">
        <v>870</v>
      </c>
      <c r="G343" s="250" t="s">
        <v>73</v>
      </c>
      <c r="H343" s="250" t="s">
        <v>73</v>
      </c>
      <c r="I343" s="282">
        <v>1</v>
      </c>
      <c r="J343" s="252" t="s">
        <v>470</v>
      </c>
      <c r="K343" s="253">
        <v>2937600</v>
      </c>
      <c r="L343" s="254">
        <v>0.19</v>
      </c>
      <c r="M343" s="255">
        <v>558144</v>
      </c>
      <c r="N343" s="256">
        <v>3495744</v>
      </c>
      <c r="O343" s="257" t="s">
        <v>365</v>
      </c>
      <c r="P343" s="258" t="s">
        <v>91</v>
      </c>
      <c r="Q343" s="259">
        <v>3495744</v>
      </c>
      <c r="R343" s="259">
        <v>0</v>
      </c>
      <c r="S343" s="259">
        <v>0</v>
      </c>
      <c r="T343" s="259">
        <v>0</v>
      </c>
      <c r="U343" s="247" t="s">
        <v>935</v>
      </c>
    </row>
    <row r="344" spans="1:21" ht="41.5" hidden="1" customHeight="1" x14ac:dyDescent="0.35">
      <c r="A344" s="280" t="s">
        <v>795</v>
      </c>
      <c r="B344" s="247" t="s">
        <v>232</v>
      </c>
      <c r="C344" s="247" t="s">
        <v>934</v>
      </c>
      <c r="D344" s="263">
        <v>80141902</v>
      </c>
      <c r="E344" s="249" t="s">
        <v>785</v>
      </c>
      <c r="F344" s="247" t="s">
        <v>936</v>
      </c>
      <c r="G344" s="250" t="s">
        <v>73</v>
      </c>
      <c r="H344" s="250" t="s">
        <v>73</v>
      </c>
      <c r="I344" s="282">
        <v>1</v>
      </c>
      <c r="J344" s="252" t="s">
        <v>470</v>
      </c>
      <c r="K344" s="253">
        <v>3320000</v>
      </c>
      <c r="L344" s="254">
        <v>0.19</v>
      </c>
      <c r="M344" s="255">
        <v>630800</v>
      </c>
      <c r="N344" s="256">
        <v>3950800</v>
      </c>
      <c r="O344" s="257" t="s">
        <v>365</v>
      </c>
      <c r="P344" s="258" t="s">
        <v>91</v>
      </c>
      <c r="Q344" s="259">
        <v>3950800</v>
      </c>
      <c r="R344" s="259">
        <v>0</v>
      </c>
      <c r="S344" s="259">
        <v>0</v>
      </c>
      <c r="T344" s="259">
        <v>0</v>
      </c>
      <c r="U344" s="247" t="s">
        <v>935</v>
      </c>
    </row>
    <row r="345" spans="1:21" ht="41.5" hidden="1" customHeight="1" x14ac:dyDescent="0.35">
      <c r="A345" s="280" t="s">
        <v>795</v>
      </c>
      <c r="B345" s="247" t="s">
        <v>232</v>
      </c>
      <c r="C345" s="247" t="s">
        <v>934</v>
      </c>
      <c r="D345" s="263">
        <v>52161505</v>
      </c>
      <c r="E345" s="249" t="s">
        <v>937</v>
      </c>
      <c r="F345" s="284" t="s">
        <v>938</v>
      </c>
      <c r="G345" s="250" t="s">
        <v>75</v>
      </c>
      <c r="H345" s="250" t="s">
        <v>75</v>
      </c>
      <c r="I345" s="251">
        <v>30</v>
      </c>
      <c r="J345" s="252" t="s">
        <v>470</v>
      </c>
      <c r="K345" s="253">
        <v>3500000</v>
      </c>
      <c r="L345" s="254">
        <v>0.19</v>
      </c>
      <c r="M345" s="255">
        <v>665000</v>
      </c>
      <c r="N345" s="256">
        <v>4165000</v>
      </c>
      <c r="O345" s="257" t="s">
        <v>365</v>
      </c>
      <c r="P345" s="258" t="s">
        <v>91</v>
      </c>
      <c r="Q345" s="259">
        <v>4165000</v>
      </c>
      <c r="R345" s="259">
        <v>0</v>
      </c>
      <c r="S345" s="259">
        <v>0</v>
      </c>
      <c r="T345" s="259">
        <v>0</v>
      </c>
      <c r="U345" s="247" t="s">
        <v>935</v>
      </c>
    </row>
    <row r="346" spans="1:21" ht="41.5" hidden="1" customHeight="1" x14ac:dyDescent="0.35">
      <c r="A346" s="280" t="s">
        <v>795</v>
      </c>
      <c r="B346" s="247" t="s">
        <v>232</v>
      </c>
      <c r="C346" s="247" t="s">
        <v>934</v>
      </c>
      <c r="D346" s="263">
        <v>52161505</v>
      </c>
      <c r="E346" s="249" t="s">
        <v>937</v>
      </c>
      <c r="F346" s="284" t="s">
        <v>939</v>
      </c>
      <c r="G346" s="250" t="s">
        <v>75</v>
      </c>
      <c r="H346" s="250" t="s">
        <v>75</v>
      </c>
      <c r="I346" s="251">
        <v>30</v>
      </c>
      <c r="J346" s="252" t="s">
        <v>470</v>
      </c>
      <c r="K346" s="253">
        <v>5000000</v>
      </c>
      <c r="L346" s="254">
        <v>0.19</v>
      </c>
      <c r="M346" s="255">
        <v>950000</v>
      </c>
      <c r="N346" s="256">
        <v>5950000</v>
      </c>
      <c r="O346" s="257" t="s">
        <v>365</v>
      </c>
      <c r="P346" s="258" t="s">
        <v>91</v>
      </c>
      <c r="Q346" s="259">
        <v>5950000</v>
      </c>
      <c r="R346" s="259">
        <v>0</v>
      </c>
      <c r="S346" s="259">
        <v>0</v>
      </c>
      <c r="T346" s="259">
        <v>0</v>
      </c>
      <c r="U346" s="247" t="s">
        <v>935</v>
      </c>
    </row>
    <row r="347" spans="1:21" ht="41.5" hidden="1" customHeight="1" x14ac:dyDescent="0.35">
      <c r="A347" s="280" t="s">
        <v>795</v>
      </c>
      <c r="B347" s="247" t="s">
        <v>232</v>
      </c>
      <c r="C347" s="247" t="s">
        <v>934</v>
      </c>
      <c r="D347" s="263">
        <v>78181703</v>
      </c>
      <c r="E347" s="249" t="s">
        <v>821</v>
      </c>
      <c r="F347" s="247" t="s">
        <v>940</v>
      </c>
      <c r="G347" s="264" t="s">
        <v>66</v>
      </c>
      <c r="H347" s="250" t="s">
        <v>66</v>
      </c>
      <c r="I347" s="251">
        <v>330</v>
      </c>
      <c r="J347" s="252" t="s">
        <v>359</v>
      </c>
      <c r="K347" s="253">
        <v>8908000</v>
      </c>
      <c r="L347" s="254">
        <v>0.19</v>
      </c>
      <c r="M347" s="255">
        <v>1692520</v>
      </c>
      <c r="N347" s="256">
        <v>10600520</v>
      </c>
      <c r="O347" s="257" t="s">
        <v>365</v>
      </c>
      <c r="P347" s="258" t="s">
        <v>91</v>
      </c>
      <c r="Q347" s="259">
        <v>10600520</v>
      </c>
      <c r="R347" s="259">
        <v>0</v>
      </c>
      <c r="S347" s="259">
        <v>0</v>
      </c>
      <c r="T347" s="259">
        <v>0</v>
      </c>
      <c r="U347" s="247" t="s">
        <v>935</v>
      </c>
    </row>
    <row r="348" spans="1:21" ht="41.5" hidden="1" customHeight="1" x14ac:dyDescent="0.35">
      <c r="A348" s="280" t="s">
        <v>795</v>
      </c>
      <c r="B348" s="247" t="s">
        <v>232</v>
      </c>
      <c r="C348" s="247" t="s">
        <v>934</v>
      </c>
      <c r="D348" s="263">
        <v>72101511</v>
      </c>
      <c r="E348" s="249" t="s">
        <v>811</v>
      </c>
      <c r="F348" s="284" t="s">
        <v>941</v>
      </c>
      <c r="G348" s="264" t="s">
        <v>66</v>
      </c>
      <c r="H348" s="250" t="s">
        <v>66</v>
      </c>
      <c r="I348" s="251">
        <v>330</v>
      </c>
      <c r="J348" s="252" t="s">
        <v>470</v>
      </c>
      <c r="K348" s="253">
        <v>2640000</v>
      </c>
      <c r="L348" s="254">
        <v>0.19</v>
      </c>
      <c r="M348" s="255">
        <v>501600</v>
      </c>
      <c r="N348" s="256">
        <v>3141600</v>
      </c>
      <c r="O348" s="257" t="s">
        <v>365</v>
      </c>
      <c r="P348" s="258" t="s">
        <v>91</v>
      </c>
      <c r="Q348" s="259">
        <v>3141600</v>
      </c>
      <c r="R348" s="259">
        <v>0</v>
      </c>
      <c r="S348" s="259">
        <v>0</v>
      </c>
      <c r="T348" s="259">
        <v>0</v>
      </c>
      <c r="U348" s="247" t="s">
        <v>935</v>
      </c>
    </row>
    <row r="349" spans="1:21" ht="41.5" hidden="1" customHeight="1" x14ac:dyDescent="0.35">
      <c r="A349" s="280" t="s">
        <v>795</v>
      </c>
      <c r="B349" s="247" t="s">
        <v>232</v>
      </c>
      <c r="C349" s="247" t="s">
        <v>934</v>
      </c>
      <c r="D349" s="263">
        <v>56101522</v>
      </c>
      <c r="E349" s="249" t="s">
        <v>942</v>
      </c>
      <c r="F349" s="284" t="s">
        <v>943</v>
      </c>
      <c r="G349" s="250" t="s">
        <v>75</v>
      </c>
      <c r="H349" s="250" t="s">
        <v>75</v>
      </c>
      <c r="I349" s="251">
        <v>30</v>
      </c>
      <c r="J349" s="252" t="s">
        <v>359</v>
      </c>
      <c r="K349" s="253">
        <v>9000000</v>
      </c>
      <c r="L349" s="254">
        <v>0.19</v>
      </c>
      <c r="M349" s="255">
        <v>1710000</v>
      </c>
      <c r="N349" s="256">
        <v>10710000</v>
      </c>
      <c r="O349" s="257" t="s">
        <v>365</v>
      </c>
      <c r="P349" s="258" t="s">
        <v>91</v>
      </c>
      <c r="Q349" s="259">
        <v>10710000</v>
      </c>
      <c r="R349" s="259">
        <v>0</v>
      </c>
      <c r="S349" s="259">
        <v>0</v>
      </c>
      <c r="T349" s="259">
        <v>0</v>
      </c>
      <c r="U349" s="247" t="s">
        <v>935</v>
      </c>
    </row>
    <row r="350" spans="1:21" ht="41.5" hidden="1" customHeight="1" x14ac:dyDescent="0.35">
      <c r="A350" s="280" t="s">
        <v>795</v>
      </c>
      <c r="B350" s="247" t="s">
        <v>232</v>
      </c>
      <c r="C350" s="247" t="s">
        <v>934</v>
      </c>
      <c r="D350" s="263">
        <v>72153600</v>
      </c>
      <c r="E350" s="249" t="s">
        <v>484</v>
      </c>
      <c r="F350" s="247" t="s">
        <v>944</v>
      </c>
      <c r="G350" s="263" t="s">
        <v>72</v>
      </c>
      <c r="H350" s="250" t="s">
        <v>72</v>
      </c>
      <c r="I350" s="251">
        <v>90</v>
      </c>
      <c r="J350" s="252" t="s">
        <v>470</v>
      </c>
      <c r="K350" s="253">
        <v>6000000</v>
      </c>
      <c r="L350" s="254">
        <v>0.19</v>
      </c>
      <c r="M350" s="255">
        <v>1140000</v>
      </c>
      <c r="N350" s="256">
        <v>7140000</v>
      </c>
      <c r="O350" s="257" t="s">
        <v>365</v>
      </c>
      <c r="P350" s="258" t="s">
        <v>91</v>
      </c>
      <c r="Q350" s="259">
        <v>7140000</v>
      </c>
      <c r="R350" s="259">
        <v>0</v>
      </c>
      <c r="S350" s="259">
        <v>0</v>
      </c>
      <c r="T350" s="259">
        <v>0</v>
      </c>
      <c r="U350" s="247" t="s">
        <v>935</v>
      </c>
    </row>
    <row r="351" spans="1:21" ht="41.5" hidden="1" customHeight="1" x14ac:dyDescent="0.35">
      <c r="A351" s="280" t="s">
        <v>795</v>
      </c>
      <c r="B351" s="247" t="s">
        <v>232</v>
      </c>
      <c r="C351" s="247" t="s">
        <v>934</v>
      </c>
      <c r="D351" s="263">
        <v>72153600</v>
      </c>
      <c r="E351" s="249" t="s">
        <v>484</v>
      </c>
      <c r="F351" s="247" t="s">
        <v>945</v>
      </c>
      <c r="G351" s="263" t="s">
        <v>72</v>
      </c>
      <c r="H351" s="250" t="s">
        <v>72</v>
      </c>
      <c r="I351" s="311">
        <v>60</v>
      </c>
      <c r="J351" s="267" t="s">
        <v>470</v>
      </c>
      <c r="K351" s="253">
        <v>8000000</v>
      </c>
      <c r="L351" s="254">
        <v>0.19</v>
      </c>
      <c r="M351" s="255">
        <v>1520000</v>
      </c>
      <c r="N351" s="256">
        <v>9520000</v>
      </c>
      <c r="O351" s="257" t="s">
        <v>365</v>
      </c>
      <c r="P351" s="258" t="s">
        <v>91</v>
      </c>
      <c r="Q351" s="259">
        <v>9520000</v>
      </c>
      <c r="R351" s="259">
        <v>0</v>
      </c>
      <c r="S351" s="259">
        <v>0</v>
      </c>
      <c r="T351" s="259">
        <v>0</v>
      </c>
      <c r="U351" s="247" t="s">
        <v>935</v>
      </c>
    </row>
    <row r="352" spans="1:21" ht="41.5" hidden="1" customHeight="1" x14ac:dyDescent="0.35">
      <c r="A352" s="280" t="s">
        <v>795</v>
      </c>
      <c r="B352" s="247" t="s">
        <v>232</v>
      </c>
      <c r="C352" s="247" t="s">
        <v>934</v>
      </c>
      <c r="D352" s="263">
        <v>72153600</v>
      </c>
      <c r="E352" s="249" t="s">
        <v>484</v>
      </c>
      <c r="F352" s="247" t="s">
        <v>946</v>
      </c>
      <c r="G352" s="263" t="s">
        <v>72</v>
      </c>
      <c r="H352" s="250" t="s">
        <v>72</v>
      </c>
      <c r="I352" s="311">
        <v>120</v>
      </c>
      <c r="J352" s="252" t="s">
        <v>359</v>
      </c>
      <c r="K352" s="253">
        <v>25000000</v>
      </c>
      <c r="L352" s="254">
        <v>0.19</v>
      </c>
      <c r="M352" s="255">
        <v>4750000</v>
      </c>
      <c r="N352" s="256">
        <v>29750000</v>
      </c>
      <c r="O352" s="257" t="s">
        <v>365</v>
      </c>
      <c r="P352" s="258" t="s">
        <v>91</v>
      </c>
      <c r="Q352" s="259">
        <v>29750000</v>
      </c>
      <c r="R352" s="259">
        <v>0</v>
      </c>
      <c r="S352" s="259">
        <v>0</v>
      </c>
      <c r="T352" s="259">
        <v>0</v>
      </c>
      <c r="U352" s="247" t="s">
        <v>935</v>
      </c>
    </row>
    <row r="353" spans="1:21" ht="41.5" hidden="1" customHeight="1" x14ac:dyDescent="0.35">
      <c r="A353" s="280" t="s">
        <v>795</v>
      </c>
      <c r="B353" s="247" t="s">
        <v>232</v>
      </c>
      <c r="C353" s="247" t="s">
        <v>934</v>
      </c>
      <c r="D353" s="263">
        <v>80141902</v>
      </c>
      <c r="E353" s="249" t="s">
        <v>785</v>
      </c>
      <c r="F353" s="247" t="s">
        <v>807</v>
      </c>
      <c r="G353" s="264" t="s">
        <v>66</v>
      </c>
      <c r="H353" s="250" t="s">
        <v>66</v>
      </c>
      <c r="I353" s="311">
        <v>70</v>
      </c>
      <c r="J353" s="252" t="s">
        <v>470</v>
      </c>
      <c r="K353" s="253">
        <v>4716000</v>
      </c>
      <c r="L353" s="254">
        <v>0.19</v>
      </c>
      <c r="M353" s="255">
        <v>896040</v>
      </c>
      <c r="N353" s="256">
        <v>5612040</v>
      </c>
      <c r="O353" s="257" t="s">
        <v>365</v>
      </c>
      <c r="P353" s="258" t="s">
        <v>91</v>
      </c>
      <c r="Q353" s="259">
        <v>5612040</v>
      </c>
      <c r="R353" s="259">
        <v>0</v>
      </c>
      <c r="S353" s="259">
        <v>0</v>
      </c>
      <c r="T353" s="259">
        <v>0</v>
      </c>
      <c r="U353" s="247" t="s">
        <v>947</v>
      </c>
    </row>
    <row r="354" spans="1:21" ht="41.5" hidden="1" customHeight="1" x14ac:dyDescent="0.35">
      <c r="A354" s="280" t="s">
        <v>795</v>
      </c>
      <c r="B354" s="247" t="s">
        <v>232</v>
      </c>
      <c r="C354" s="247" t="s">
        <v>934</v>
      </c>
      <c r="D354" s="263">
        <v>80141902</v>
      </c>
      <c r="E354" s="249" t="s">
        <v>785</v>
      </c>
      <c r="F354" s="247" t="s">
        <v>809</v>
      </c>
      <c r="G354" s="250" t="s">
        <v>76</v>
      </c>
      <c r="H354" s="250" t="s">
        <v>76</v>
      </c>
      <c r="I354" s="311">
        <v>30</v>
      </c>
      <c r="J354" s="252" t="s">
        <v>470</v>
      </c>
      <c r="K354" s="253">
        <v>4716000</v>
      </c>
      <c r="L354" s="254">
        <v>0.19</v>
      </c>
      <c r="M354" s="255">
        <v>896040</v>
      </c>
      <c r="N354" s="256">
        <v>5612040</v>
      </c>
      <c r="O354" s="257" t="s">
        <v>365</v>
      </c>
      <c r="P354" s="258" t="s">
        <v>91</v>
      </c>
      <c r="Q354" s="259">
        <v>5612040</v>
      </c>
      <c r="R354" s="259">
        <v>0</v>
      </c>
      <c r="S354" s="259">
        <v>0</v>
      </c>
      <c r="T354" s="259">
        <v>0</v>
      </c>
      <c r="U354" s="247" t="s">
        <v>947</v>
      </c>
    </row>
    <row r="355" spans="1:21" ht="41.5" hidden="1" customHeight="1" x14ac:dyDescent="0.35">
      <c r="A355" s="280" t="s">
        <v>795</v>
      </c>
      <c r="B355" s="247" t="s">
        <v>232</v>
      </c>
      <c r="C355" s="247" t="s">
        <v>948</v>
      </c>
      <c r="D355" s="261">
        <v>72101511</v>
      </c>
      <c r="E355" s="249" t="s">
        <v>811</v>
      </c>
      <c r="F355" s="284" t="s">
        <v>949</v>
      </c>
      <c r="G355" s="264" t="s">
        <v>66</v>
      </c>
      <c r="H355" s="250" t="s">
        <v>66</v>
      </c>
      <c r="I355" s="251">
        <v>365</v>
      </c>
      <c r="J355" s="252" t="s">
        <v>359</v>
      </c>
      <c r="K355" s="253">
        <v>7500000</v>
      </c>
      <c r="L355" s="254">
        <v>0.19</v>
      </c>
      <c r="M355" s="255">
        <v>1425000</v>
      </c>
      <c r="N355" s="256">
        <v>8925000</v>
      </c>
      <c r="O355" s="257" t="s">
        <v>365</v>
      </c>
      <c r="P355" s="258" t="s">
        <v>91</v>
      </c>
      <c r="Q355" s="259">
        <v>8925000</v>
      </c>
      <c r="R355" s="259">
        <v>0</v>
      </c>
      <c r="S355" s="259">
        <v>0</v>
      </c>
      <c r="T355" s="259">
        <v>0</v>
      </c>
      <c r="U355" s="247" t="s">
        <v>950</v>
      </c>
    </row>
    <row r="356" spans="1:21" ht="41.5" hidden="1" customHeight="1" x14ac:dyDescent="0.35">
      <c r="A356" s="280" t="s">
        <v>795</v>
      </c>
      <c r="B356" s="247" t="s">
        <v>232</v>
      </c>
      <c r="C356" s="247" t="s">
        <v>948</v>
      </c>
      <c r="D356" s="261">
        <v>78181703</v>
      </c>
      <c r="E356" s="249" t="s">
        <v>821</v>
      </c>
      <c r="F356" s="280" t="s">
        <v>951</v>
      </c>
      <c r="G356" s="264" t="s">
        <v>66</v>
      </c>
      <c r="H356" s="250" t="s">
        <v>66</v>
      </c>
      <c r="I356" s="251">
        <v>365</v>
      </c>
      <c r="J356" s="252" t="s">
        <v>359</v>
      </c>
      <c r="K356" s="253">
        <v>18210048</v>
      </c>
      <c r="L356" s="254">
        <v>0.19</v>
      </c>
      <c r="M356" s="255">
        <v>3459909.12</v>
      </c>
      <c r="N356" s="256">
        <v>21669957.120000001</v>
      </c>
      <c r="O356" s="257" t="s">
        <v>365</v>
      </c>
      <c r="P356" s="258" t="s">
        <v>91</v>
      </c>
      <c r="Q356" s="259">
        <v>21669957</v>
      </c>
      <c r="R356" s="259">
        <v>0</v>
      </c>
      <c r="S356" s="259">
        <v>0</v>
      </c>
      <c r="T356" s="259">
        <v>0</v>
      </c>
      <c r="U356" s="247" t="s">
        <v>950</v>
      </c>
    </row>
    <row r="357" spans="1:21" ht="41.5" hidden="1" customHeight="1" x14ac:dyDescent="0.35">
      <c r="A357" s="280" t="s">
        <v>795</v>
      </c>
      <c r="B357" s="247" t="s">
        <v>232</v>
      </c>
      <c r="C357" s="247" t="s">
        <v>948</v>
      </c>
      <c r="D357" s="261">
        <v>52141502</v>
      </c>
      <c r="E357" s="249" t="s">
        <v>803</v>
      </c>
      <c r="F357" s="284" t="s">
        <v>952</v>
      </c>
      <c r="G357" s="264" t="s">
        <v>66</v>
      </c>
      <c r="H357" s="250" t="s">
        <v>66</v>
      </c>
      <c r="I357" s="251">
        <v>30</v>
      </c>
      <c r="J357" s="267" t="s">
        <v>359</v>
      </c>
      <c r="K357" s="253">
        <v>3000000</v>
      </c>
      <c r="L357" s="254">
        <v>0.19</v>
      </c>
      <c r="M357" s="255">
        <v>570000</v>
      </c>
      <c r="N357" s="256">
        <v>3570000</v>
      </c>
      <c r="O357" s="257" t="s">
        <v>365</v>
      </c>
      <c r="P357" s="258" t="s">
        <v>91</v>
      </c>
      <c r="Q357" s="259">
        <v>3570000</v>
      </c>
      <c r="R357" s="259">
        <v>0</v>
      </c>
      <c r="S357" s="259">
        <v>0</v>
      </c>
      <c r="T357" s="259">
        <v>0</v>
      </c>
      <c r="U357" s="247" t="s">
        <v>950</v>
      </c>
    </row>
    <row r="358" spans="1:21" ht="41.5" hidden="1" customHeight="1" x14ac:dyDescent="0.35">
      <c r="A358" s="280" t="s">
        <v>795</v>
      </c>
      <c r="B358" s="247" t="s">
        <v>232</v>
      </c>
      <c r="C358" s="247" t="s">
        <v>948</v>
      </c>
      <c r="D358" s="261">
        <v>45111609</v>
      </c>
      <c r="E358" s="249" t="s">
        <v>953</v>
      </c>
      <c r="F358" s="284" t="s">
        <v>954</v>
      </c>
      <c r="G358" s="250" t="s">
        <v>72</v>
      </c>
      <c r="H358" s="250" t="s">
        <v>72</v>
      </c>
      <c r="I358" s="251">
        <v>30</v>
      </c>
      <c r="J358" s="267" t="s">
        <v>359</v>
      </c>
      <c r="K358" s="253">
        <v>2500000</v>
      </c>
      <c r="L358" s="254">
        <v>0.19</v>
      </c>
      <c r="M358" s="255">
        <v>475000</v>
      </c>
      <c r="N358" s="256">
        <v>2975000</v>
      </c>
      <c r="O358" s="257" t="s">
        <v>365</v>
      </c>
      <c r="P358" s="258" t="s">
        <v>91</v>
      </c>
      <c r="Q358" s="259">
        <v>2975000</v>
      </c>
      <c r="R358" s="259">
        <v>0</v>
      </c>
      <c r="S358" s="259">
        <v>0</v>
      </c>
      <c r="T358" s="259">
        <v>0</v>
      </c>
      <c r="U358" s="247" t="s">
        <v>950</v>
      </c>
    </row>
    <row r="359" spans="1:21" ht="41.5" hidden="1" customHeight="1" x14ac:dyDescent="0.35">
      <c r="A359" s="280" t="s">
        <v>795</v>
      </c>
      <c r="B359" s="247" t="s">
        <v>232</v>
      </c>
      <c r="C359" s="247" t="s">
        <v>948</v>
      </c>
      <c r="D359" s="261">
        <v>56101700</v>
      </c>
      <c r="E359" s="249" t="s">
        <v>893</v>
      </c>
      <c r="F359" s="284" t="s">
        <v>955</v>
      </c>
      <c r="G359" s="250" t="s">
        <v>72</v>
      </c>
      <c r="H359" s="250" t="s">
        <v>72</v>
      </c>
      <c r="I359" s="251">
        <v>30</v>
      </c>
      <c r="J359" s="267" t="s">
        <v>359</v>
      </c>
      <c r="K359" s="253">
        <v>1500000</v>
      </c>
      <c r="L359" s="254">
        <v>0.19</v>
      </c>
      <c r="M359" s="255">
        <v>285000</v>
      </c>
      <c r="N359" s="256">
        <v>1785000</v>
      </c>
      <c r="O359" s="257" t="s">
        <v>365</v>
      </c>
      <c r="P359" s="258" t="s">
        <v>91</v>
      </c>
      <c r="Q359" s="259">
        <v>1785000</v>
      </c>
      <c r="R359" s="259">
        <v>0</v>
      </c>
      <c r="S359" s="259">
        <v>0</v>
      </c>
      <c r="T359" s="259">
        <v>0</v>
      </c>
      <c r="U359" s="247" t="s">
        <v>950</v>
      </c>
    </row>
    <row r="360" spans="1:21" ht="41.5" hidden="1" customHeight="1" x14ac:dyDescent="0.35">
      <c r="A360" s="280" t="s">
        <v>795</v>
      </c>
      <c r="B360" s="247" t="s">
        <v>232</v>
      </c>
      <c r="C360" s="247" t="s">
        <v>948</v>
      </c>
      <c r="D360" s="261">
        <v>72154066</v>
      </c>
      <c r="E360" s="249" t="s">
        <v>956</v>
      </c>
      <c r="F360" s="284" t="s">
        <v>957</v>
      </c>
      <c r="G360" s="264" t="s">
        <v>71</v>
      </c>
      <c r="H360" s="250" t="s">
        <v>71</v>
      </c>
      <c r="I360" s="251">
        <v>60</v>
      </c>
      <c r="J360" s="252" t="s">
        <v>359</v>
      </c>
      <c r="K360" s="253">
        <v>10000000</v>
      </c>
      <c r="L360" s="254">
        <v>0.19</v>
      </c>
      <c r="M360" s="255">
        <v>1900000</v>
      </c>
      <c r="N360" s="256">
        <v>11900000</v>
      </c>
      <c r="O360" s="257" t="s">
        <v>365</v>
      </c>
      <c r="P360" s="258" t="s">
        <v>91</v>
      </c>
      <c r="Q360" s="259">
        <v>11900000</v>
      </c>
      <c r="R360" s="259">
        <v>0</v>
      </c>
      <c r="S360" s="259">
        <v>0</v>
      </c>
      <c r="T360" s="259">
        <v>0</v>
      </c>
      <c r="U360" s="247" t="s">
        <v>950</v>
      </c>
    </row>
    <row r="361" spans="1:21" ht="41.5" hidden="1" customHeight="1" x14ac:dyDescent="0.35">
      <c r="A361" s="280" t="s">
        <v>795</v>
      </c>
      <c r="B361" s="247" t="s">
        <v>232</v>
      </c>
      <c r="C361" s="316" t="s">
        <v>948</v>
      </c>
      <c r="D361" s="317">
        <v>80141902</v>
      </c>
      <c r="E361" s="249" t="s">
        <v>785</v>
      </c>
      <c r="F361" s="318" t="s">
        <v>824</v>
      </c>
      <c r="G361" s="307" t="s">
        <v>73</v>
      </c>
      <c r="H361" s="307" t="s">
        <v>73</v>
      </c>
      <c r="I361" s="319">
        <v>1</v>
      </c>
      <c r="J361" s="267" t="s">
        <v>359</v>
      </c>
      <c r="K361" s="320">
        <v>6000000</v>
      </c>
      <c r="L361" s="254">
        <v>0.19</v>
      </c>
      <c r="M361" s="255">
        <v>1140000</v>
      </c>
      <c r="N361" s="256">
        <v>7140000</v>
      </c>
      <c r="O361" s="257" t="s">
        <v>365</v>
      </c>
      <c r="P361" s="258" t="s">
        <v>91</v>
      </c>
      <c r="Q361" s="259">
        <v>7140000</v>
      </c>
      <c r="R361" s="259">
        <v>0</v>
      </c>
      <c r="S361" s="259">
        <v>0</v>
      </c>
      <c r="T361" s="259">
        <v>0</v>
      </c>
      <c r="U361" s="247" t="s">
        <v>950</v>
      </c>
    </row>
    <row r="362" spans="1:21" ht="41.5" hidden="1" customHeight="1" x14ac:dyDescent="0.35">
      <c r="A362" s="280" t="s">
        <v>795</v>
      </c>
      <c r="B362" s="247" t="s">
        <v>232</v>
      </c>
      <c r="C362" s="316" t="s">
        <v>948</v>
      </c>
      <c r="D362" s="317">
        <v>80141902</v>
      </c>
      <c r="E362" s="249" t="s">
        <v>785</v>
      </c>
      <c r="F362" s="316" t="s">
        <v>870</v>
      </c>
      <c r="G362" s="307" t="s">
        <v>74</v>
      </c>
      <c r="H362" s="307" t="s">
        <v>74</v>
      </c>
      <c r="I362" s="321">
        <v>30</v>
      </c>
      <c r="J362" s="252" t="s">
        <v>359</v>
      </c>
      <c r="K362" s="320">
        <v>10000000</v>
      </c>
      <c r="L362" s="254">
        <v>0.19</v>
      </c>
      <c r="M362" s="255">
        <v>1900000</v>
      </c>
      <c r="N362" s="256">
        <v>11900000</v>
      </c>
      <c r="O362" s="257" t="s">
        <v>365</v>
      </c>
      <c r="P362" s="258" t="s">
        <v>91</v>
      </c>
      <c r="Q362" s="259">
        <v>11900000</v>
      </c>
      <c r="R362" s="259">
        <v>0</v>
      </c>
      <c r="S362" s="259">
        <v>0</v>
      </c>
      <c r="T362" s="259">
        <v>0</v>
      </c>
      <c r="U362" s="247" t="s">
        <v>950</v>
      </c>
    </row>
    <row r="363" spans="1:21" ht="41.5" hidden="1" customHeight="1" x14ac:dyDescent="0.35">
      <c r="A363" s="280" t="s">
        <v>795</v>
      </c>
      <c r="B363" s="247" t="s">
        <v>232</v>
      </c>
      <c r="C363" s="316" t="s">
        <v>948</v>
      </c>
      <c r="D363" s="317">
        <v>52131602</v>
      </c>
      <c r="E363" s="249" t="s">
        <v>958</v>
      </c>
      <c r="F363" s="316" t="s">
        <v>959</v>
      </c>
      <c r="G363" s="307" t="s">
        <v>75</v>
      </c>
      <c r="H363" s="307" t="s">
        <v>75</v>
      </c>
      <c r="I363" s="321">
        <v>60</v>
      </c>
      <c r="J363" s="267" t="s">
        <v>359</v>
      </c>
      <c r="K363" s="320">
        <v>4000000</v>
      </c>
      <c r="L363" s="254">
        <v>0.19</v>
      </c>
      <c r="M363" s="255">
        <v>760000</v>
      </c>
      <c r="N363" s="256">
        <v>4760000</v>
      </c>
      <c r="O363" s="257" t="s">
        <v>365</v>
      </c>
      <c r="P363" s="258" t="s">
        <v>91</v>
      </c>
      <c r="Q363" s="259">
        <v>4760000</v>
      </c>
      <c r="R363" s="259">
        <v>0</v>
      </c>
      <c r="S363" s="259">
        <v>0</v>
      </c>
      <c r="T363" s="259">
        <v>0</v>
      </c>
      <c r="U363" s="247" t="s">
        <v>950</v>
      </c>
    </row>
    <row r="364" spans="1:21" ht="41.5" hidden="1" customHeight="1" x14ac:dyDescent="0.35">
      <c r="A364" s="280" t="s">
        <v>795</v>
      </c>
      <c r="B364" s="247" t="s">
        <v>232</v>
      </c>
      <c r="C364" s="316" t="s">
        <v>948</v>
      </c>
      <c r="D364" s="317">
        <v>52131602</v>
      </c>
      <c r="E364" s="249" t="s">
        <v>958</v>
      </c>
      <c r="F364" s="322" t="s">
        <v>960</v>
      </c>
      <c r="G364" s="307" t="s">
        <v>75</v>
      </c>
      <c r="H364" s="307" t="s">
        <v>75</v>
      </c>
      <c r="I364" s="321">
        <v>60</v>
      </c>
      <c r="J364" s="267" t="s">
        <v>359</v>
      </c>
      <c r="K364" s="320">
        <v>3000000</v>
      </c>
      <c r="L364" s="254">
        <v>0.19</v>
      </c>
      <c r="M364" s="255">
        <v>570000</v>
      </c>
      <c r="N364" s="256">
        <v>3570000</v>
      </c>
      <c r="O364" s="257" t="s">
        <v>365</v>
      </c>
      <c r="P364" s="258" t="s">
        <v>91</v>
      </c>
      <c r="Q364" s="259">
        <v>3570000</v>
      </c>
      <c r="R364" s="259">
        <v>0</v>
      </c>
      <c r="S364" s="259">
        <v>0</v>
      </c>
      <c r="T364" s="259">
        <v>0</v>
      </c>
      <c r="U364" s="247" t="s">
        <v>950</v>
      </c>
    </row>
    <row r="365" spans="1:21" ht="41.5" hidden="1" customHeight="1" x14ac:dyDescent="0.35">
      <c r="A365" s="280" t="s">
        <v>795</v>
      </c>
      <c r="B365" s="247" t="s">
        <v>232</v>
      </c>
      <c r="C365" s="316" t="s">
        <v>948</v>
      </c>
      <c r="D365" s="317">
        <v>52141526</v>
      </c>
      <c r="E365" s="249" t="s">
        <v>961</v>
      </c>
      <c r="F365" s="322" t="s">
        <v>962</v>
      </c>
      <c r="G365" s="323" t="s">
        <v>70</v>
      </c>
      <c r="H365" s="307" t="s">
        <v>70</v>
      </c>
      <c r="I365" s="321">
        <v>30</v>
      </c>
      <c r="J365" s="267" t="s">
        <v>359</v>
      </c>
      <c r="K365" s="320">
        <v>1500000</v>
      </c>
      <c r="L365" s="254">
        <v>0.19</v>
      </c>
      <c r="M365" s="255">
        <v>285000</v>
      </c>
      <c r="N365" s="256">
        <v>1785000</v>
      </c>
      <c r="O365" s="257" t="s">
        <v>365</v>
      </c>
      <c r="P365" s="258" t="s">
        <v>91</v>
      </c>
      <c r="Q365" s="259">
        <v>1785000</v>
      </c>
      <c r="R365" s="259">
        <v>0</v>
      </c>
      <c r="S365" s="259">
        <v>0</v>
      </c>
      <c r="T365" s="259">
        <v>0</v>
      </c>
      <c r="U365" s="247" t="s">
        <v>950</v>
      </c>
    </row>
    <row r="366" spans="1:21" ht="41.5" hidden="1" customHeight="1" x14ac:dyDescent="0.35">
      <c r="A366" s="280" t="s">
        <v>795</v>
      </c>
      <c r="B366" s="247" t="s">
        <v>232</v>
      </c>
      <c r="C366" s="316" t="s">
        <v>948</v>
      </c>
      <c r="D366" s="317">
        <v>39111612</v>
      </c>
      <c r="E366" s="249" t="s">
        <v>963</v>
      </c>
      <c r="F366" s="322" t="s">
        <v>964</v>
      </c>
      <c r="G366" s="323" t="s">
        <v>71</v>
      </c>
      <c r="H366" s="307" t="s">
        <v>71</v>
      </c>
      <c r="I366" s="321">
        <v>60</v>
      </c>
      <c r="J366" s="267" t="s">
        <v>359</v>
      </c>
      <c r="K366" s="320">
        <v>4500000</v>
      </c>
      <c r="L366" s="254">
        <v>0.19</v>
      </c>
      <c r="M366" s="255">
        <v>855000</v>
      </c>
      <c r="N366" s="256">
        <v>5355000</v>
      </c>
      <c r="O366" s="257" t="s">
        <v>365</v>
      </c>
      <c r="P366" s="258" t="s">
        <v>91</v>
      </c>
      <c r="Q366" s="259">
        <v>5355000</v>
      </c>
      <c r="R366" s="259">
        <v>0</v>
      </c>
      <c r="S366" s="259">
        <v>0</v>
      </c>
      <c r="T366" s="259">
        <v>0</v>
      </c>
      <c r="U366" s="247" t="s">
        <v>950</v>
      </c>
    </row>
    <row r="367" spans="1:21" ht="41.5" hidden="1" customHeight="1" x14ac:dyDescent="0.35">
      <c r="A367" s="280" t="s">
        <v>795</v>
      </c>
      <c r="B367" s="247" t="s">
        <v>232</v>
      </c>
      <c r="C367" s="316" t="s">
        <v>948</v>
      </c>
      <c r="D367" s="317">
        <v>72101509</v>
      </c>
      <c r="E367" s="249" t="s">
        <v>965</v>
      </c>
      <c r="F367" s="322" t="s">
        <v>966</v>
      </c>
      <c r="G367" s="307" t="s">
        <v>76</v>
      </c>
      <c r="H367" s="307" t="s">
        <v>76</v>
      </c>
      <c r="I367" s="321">
        <v>30</v>
      </c>
      <c r="J367" s="267" t="s">
        <v>359</v>
      </c>
      <c r="K367" s="320">
        <v>3000000</v>
      </c>
      <c r="L367" s="254">
        <v>0.19</v>
      </c>
      <c r="M367" s="255">
        <v>570000</v>
      </c>
      <c r="N367" s="256">
        <v>3570000</v>
      </c>
      <c r="O367" s="257" t="s">
        <v>365</v>
      </c>
      <c r="P367" s="258" t="s">
        <v>91</v>
      </c>
      <c r="Q367" s="259">
        <v>3570000</v>
      </c>
      <c r="R367" s="259">
        <v>0</v>
      </c>
      <c r="S367" s="259">
        <v>0</v>
      </c>
      <c r="T367" s="259">
        <v>0</v>
      </c>
      <c r="U367" s="247" t="s">
        <v>950</v>
      </c>
    </row>
    <row r="368" spans="1:21" ht="41.5" hidden="1" customHeight="1" x14ac:dyDescent="0.35">
      <c r="A368" s="280" t="s">
        <v>795</v>
      </c>
      <c r="B368" s="247" t="s">
        <v>232</v>
      </c>
      <c r="C368" s="316" t="s">
        <v>948</v>
      </c>
      <c r="D368" s="317">
        <v>80141902</v>
      </c>
      <c r="E368" s="249" t="s">
        <v>785</v>
      </c>
      <c r="F368" s="316" t="s">
        <v>826</v>
      </c>
      <c r="G368" s="307" t="s">
        <v>77</v>
      </c>
      <c r="H368" s="307" t="s">
        <v>77</v>
      </c>
      <c r="I368" s="319">
        <v>1</v>
      </c>
      <c r="J368" s="252" t="s">
        <v>359</v>
      </c>
      <c r="K368" s="320">
        <v>15000000</v>
      </c>
      <c r="L368" s="254">
        <v>0.19</v>
      </c>
      <c r="M368" s="255">
        <v>2850000</v>
      </c>
      <c r="N368" s="256">
        <v>17850000</v>
      </c>
      <c r="O368" s="257" t="s">
        <v>365</v>
      </c>
      <c r="P368" s="258" t="s">
        <v>91</v>
      </c>
      <c r="Q368" s="259">
        <v>17850000</v>
      </c>
      <c r="R368" s="259">
        <v>0</v>
      </c>
      <c r="S368" s="259">
        <v>0</v>
      </c>
      <c r="T368" s="259">
        <v>0</v>
      </c>
      <c r="U368" s="247" t="s">
        <v>950</v>
      </c>
    </row>
    <row r="369" spans="1:21" ht="41.5" hidden="1" customHeight="1" x14ac:dyDescent="0.35">
      <c r="A369" s="280" t="s">
        <v>795</v>
      </c>
      <c r="B369" s="247" t="s">
        <v>232</v>
      </c>
      <c r="C369" s="316" t="s">
        <v>948</v>
      </c>
      <c r="D369" s="317">
        <v>72102900</v>
      </c>
      <c r="E369" s="249" t="s">
        <v>837</v>
      </c>
      <c r="F369" s="247" t="s">
        <v>967</v>
      </c>
      <c r="G369" s="307" t="s">
        <v>72</v>
      </c>
      <c r="H369" s="307" t="s">
        <v>72</v>
      </c>
      <c r="I369" s="321">
        <v>30</v>
      </c>
      <c r="J369" s="267" t="s">
        <v>359</v>
      </c>
      <c r="K369" s="320">
        <v>3000000</v>
      </c>
      <c r="L369" s="254">
        <v>0.19</v>
      </c>
      <c r="M369" s="255">
        <v>570000</v>
      </c>
      <c r="N369" s="256">
        <v>3570000</v>
      </c>
      <c r="O369" s="257" t="s">
        <v>365</v>
      </c>
      <c r="P369" s="258" t="s">
        <v>91</v>
      </c>
      <c r="Q369" s="259">
        <v>3570000</v>
      </c>
      <c r="R369" s="259">
        <v>0</v>
      </c>
      <c r="S369" s="259">
        <v>0</v>
      </c>
      <c r="T369" s="259">
        <v>0</v>
      </c>
      <c r="U369" s="247" t="s">
        <v>950</v>
      </c>
    </row>
    <row r="370" spans="1:21" ht="41.5" hidden="1" customHeight="1" x14ac:dyDescent="0.35">
      <c r="A370" s="280" t="s">
        <v>795</v>
      </c>
      <c r="B370" s="247" t="s">
        <v>232</v>
      </c>
      <c r="C370" s="324" t="s">
        <v>948</v>
      </c>
      <c r="D370" s="325">
        <v>80141902</v>
      </c>
      <c r="E370" s="249" t="s">
        <v>785</v>
      </c>
      <c r="F370" s="324" t="s">
        <v>807</v>
      </c>
      <c r="G370" s="264" t="s">
        <v>66</v>
      </c>
      <c r="H370" s="250" t="s">
        <v>66</v>
      </c>
      <c r="I370" s="326">
        <v>70</v>
      </c>
      <c r="J370" s="252" t="s">
        <v>359</v>
      </c>
      <c r="K370" s="327">
        <v>10270400</v>
      </c>
      <c r="L370" s="254">
        <v>0.19</v>
      </c>
      <c r="M370" s="255">
        <v>1951376</v>
      </c>
      <c r="N370" s="256">
        <v>12221776</v>
      </c>
      <c r="O370" s="257" t="s">
        <v>365</v>
      </c>
      <c r="P370" s="258" t="s">
        <v>91</v>
      </c>
      <c r="Q370" s="259">
        <v>12221776</v>
      </c>
      <c r="R370" s="259">
        <v>0</v>
      </c>
      <c r="S370" s="259">
        <v>0</v>
      </c>
      <c r="T370" s="259">
        <v>0</v>
      </c>
      <c r="U370" s="247" t="s">
        <v>968</v>
      </c>
    </row>
    <row r="371" spans="1:21" ht="41.5" hidden="1" customHeight="1" x14ac:dyDescent="0.35">
      <c r="A371" s="280" t="s">
        <v>795</v>
      </c>
      <c r="B371" s="247" t="s">
        <v>232</v>
      </c>
      <c r="C371" s="316" t="s">
        <v>948</v>
      </c>
      <c r="D371" s="317">
        <v>80141902</v>
      </c>
      <c r="E371" s="249" t="s">
        <v>785</v>
      </c>
      <c r="F371" s="316" t="s">
        <v>809</v>
      </c>
      <c r="G371" s="307" t="s">
        <v>76</v>
      </c>
      <c r="H371" s="307" t="s">
        <v>76</v>
      </c>
      <c r="I371" s="328">
        <v>30</v>
      </c>
      <c r="J371" s="252" t="s">
        <v>359</v>
      </c>
      <c r="K371" s="320">
        <v>10270400</v>
      </c>
      <c r="L371" s="254">
        <v>0.19</v>
      </c>
      <c r="M371" s="255">
        <v>1951376</v>
      </c>
      <c r="N371" s="256">
        <v>12221776</v>
      </c>
      <c r="O371" s="257" t="s">
        <v>365</v>
      </c>
      <c r="P371" s="258" t="s">
        <v>91</v>
      </c>
      <c r="Q371" s="259">
        <v>12221776</v>
      </c>
      <c r="R371" s="259">
        <v>0</v>
      </c>
      <c r="S371" s="259">
        <v>0</v>
      </c>
      <c r="T371" s="259">
        <v>0</v>
      </c>
      <c r="U371" s="329" t="s">
        <v>968</v>
      </c>
    </row>
    <row r="372" spans="1:21" ht="41.5" hidden="1" customHeight="1" x14ac:dyDescent="0.35">
      <c r="A372" s="280" t="s">
        <v>795</v>
      </c>
      <c r="B372" s="247" t="s">
        <v>232</v>
      </c>
      <c r="C372" s="318" t="s">
        <v>969</v>
      </c>
      <c r="D372" s="317">
        <v>72101511</v>
      </c>
      <c r="E372" s="281" t="s">
        <v>811</v>
      </c>
      <c r="F372" s="322" t="s">
        <v>922</v>
      </c>
      <c r="G372" s="323" t="s">
        <v>66</v>
      </c>
      <c r="H372" s="309" t="s">
        <v>66</v>
      </c>
      <c r="I372" s="330">
        <v>365</v>
      </c>
      <c r="J372" s="252" t="s">
        <v>470</v>
      </c>
      <c r="K372" s="320">
        <v>3100000</v>
      </c>
      <c r="L372" s="254">
        <v>0.19</v>
      </c>
      <c r="M372" s="255">
        <v>589000</v>
      </c>
      <c r="N372" s="255">
        <v>3689000</v>
      </c>
      <c r="O372" s="257" t="s">
        <v>859</v>
      </c>
      <c r="P372" s="258" t="s">
        <v>848</v>
      </c>
      <c r="Q372" s="259">
        <v>3689000</v>
      </c>
      <c r="R372" s="259">
        <v>0</v>
      </c>
      <c r="S372" s="259">
        <v>0</v>
      </c>
      <c r="T372" s="259">
        <v>0</v>
      </c>
      <c r="U372" s="280" t="s">
        <v>970</v>
      </c>
    </row>
    <row r="373" spans="1:21" ht="41.5" hidden="1" customHeight="1" x14ac:dyDescent="0.35">
      <c r="A373" s="280" t="s">
        <v>795</v>
      </c>
      <c r="B373" s="247" t="s">
        <v>232</v>
      </c>
      <c r="C373" s="318" t="s">
        <v>969</v>
      </c>
      <c r="D373" s="317">
        <v>80141902</v>
      </c>
      <c r="E373" s="281" t="s">
        <v>785</v>
      </c>
      <c r="F373" s="318" t="s">
        <v>924</v>
      </c>
      <c r="G373" s="309" t="s">
        <v>73</v>
      </c>
      <c r="H373" s="309" t="s">
        <v>73</v>
      </c>
      <c r="I373" s="319">
        <v>1</v>
      </c>
      <c r="J373" s="252" t="s">
        <v>470</v>
      </c>
      <c r="K373" s="320">
        <v>1166400</v>
      </c>
      <c r="L373" s="254">
        <v>0.19</v>
      </c>
      <c r="M373" s="255">
        <v>221616</v>
      </c>
      <c r="N373" s="255">
        <v>1388016</v>
      </c>
      <c r="O373" s="257" t="s">
        <v>859</v>
      </c>
      <c r="P373" s="258" t="s">
        <v>848</v>
      </c>
      <c r="Q373" s="259">
        <v>1388016</v>
      </c>
      <c r="R373" s="259">
        <v>0</v>
      </c>
      <c r="S373" s="259">
        <v>0</v>
      </c>
      <c r="T373" s="259">
        <v>0</v>
      </c>
      <c r="U373" s="280" t="s">
        <v>970</v>
      </c>
    </row>
    <row r="374" spans="1:21" ht="41.5" hidden="1" customHeight="1" x14ac:dyDescent="0.35">
      <c r="A374" s="280" t="s">
        <v>795</v>
      </c>
      <c r="B374" s="247" t="s">
        <v>232</v>
      </c>
      <c r="C374" s="318" t="s">
        <v>969</v>
      </c>
      <c r="D374" s="317">
        <v>80141902</v>
      </c>
      <c r="E374" s="281" t="s">
        <v>785</v>
      </c>
      <c r="F374" s="318" t="s">
        <v>826</v>
      </c>
      <c r="G374" s="309" t="s">
        <v>76</v>
      </c>
      <c r="H374" s="309" t="s">
        <v>76</v>
      </c>
      <c r="I374" s="319">
        <v>1</v>
      </c>
      <c r="J374" s="252" t="s">
        <v>470</v>
      </c>
      <c r="K374" s="320">
        <v>1320000</v>
      </c>
      <c r="L374" s="254">
        <v>0.19</v>
      </c>
      <c r="M374" s="255">
        <v>250800</v>
      </c>
      <c r="N374" s="255">
        <v>1570800</v>
      </c>
      <c r="O374" s="257" t="s">
        <v>859</v>
      </c>
      <c r="P374" s="258" t="s">
        <v>848</v>
      </c>
      <c r="Q374" s="259">
        <v>1570800</v>
      </c>
      <c r="R374" s="259">
        <v>0</v>
      </c>
      <c r="S374" s="259">
        <v>0</v>
      </c>
      <c r="T374" s="259">
        <v>0</v>
      </c>
      <c r="U374" s="280" t="s">
        <v>970</v>
      </c>
    </row>
    <row r="375" spans="1:21" ht="41.5" hidden="1" customHeight="1" x14ac:dyDescent="0.35">
      <c r="A375" s="280" t="s">
        <v>795</v>
      </c>
      <c r="B375" s="247" t="s">
        <v>232</v>
      </c>
      <c r="C375" s="318" t="s">
        <v>969</v>
      </c>
      <c r="D375" s="317">
        <v>72151302</v>
      </c>
      <c r="E375" s="281" t="s">
        <v>916</v>
      </c>
      <c r="F375" s="280" t="s">
        <v>971</v>
      </c>
      <c r="G375" s="323" t="s">
        <v>67</v>
      </c>
      <c r="H375" s="309" t="s">
        <v>67</v>
      </c>
      <c r="I375" s="328">
        <v>15</v>
      </c>
      <c r="J375" s="267" t="s">
        <v>359</v>
      </c>
      <c r="K375" s="320">
        <v>5000000</v>
      </c>
      <c r="L375" s="254">
        <v>0.19</v>
      </c>
      <c r="M375" s="255">
        <v>950000</v>
      </c>
      <c r="N375" s="255">
        <v>5950000</v>
      </c>
      <c r="O375" s="257" t="s">
        <v>365</v>
      </c>
      <c r="P375" s="258" t="s">
        <v>91</v>
      </c>
      <c r="Q375" s="259">
        <v>5950000</v>
      </c>
      <c r="R375" s="259">
        <v>0</v>
      </c>
      <c r="S375" s="259">
        <v>0</v>
      </c>
      <c r="T375" s="259">
        <v>0</v>
      </c>
      <c r="U375" s="280" t="s">
        <v>970</v>
      </c>
    </row>
    <row r="376" spans="1:21" ht="41.5" hidden="1" customHeight="1" x14ac:dyDescent="0.35">
      <c r="A376" s="280" t="s">
        <v>795</v>
      </c>
      <c r="B376" s="247" t="s">
        <v>232</v>
      </c>
      <c r="C376" s="316" t="s">
        <v>969</v>
      </c>
      <c r="D376" s="331">
        <v>72101507</v>
      </c>
      <c r="E376" s="249" t="s">
        <v>799</v>
      </c>
      <c r="F376" s="316" t="s">
        <v>972</v>
      </c>
      <c r="G376" s="307" t="s">
        <v>75</v>
      </c>
      <c r="H376" s="307" t="s">
        <v>75</v>
      </c>
      <c r="I376" s="328">
        <v>30</v>
      </c>
      <c r="J376" s="252" t="s">
        <v>359</v>
      </c>
      <c r="K376" s="320">
        <v>15000000</v>
      </c>
      <c r="L376" s="254">
        <v>0.19</v>
      </c>
      <c r="M376" s="255">
        <v>2850000</v>
      </c>
      <c r="N376" s="256">
        <v>17850000</v>
      </c>
      <c r="O376" s="257" t="s">
        <v>365</v>
      </c>
      <c r="P376" s="258" t="s">
        <v>91</v>
      </c>
      <c r="Q376" s="259">
        <v>17850000</v>
      </c>
      <c r="R376" s="259">
        <v>0</v>
      </c>
      <c r="S376" s="259">
        <v>0</v>
      </c>
      <c r="T376" s="259">
        <v>0</v>
      </c>
      <c r="U376" s="280" t="s">
        <v>970</v>
      </c>
    </row>
    <row r="377" spans="1:21" ht="41.5" hidden="1" customHeight="1" x14ac:dyDescent="0.35">
      <c r="A377" s="280" t="s">
        <v>795</v>
      </c>
      <c r="B377" s="247" t="s">
        <v>232</v>
      </c>
      <c r="C377" s="318" t="s">
        <v>969</v>
      </c>
      <c r="D377" s="317">
        <v>80141902</v>
      </c>
      <c r="E377" s="281" t="s">
        <v>785</v>
      </c>
      <c r="F377" s="318" t="s">
        <v>807</v>
      </c>
      <c r="G377" s="323" t="s">
        <v>66</v>
      </c>
      <c r="H377" s="309" t="s">
        <v>66</v>
      </c>
      <c r="I377" s="328">
        <v>70</v>
      </c>
      <c r="J377" s="252" t="s">
        <v>470</v>
      </c>
      <c r="K377" s="320">
        <v>1572000</v>
      </c>
      <c r="L377" s="254">
        <v>0.19</v>
      </c>
      <c r="M377" s="255">
        <v>298680</v>
      </c>
      <c r="N377" s="255">
        <v>1870680</v>
      </c>
      <c r="O377" s="257" t="s">
        <v>859</v>
      </c>
      <c r="P377" s="258" t="s">
        <v>848</v>
      </c>
      <c r="Q377" s="259">
        <v>1870680</v>
      </c>
      <c r="R377" s="259">
        <v>0</v>
      </c>
      <c r="S377" s="259">
        <v>0</v>
      </c>
      <c r="T377" s="259">
        <v>0</v>
      </c>
      <c r="U377" s="280" t="s">
        <v>970</v>
      </c>
    </row>
    <row r="378" spans="1:21" ht="41.5" hidden="1" customHeight="1" x14ac:dyDescent="0.35">
      <c r="A378" s="280" t="s">
        <v>795</v>
      </c>
      <c r="B378" s="247" t="s">
        <v>232</v>
      </c>
      <c r="C378" s="318" t="s">
        <v>969</v>
      </c>
      <c r="D378" s="317">
        <v>80141902</v>
      </c>
      <c r="E378" s="281" t="s">
        <v>785</v>
      </c>
      <c r="F378" s="318" t="s">
        <v>809</v>
      </c>
      <c r="G378" s="309" t="s">
        <v>76</v>
      </c>
      <c r="H378" s="309" t="s">
        <v>76</v>
      </c>
      <c r="I378" s="328">
        <v>30</v>
      </c>
      <c r="J378" s="252" t="s">
        <v>470</v>
      </c>
      <c r="K378" s="320">
        <v>1572000</v>
      </c>
      <c r="L378" s="254">
        <v>0.19</v>
      </c>
      <c r="M378" s="255">
        <v>298680</v>
      </c>
      <c r="N378" s="255">
        <v>1870680</v>
      </c>
      <c r="O378" s="257" t="s">
        <v>859</v>
      </c>
      <c r="P378" s="258" t="s">
        <v>848</v>
      </c>
      <c r="Q378" s="259">
        <v>1870680</v>
      </c>
      <c r="R378" s="259">
        <v>0</v>
      </c>
      <c r="S378" s="259">
        <v>0</v>
      </c>
      <c r="T378" s="259">
        <v>0</v>
      </c>
      <c r="U378" s="280" t="s">
        <v>970</v>
      </c>
    </row>
    <row r="379" spans="1:21" ht="41.5" hidden="1" customHeight="1" x14ac:dyDescent="0.35">
      <c r="A379" s="280" t="s">
        <v>795</v>
      </c>
      <c r="B379" s="247" t="s">
        <v>232</v>
      </c>
      <c r="C379" s="316" t="s">
        <v>973</v>
      </c>
      <c r="D379" s="331">
        <v>72101511</v>
      </c>
      <c r="E379" s="332" t="s">
        <v>811</v>
      </c>
      <c r="F379" s="322" t="s">
        <v>974</v>
      </c>
      <c r="G379" s="331" t="s">
        <v>66</v>
      </c>
      <c r="H379" s="307" t="s">
        <v>66</v>
      </c>
      <c r="I379" s="321">
        <v>365</v>
      </c>
      <c r="J379" s="268" t="s">
        <v>470</v>
      </c>
      <c r="K379" s="320">
        <v>7888236</v>
      </c>
      <c r="L379" s="254">
        <v>0</v>
      </c>
      <c r="M379" s="255">
        <v>0</v>
      </c>
      <c r="N379" s="256">
        <v>7888236</v>
      </c>
      <c r="O379" s="257" t="s">
        <v>365</v>
      </c>
      <c r="P379" s="258" t="s">
        <v>91</v>
      </c>
      <c r="Q379" s="259">
        <v>7888236</v>
      </c>
      <c r="R379" s="259">
        <v>0</v>
      </c>
      <c r="S379" s="259">
        <v>0</v>
      </c>
      <c r="T379" s="259">
        <v>0</v>
      </c>
      <c r="U379" s="260" t="s">
        <v>975</v>
      </c>
    </row>
    <row r="380" spans="1:21" ht="41.5" hidden="1" customHeight="1" x14ac:dyDescent="0.35">
      <c r="A380" s="280" t="s">
        <v>795</v>
      </c>
      <c r="B380" s="247" t="s">
        <v>232</v>
      </c>
      <c r="C380" s="316" t="s">
        <v>973</v>
      </c>
      <c r="D380" s="331">
        <v>82121507</v>
      </c>
      <c r="E380" s="249" t="s">
        <v>851</v>
      </c>
      <c r="F380" s="316" t="s">
        <v>852</v>
      </c>
      <c r="G380" s="331" t="s">
        <v>67</v>
      </c>
      <c r="H380" s="307" t="s">
        <v>67</v>
      </c>
      <c r="I380" s="321">
        <v>330</v>
      </c>
      <c r="J380" s="268" t="s">
        <v>470</v>
      </c>
      <c r="K380" s="320">
        <v>2500000</v>
      </c>
      <c r="L380" s="254">
        <v>0.19</v>
      </c>
      <c r="M380" s="255">
        <v>475000</v>
      </c>
      <c r="N380" s="256">
        <v>2975000</v>
      </c>
      <c r="O380" s="257" t="s">
        <v>365</v>
      </c>
      <c r="P380" s="258" t="s">
        <v>91</v>
      </c>
      <c r="Q380" s="259">
        <v>2975000</v>
      </c>
      <c r="R380" s="259">
        <v>0</v>
      </c>
      <c r="S380" s="259">
        <v>0</v>
      </c>
      <c r="T380" s="259">
        <v>0</v>
      </c>
      <c r="U380" s="247" t="s">
        <v>975</v>
      </c>
    </row>
    <row r="381" spans="1:21" ht="41.5" hidden="1" customHeight="1" x14ac:dyDescent="0.35">
      <c r="A381" s="280" t="s">
        <v>795</v>
      </c>
      <c r="B381" s="247" t="s">
        <v>232</v>
      </c>
      <c r="C381" s="247" t="s">
        <v>973</v>
      </c>
      <c r="D381" s="263">
        <v>80141902</v>
      </c>
      <c r="E381" s="249" t="s">
        <v>785</v>
      </c>
      <c r="F381" s="247" t="s">
        <v>870</v>
      </c>
      <c r="G381" s="307" t="s">
        <v>74</v>
      </c>
      <c r="H381" s="307" t="s">
        <v>74</v>
      </c>
      <c r="I381" s="282">
        <v>1</v>
      </c>
      <c r="J381" s="268" t="s">
        <v>470</v>
      </c>
      <c r="K381" s="253">
        <v>2354400</v>
      </c>
      <c r="L381" s="254">
        <v>0.19</v>
      </c>
      <c r="M381" s="255">
        <v>447336</v>
      </c>
      <c r="N381" s="256">
        <v>2801736</v>
      </c>
      <c r="O381" s="257" t="s">
        <v>365</v>
      </c>
      <c r="P381" s="258" t="s">
        <v>91</v>
      </c>
      <c r="Q381" s="259">
        <v>2801736</v>
      </c>
      <c r="R381" s="259">
        <v>0</v>
      </c>
      <c r="S381" s="259">
        <v>0</v>
      </c>
      <c r="T381" s="259">
        <v>0</v>
      </c>
      <c r="U381" s="247" t="s">
        <v>975</v>
      </c>
    </row>
    <row r="382" spans="1:21" ht="41.5" hidden="1" customHeight="1" x14ac:dyDescent="0.35">
      <c r="A382" s="280" t="s">
        <v>795</v>
      </c>
      <c r="B382" s="247" t="s">
        <v>232</v>
      </c>
      <c r="C382" s="247" t="s">
        <v>973</v>
      </c>
      <c r="D382" s="263">
        <v>80141902</v>
      </c>
      <c r="E382" s="249" t="s">
        <v>785</v>
      </c>
      <c r="F382" s="247" t="s">
        <v>826</v>
      </c>
      <c r="G382" s="250" t="s">
        <v>77</v>
      </c>
      <c r="H382" s="250" t="s">
        <v>77</v>
      </c>
      <c r="I382" s="282">
        <v>1</v>
      </c>
      <c r="J382" s="268" t="s">
        <v>470</v>
      </c>
      <c r="K382" s="253">
        <v>2970000</v>
      </c>
      <c r="L382" s="254">
        <v>0.19</v>
      </c>
      <c r="M382" s="255">
        <v>564300</v>
      </c>
      <c r="N382" s="256">
        <v>3534300</v>
      </c>
      <c r="O382" s="257" t="s">
        <v>365</v>
      </c>
      <c r="P382" s="258" t="s">
        <v>91</v>
      </c>
      <c r="Q382" s="259">
        <v>3534300</v>
      </c>
      <c r="R382" s="259">
        <v>0</v>
      </c>
      <c r="S382" s="259">
        <v>0</v>
      </c>
      <c r="T382" s="259">
        <v>0</v>
      </c>
      <c r="U382" s="247" t="s">
        <v>975</v>
      </c>
    </row>
    <row r="383" spans="1:21" ht="41.5" hidden="1" customHeight="1" x14ac:dyDescent="0.35">
      <c r="A383" s="280" t="s">
        <v>795</v>
      </c>
      <c r="B383" s="247" t="s">
        <v>232</v>
      </c>
      <c r="C383" s="247" t="s">
        <v>973</v>
      </c>
      <c r="D383" s="263">
        <v>80141902</v>
      </c>
      <c r="E383" s="249" t="s">
        <v>785</v>
      </c>
      <c r="F383" s="247" t="s">
        <v>976</v>
      </c>
      <c r="G383" s="250" t="s">
        <v>73</v>
      </c>
      <c r="H383" s="250" t="s">
        <v>73</v>
      </c>
      <c r="I383" s="282">
        <v>1</v>
      </c>
      <c r="J383" s="268" t="s">
        <v>470</v>
      </c>
      <c r="K383" s="253">
        <v>1280000</v>
      </c>
      <c r="L383" s="254">
        <v>0.19</v>
      </c>
      <c r="M383" s="255">
        <v>243200</v>
      </c>
      <c r="N383" s="256">
        <v>1523200</v>
      </c>
      <c r="O383" s="257" t="s">
        <v>365</v>
      </c>
      <c r="P383" s="258" t="s">
        <v>91</v>
      </c>
      <c r="Q383" s="259">
        <v>1523200</v>
      </c>
      <c r="R383" s="259">
        <v>0</v>
      </c>
      <c r="S383" s="259">
        <v>0</v>
      </c>
      <c r="T383" s="259">
        <v>0</v>
      </c>
      <c r="U383" s="247" t="s">
        <v>975</v>
      </c>
    </row>
    <row r="384" spans="1:21" ht="41.5" hidden="1" customHeight="1" x14ac:dyDescent="0.35">
      <c r="A384" s="280" t="s">
        <v>795</v>
      </c>
      <c r="B384" s="247" t="s">
        <v>232</v>
      </c>
      <c r="C384" s="247" t="s">
        <v>973</v>
      </c>
      <c r="D384" s="263">
        <v>72121103</v>
      </c>
      <c r="E384" s="249" t="s">
        <v>896</v>
      </c>
      <c r="F384" s="270" t="s">
        <v>977</v>
      </c>
      <c r="G384" s="250" t="s">
        <v>72</v>
      </c>
      <c r="H384" s="250" t="s">
        <v>72</v>
      </c>
      <c r="I384" s="251">
        <v>180</v>
      </c>
      <c r="J384" s="264" t="s">
        <v>373</v>
      </c>
      <c r="K384" s="253">
        <v>660000000</v>
      </c>
      <c r="L384" s="254">
        <v>0.19</v>
      </c>
      <c r="M384" s="255">
        <v>125400000</v>
      </c>
      <c r="N384" s="256">
        <v>785400000</v>
      </c>
      <c r="O384" s="257" t="s">
        <v>365</v>
      </c>
      <c r="P384" s="258" t="s">
        <v>91</v>
      </c>
      <c r="Q384" s="259">
        <v>785400000</v>
      </c>
      <c r="R384" s="259">
        <v>0</v>
      </c>
      <c r="S384" s="259">
        <v>0</v>
      </c>
      <c r="T384" s="259">
        <v>0</v>
      </c>
      <c r="U384" s="247" t="s">
        <v>975</v>
      </c>
    </row>
    <row r="385" spans="1:21" ht="41.5" hidden="1" customHeight="1" x14ac:dyDescent="0.35">
      <c r="A385" s="280" t="s">
        <v>795</v>
      </c>
      <c r="B385" s="247" t="s">
        <v>232</v>
      </c>
      <c r="C385" s="247" t="s">
        <v>973</v>
      </c>
      <c r="D385" s="263">
        <v>56101700</v>
      </c>
      <c r="E385" s="249" t="s">
        <v>893</v>
      </c>
      <c r="F385" s="284" t="s">
        <v>978</v>
      </c>
      <c r="G385" s="250" t="s">
        <v>72</v>
      </c>
      <c r="H385" s="250" t="s">
        <v>72</v>
      </c>
      <c r="I385" s="251">
        <v>120</v>
      </c>
      <c r="J385" s="264" t="s">
        <v>373</v>
      </c>
      <c r="K385" s="253">
        <v>210084034</v>
      </c>
      <c r="L385" s="254">
        <v>0.19</v>
      </c>
      <c r="M385" s="255">
        <v>39915966.460000001</v>
      </c>
      <c r="N385" s="256">
        <v>250000000.46000001</v>
      </c>
      <c r="O385" s="257" t="s">
        <v>365</v>
      </c>
      <c r="P385" s="258" t="s">
        <v>91</v>
      </c>
      <c r="Q385" s="259">
        <v>250000000</v>
      </c>
      <c r="R385" s="259">
        <v>0</v>
      </c>
      <c r="S385" s="259">
        <v>0</v>
      </c>
      <c r="T385" s="259">
        <v>0</v>
      </c>
      <c r="U385" s="247" t="s">
        <v>975</v>
      </c>
    </row>
    <row r="386" spans="1:21" ht="41.5" hidden="1" customHeight="1" x14ac:dyDescent="0.35">
      <c r="A386" s="280" t="s">
        <v>795</v>
      </c>
      <c r="B386" s="247" t="s">
        <v>232</v>
      </c>
      <c r="C386" s="247" t="s">
        <v>973</v>
      </c>
      <c r="D386" s="263">
        <v>78181703</v>
      </c>
      <c r="E386" s="249" t="s">
        <v>821</v>
      </c>
      <c r="F386" s="247" t="s">
        <v>979</v>
      </c>
      <c r="G386" s="250" t="s">
        <v>72</v>
      </c>
      <c r="H386" s="250" t="s">
        <v>72</v>
      </c>
      <c r="I386" s="251">
        <v>180</v>
      </c>
      <c r="J386" s="268" t="s">
        <v>470</v>
      </c>
      <c r="K386" s="253">
        <v>4716000</v>
      </c>
      <c r="L386" s="254">
        <v>0.19</v>
      </c>
      <c r="M386" s="255">
        <v>896040</v>
      </c>
      <c r="N386" s="256">
        <v>5612040</v>
      </c>
      <c r="O386" s="257" t="s">
        <v>365</v>
      </c>
      <c r="P386" s="258" t="s">
        <v>91</v>
      </c>
      <c r="Q386" s="259">
        <v>5612040</v>
      </c>
      <c r="R386" s="259">
        <v>0</v>
      </c>
      <c r="S386" s="259">
        <v>0</v>
      </c>
      <c r="T386" s="259">
        <v>0</v>
      </c>
      <c r="U386" s="247" t="s">
        <v>975</v>
      </c>
    </row>
    <row r="387" spans="1:21" ht="41.5" hidden="1" customHeight="1" x14ac:dyDescent="0.35">
      <c r="A387" s="280" t="s">
        <v>795</v>
      </c>
      <c r="B387" s="247" t="s">
        <v>232</v>
      </c>
      <c r="C387" s="316" t="s">
        <v>973</v>
      </c>
      <c r="D387" s="331">
        <v>80141902</v>
      </c>
      <c r="E387" s="249" t="s">
        <v>785</v>
      </c>
      <c r="F387" s="316" t="s">
        <v>807</v>
      </c>
      <c r="G387" s="323" t="s">
        <v>66</v>
      </c>
      <c r="H387" s="307" t="s">
        <v>66</v>
      </c>
      <c r="I387" s="328">
        <v>70</v>
      </c>
      <c r="J387" s="268" t="s">
        <v>470</v>
      </c>
      <c r="K387" s="320">
        <v>4192000</v>
      </c>
      <c r="L387" s="254">
        <v>0.19</v>
      </c>
      <c r="M387" s="255">
        <v>796480</v>
      </c>
      <c r="N387" s="256">
        <v>4988480</v>
      </c>
      <c r="O387" s="257" t="s">
        <v>365</v>
      </c>
      <c r="P387" s="258" t="s">
        <v>91</v>
      </c>
      <c r="Q387" s="259">
        <v>4988480</v>
      </c>
      <c r="R387" s="259">
        <v>0</v>
      </c>
      <c r="S387" s="259">
        <v>0</v>
      </c>
      <c r="T387" s="259">
        <v>0</v>
      </c>
      <c r="U387" s="247" t="s">
        <v>975</v>
      </c>
    </row>
    <row r="388" spans="1:21" ht="41.5" hidden="1" customHeight="1" x14ac:dyDescent="0.35">
      <c r="A388" s="280" t="s">
        <v>795</v>
      </c>
      <c r="B388" s="247" t="s">
        <v>232</v>
      </c>
      <c r="C388" s="316" t="s">
        <v>973</v>
      </c>
      <c r="D388" s="331">
        <v>80141902</v>
      </c>
      <c r="E388" s="249" t="s">
        <v>785</v>
      </c>
      <c r="F388" s="316" t="s">
        <v>809</v>
      </c>
      <c r="G388" s="307" t="s">
        <v>76</v>
      </c>
      <c r="H388" s="307" t="s">
        <v>76</v>
      </c>
      <c r="I388" s="328">
        <v>30</v>
      </c>
      <c r="J388" s="268" t="s">
        <v>470</v>
      </c>
      <c r="K388" s="320">
        <v>4192000</v>
      </c>
      <c r="L388" s="254">
        <v>0.19</v>
      </c>
      <c r="M388" s="255">
        <v>796480</v>
      </c>
      <c r="N388" s="256">
        <v>4988480</v>
      </c>
      <c r="O388" s="257" t="s">
        <v>365</v>
      </c>
      <c r="P388" s="258" t="s">
        <v>91</v>
      </c>
      <c r="Q388" s="259">
        <v>4988480</v>
      </c>
      <c r="R388" s="259">
        <v>0</v>
      </c>
      <c r="S388" s="259">
        <v>0</v>
      </c>
      <c r="T388" s="259">
        <v>0</v>
      </c>
      <c r="U388" s="247" t="s">
        <v>975</v>
      </c>
    </row>
    <row r="389" spans="1:21" ht="41.5" hidden="1" customHeight="1" x14ac:dyDescent="0.35">
      <c r="A389" s="280" t="s">
        <v>795</v>
      </c>
      <c r="B389" s="247" t="s">
        <v>232</v>
      </c>
      <c r="C389" s="247" t="s">
        <v>980</v>
      </c>
      <c r="D389" s="263">
        <v>80141902</v>
      </c>
      <c r="E389" s="249" t="s">
        <v>785</v>
      </c>
      <c r="F389" s="247" t="s">
        <v>870</v>
      </c>
      <c r="G389" s="250" t="s">
        <v>74</v>
      </c>
      <c r="H389" s="250" t="s">
        <v>74</v>
      </c>
      <c r="I389" s="282">
        <v>1</v>
      </c>
      <c r="J389" s="252" t="s">
        <v>470</v>
      </c>
      <c r="K389" s="253">
        <v>2829600</v>
      </c>
      <c r="L389" s="254">
        <v>0.19</v>
      </c>
      <c r="M389" s="255">
        <v>537624</v>
      </c>
      <c r="N389" s="256">
        <v>3367224</v>
      </c>
      <c r="O389" s="257" t="s">
        <v>365</v>
      </c>
      <c r="P389" s="258" t="s">
        <v>91</v>
      </c>
      <c r="Q389" s="259">
        <v>3367224</v>
      </c>
      <c r="R389" s="259">
        <v>0</v>
      </c>
      <c r="S389" s="259">
        <v>0</v>
      </c>
      <c r="T389" s="259">
        <v>0</v>
      </c>
      <c r="U389" s="247" t="s">
        <v>981</v>
      </c>
    </row>
    <row r="390" spans="1:21" ht="41.5" hidden="1" customHeight="1" x14ac:dyDescent="0.35">
      <c r="A390" s="280" t="s">
        <v>795</v>
      </c>
      <c r="B390" s="247" t="s">
        <v>232</v>
      </c>
      <c r="C390" s="247" t="s">
        <v>980</v>
      </c>
      <c r="D390" s="333">
        <v>80141902</v>
      </c>
      <c r="E390" s="249" t="s">
        <v>785</v>
      </c>
      <c r="F390" s="247" t="s">
        <v>826</v>
      </c>
      <c r="G390" s="250" t="s">
        <v>77</v>
      </c>
      <c r="H390" s="250" t="s">
        <v>77</v>
      </c>
      <c r="I390" s="282">
        <v>1</v>
      </c>
      <c r="J390" s="252" t="s">
        <v>470</v>
      </c>
      <c r="K390" s="253">
        <v>4730000</v>
      </c>
      <c r="L390" s="254">
        <v>0.19</v>
      </c>
      <c r="M390" s="255">
        <v>898700</v>
      </c>
      <c r="N390" s="256">
        <v>5628700</v>
      </c>
      <c r="O390" s="257" t="s">
        <v>365</v>
      </c>
      <c r="P390" s="258" t="s">
        <v>91</v>
      </c>
      <c r="Q390" s="259">
        <v>5628700</v>
      </c>
      <c r="R390" s="259">
        <v>0</v>
      </c>
      <c r="S390" s="259">
        <v>0</v>
      </c>
      <c r="T390" s="259">
        <v>0</v>
      </c>
      <c r="U390" s="247" t="s">
        <v>981</v>
      </c>
    </row>
    <row r="391" spans="1:21" ht="41.5" hidden="1" customHeight="1" x14ac:dyDescent="0.35">
      <c r="A391" s="280" t="s">
        <v>795</v>
      </c>
      <c r="B391" s="247" t="s">
        <v>232</v>
      </c>
      <c r="C391" s="247" t="s">
        <v>980</v>
      </c>
      <c r="D391" s="263">
        <v>72101511</v>
      </c>
      <c r="E391" s="249" t="s">
        <v>811</v>
      </c>
      <c r="F391" s="284" t="s">
        <v>982</v>
      </c>
      <c r="G391" s="264" t="s">
        <v>66</v>
      </c>
      <c r="H391" s="250" t="s">
        <v>66</v>
      </c>
      <c r="I391" s="251">
        <v>365</v>
      </c>
      <c r="J391" s="252" t="s">
        <v>470</v>
      </c>
      <c r="K391" s="253">
        <v>2613712</v>
      </c>
      <c r="L391" s="254">
        <v>0.19</v>
      </c>
      <c r="M391" s="255">
        <v>496606</v>
      </c>
      <c r="N391" s="256">
        <v>3110318</v>
      </c>
      <c r="O391" s="257" t="s">
        <v>365</v>
      </c>
      <c r="P391" s="258" t="s">
        <v>91</v>
      </c>
      <c r="Q391" s="259">
        <v>3110318</v>
      </c>
      <c r="R391" s="259">
        <v>0</v>
      </c>
      <c r="S391" s="259">
        <v>0</v>
      </c>
      <c r="T391" s="259">
        <v>0</v>
      </c>
      <c r="U391" s="247" t="s">
        <v>981</v>
      </c>
    </row>
    <row r="392" spans="1:21" ht="41.5" hidden="1" customHeight="1" x14ac:dyDescent="0.35">
      <c r="A392" s="280" t="s">
        <v>795</v>
      </c>
      <c r="B392" s="247" t="s">
        <v>232</v>
      </c>
      <c r="C392" s="247" t="s">
        <v>980</v>
      </c>
      <c r="D392" s="263">
        <v>73152108</v>
      </c>
      <c r="E392" s="249" t="s">
        <v>882</v>
      </c>
      <c r="F392" s="284" t="s">
        <v>983</v>
      </c>
      <c r="G392" s="250" t="s">
        <v>75</v>
      </c>
      <c r="H392" s="250" t="s">
        <v>75</v>
      </c>
      <c r="I392" s="251">
        <v>30</v>
      </c>
      <c r="J392" s="252" t="s">
        <v>470</v>
      </c>
      <c r="K392" s="253">
        <v>2391775</v>
      </c>
      <c r="L392" s="254">
        <v>0.19</v>
      </c>
      <c r="M392" s="255">
        <v>454438</v>
      </c>
      <c r="N392" s="256">
        <v>2846213</v>
      </c>
      <c r="O392" s="257" t="s">
        <v>365</v>
      </c>
      <c r="P392" s="258" t="s">
        <v>91</v>
      </c>
      <c r="Q392" s="259">
        <v>2846213</v>
      </c>
      <c r="R392" s="259">
        <v>0</v>
      </c>
      <c r="S392" s="259">
        <v>0</v>
      </c>
      <c r="T392" s="259">
        <v>0</v>
      </c>
      <c r="U392" s="247" t="s">
        <v>981</v>
      </c>
    </row>
    <row r="393" spans="1:21" ht="41.5" hidden="1" customHeight="1" x14ac:dyDescent="0.35">
      <c r="A393" s="280" t="s">
        <v>795</v>
      </c>
      <c r="B393" s="247" t="s">
        <v>232</v>
      </c>
      <c r="C393" s="247" t="s">
        <v>980</v>
      </c>
      <c r="D393" s="263">
        <v>72153613</v>
      </c>
      <c r="E393" s="249" t="s">
        <v>864</v>
      </c>
      <c r="F393" s="284" t="s">
        <v>984</v>
      </c>
      <c r="G393" s="250" t="s">
        <v>75</v>
      </c>
      <c r="H393" s="250" t="s">
        <v>75</v>
      </c>
      <c r="I393" s="251">
        <v>15</v>
      </c>
      <c r="J393" s="252" t="s">
        <v>470</v>
      </c>
      <c r="K393" s="253">
        <v>1766170</v>
      </c>
      <c r="L393" s="254">
        <v>0.19</v>
      </c>
      <c r="M393" s="255">
        <v>335572</v>
      </c>
      <c r="N393" s="256">
        <v>2101742</v>
      </c>
      <c r="O393" s="257" t="s">
        <v>365</v>
      </c>
      <c r="P393" s="258" t="s">
        <v>91</v>
      </c>
      <c r="Q393" s="259">
        <v>2101743</v>
      </c>
      <c r="R393" s="259">
        <v>0</v>
      </c>
      <c r="S393" s="259">
        <v>0</v>
      </c>
      <c r="T393" s="259">
        <v>0</v>
      </c>
      <c r="U393" s="247" t="s">
        <v>981</v>
      </c>
    </row>
    <row r="394" spans="1:21" ht="41.5" hidden="1" customHeight="1" x14ac:dyDescent="0.35">
      <c r="A394" s="280" t="s">
        <v>795</v>
      </c>
      <c r="B394" s="247" t="s">
        <v>232</v>
      </c>
      <c r="C394" s="247" t="s">
        <v>980</v>
      </c>
      <c r="D394" s="263">
        <v>80141902</v>
      </c>
      <c r="E394" s="249" t="s">
        <v>785</v>
      </c>
      <c r="F394" s="247" t="s">
        <v>985</v>
      </c>
      <c r="G394" s="250" t="s">
        <v>73</v>
      </c>
      <c r="H394" s="250" t="s">
        <v>73</v>
      </c>
      <c r="I394" s="282">
        <v>1</v>
      </c>
      <c r="J394" s="252" t="s">
        <v>470</v>
      </c>
      <c r="K394" s="253">
        <v>1520000</v>
      </c>
      <c r="L394" s="254">
        <v>0.19</v>
      </c>
      <c r="M394" s="255">
        <v>288800</v>
      </c>
      <c r="N394" s="256">
        <v>1808800</v>
      </c>
      <c r="O394" s="257" t="s">
        <v>365</v>
      </c>
      <c r="P394" s="258" t="s">
        <v>91</v>
      </c>
      <c r="Q394" s="259">
        <v>1808800</v>
      </c>
      <c r="R394" s="259">
        <v>0</v>
      </c>
      <c r="S394" s="259">
        <v>0</v>
      </c>
      <c r="T394" s="259">
        <v>0</v>
      </c>
      <c r="U394" s="247" t="s">
        <v>981</v>
      </c>
    </row>
    <row r="395" spans="1:21" ht="41.5" hidden="1" customHeight="1" x14ac:dyDescent="0.35">
      <c r="A395" s="280" t="s">
        <v>795</v>
      </c>
      <c r="B395" s="247" t="s">
        <v>232</v>
      </c>
      <c r="C395" s="247" t="s">
        <v>980</v>
      </c>
      <c r="D395" s="263">
        <v>52141502</v>
      </c>
      <c r="E395" s="249" t="s">
        <v>803</v>
      </c>
      <c r="F395" s="284" t="s">
        <v>986</v>
      </c>
      <c r="G395" s="250" t="s">
        <v>73</v>
      </c>
      <c r="H395" s="250" t="s">
        <v>73</v>
      </c>
      <c r="I395" s="251">
        <v>30</v>
      </c>
      <c r="J395" s="252" t="s">
        <v>470</v>
      </c>
      <c r="K395" s="253">
        <v>3000000</v>
      </c>
      <c r="L395" s="254">
        <v>0.19</v>
      </c>
      <c r="M395" s="255">
        <v>570000</v>
      </c>
      <c r="N395" s="256">
        <v>3570000</v>
      </c>
      <c r="O395" s="257" t="s">
        <v>365</v>
      </c>
      <c r="P395" s="258" t="s">
        <v>91</v>
      </c>
      <c r="Q395" s="259">
        <v>3570000</v>
      </c>
      <c r="R395" s="259">
        <v>0</v>
      </c>
      <c r="S395" s="259">
        <v>0</v>
      </c>
      <c r="T395" s="259">
        <v>0</v>
      </c>
      <c r="U395" s="247" t="s">
        <v>981</v>
      </c>
    </row>
    <row r="396" spans="1:21" ht="41.5" hidden="1" customHeight="1" x14ac:dyDescent="0.35">
      <c r="A396" s="280" t="s">
        <v>795</v>
      </c>
      <c r="B396" s="247" t="s">
        <v>232</v>
      </c>
      <c r="C396" s="247" t="s">
        <v>980</v>
      </c>
      <c r="D396" s="263">
        <v>52141526</v>
      </c>
      <c r="E396" s="249" t="s">
        <v>961</v>
      </c>
      <c r="F396" s="284" t="s">
        <v>987</v>
      </c>
      <c r="G396" s="250" t="s">
        <v>73</v>
      </c>
      <c r="H396" s="250" t="s">
        <v>73</v>
      </c>
      <c r="I396" s="251">
        <v>30</v>
      </c>
      <c r="J396" s="252" t="s">
        <v>470</v>
      </c>
      <c r="K396" s="253">
        <v>2380000</v>
      </c>
      <c r="L396" s="254">
        <v>0.19</v>
      </c>
      <c r="M396" s="255">
        <v>452200</v>
      </c>
      <c r="N396" s="256">
        <v>2832200</v>
      </c>
      <c r="O396" s="257" t="s">
        <v>365</v>
      </c>
      <c r="P396" s="258" t="s">
        <v>91</v>
      </c>
      <c r="Q396" s="259">
        <v>2832200</v>
      </c>
      <c r="R396" s="259">
        <v>0</v>
      </c>
      <c r="S396" s="259">
        <v>0</v>
      </c>
      <c r="T396" s="259">
        <v>0</v>
      </c>
      <c r="U396" s="247" t="s">
        <v>981</v>
      </c>
    </row>
    <row r="397" spans="1:21" ht="41.5" hidden="1" customHeight="1" x14ac:dyDescent="0.35">
      <c r="A397" s="280" t="s">
        <v>795</v>
      </c>
      <c r="B397" s="247" t="s">
        <v>232</v>
      </c>
      <c r="C397" s="247" t="s">
        <v>980</v>
      </c>
      <c r="D397" s="263">
        <v>73181104</v>
      </c>
      <c r="E397" s="249" t="s">
        <v>867</v>
      </c>
      <c r="F397" s="247" t="s">
        <v>988</v>
      </c>
      <c r="G397" s="250" t="s">
        <v>74</v>
      </c>
      <c r="H397" s="250" t="s">
        <v>74</v>
      </c>
      <c r="I397" s="251">
        <v>30</v>
      </c>
      <c r="J397" s="252" t="s">
        <v>359</v>
      </c>
      <c r="K397" s="253">
        <v>25000000</v>
      </c>
      <c r="L397" s="254">
        <v>0.19</v>
      </c>
      <c r="M397" s="255">
        <v>4750000</v>
      </c>
      <c r="N397" s="256">
        <v>29750000</v>
      </c>
      <c r="O397" s="257" t="s">
        <v>365</v>
      </c>
      <c r="P397" s="258" t="s">
        <v>91</v>
      </c>
      <c r="Q397" s="259">
        <v>29750000</v>
      </c>
      <c r="R397" s="259">
        <v>0</v>
      </c>
      <c r="S397" s="259">
        <v>0</v>
      </c>
      <c r="T397" s="259">
        <v>0</v>
      </c>
      <c r="U397" s="247" t="s">
        <v>981</v>
      </c>
    </row>
    <row r="398" spans="1:21" ht="41.5" hidden="1" customHeight="1" x14ac:dyDescent="0.35">
      <c r="A398" s="280" t="s">
        <v>795</v>
      </c>
      <c r="B398" s="247" t="s">
        <v>232</v>
      </c>
      <c r="C398" s="280" t="s">
        <v>980</v>
      </c>
      <c r="D398" s="263">
        <v>80141902</v>
      </c>
      <c r="E398" s="249" t="s">
        <v>785</v>
      </c>
      <c r="F398" s="280" t="s">
        <v>807</v>
      </c>
      <c r="G398" s="264" t="s">
        <v>66</v>
      </c>
      <c r="H398" s="252" t="s">
        <v>66</v>
      </c>
      <c r="I398" s="311">
        <v>70</v>
      </c>
      <c r="J398" s="252" t="s">
        <v>470</v>
      </c>
      <c r="K398" s="253">
        <v>3877600</v>
      </c>
      <c r="L398" s="254">
        <v>0.19</v>
      </c>
      <c r="M398" s="255">
        <v>736744</v>
      </c>
      <c r="N398" s="255">
        <v>4614344</v>
      </c>
      <c r="O398" s="257" t="s">
        <v>365</v>
      </c>
      <c r="P398" s="258" t="s">
        <v>91</v>
      </c>
      <c r="Q398" s="259">
        <v>4614344</v>
      </c>
      <c r="R398" s="259">
        <v>0</v>
      </c>
      <c r="S398" s="259">
        <v>0</v>
      </c>
      <c r="T398" s="259">
        <v>0</v>
      </c>
      <c r="U398" s="280" t="s">
        <v>981</v>
      </c>
    </row>
    <row r="399" spans="1:21" ht="41.5" hidden="1" customHeight="1" x14ac:dyDescent="0.35">
      <c r="A399" s="280" t="s">
        <v>795</v>
      </c>
      <c r="B399" s="247" t="s">
        <v>232</v>
      </c>
      <c r="C399" s="247" t="s">
        <v>980</v>
      </c>
      <c r="D399" s="263">
        <v>80141902</v>
      </c>
      <c r="E399" s="249" t="s">
        <v>785</v>
      </c>
      <c r="F399" s="247" t="s">
        <v>809</v>
      </c>
      <c r="G399" s="250" t="s">
        <v>76</v>
      </c>
      <c r="H399" s="250" t="s">
        <v>76</v>
      </c>
      <c r="I399" s="311">
        <v>30</v>
      </c>
      <c r="J399" s="252" t="s">
        <v>470</v>
      </c>
      <c r="K399" s="253">
        <v>3877600</v>
      </c>
      <c r="L399" s="254">
        <v>0.19</v>
      </c>
      <c r="M399" s="255">
        <v>736744</v>
      </c>
      <c r="N399" s="256">
        <v>4614344</v>
      </c>
      <c r="O399" s="257" t="s">
        <v>365</v>
      </c>
      <c r="P399" s="258" t="s">
        <v>91</v>
      </c>
      <c r="Q399" s="259">
        <v>4614344</v>
      </c>
      <c r="R399" s="259">
        <v>0</v>
      </c>
      <c r="S399" s="259">
        <v>0</v>
      </c>
      <c r="T399" s="259">
        <v>0</v>
      </c>
      <c r="U399" s="247" t="s">
        <v>981</v>
      </c>
    </row>
    <row r="400" spans="1:21" ht="41.5" hidden="1" customHeight="1" x14ac:dyDescent="0.35">
      <c r="A400" s="280" t="s">
        <v>795</v>
      </c>
      <c r="B400" s="247" t="s">
        <v>232</v>
      </c>
      <c r="C400" s="247" t="s">
        <v>989</v>
      </c>
      <c r="D400" s="261">
        <v>80131500</v>
      </c>
      <c r="E400" s="249" t="s">
        <v>990</v>
      </c>
      <c r="F400" s="266" t="s">
        <v>991</v>
      </c>
      <c r="G400" s="288" t="s">
        <v>66</v>
      </c>
      <c r="H400" s="250" t="s">
        <v>66</v>
      </c>
      <c r="I400" s="251">
        <v>360</v>
      </c>
      <c r="J400" s="252" t="s">
        <v>359</v>
      </c>
      <c r="K400" s="253">
        <v>16200000</v>
      </c>
      <c r="L400" s="254">
        <v>0.19</v>
      </c>
      <c r="M400" s="255">
        <v>3078000</v>
      </c>
      <c r="N400" s="256">
        <v>19278000</v>
      </c>
      <c r="O400" s="257" t="s">
        <v>365</v>
      </c>
      <c r="P400" s="258" t="s">
        <v>91</v>
      </c>
      <c r="Q400" s="259">
        <v>19278000</v>
      </c>
      <c r="R400" s="259">
        <v>0</v>
      </c>
      <c r="S400" s="259">
        <v>0</v>
      </c>
      <c r="T400" s="259">
        <v>0</v>
      </c>
      <c r="U400" s="247" t="s">
        <v>992</v>
      </c>
    </row>
    <row r="401" spans="1:21" ht="41.5" hidden="1" customHeight="1" x14ac:dyDescent="0.35">
      <c r="A401" s="280" t="s">
        <v>795</v>
      </c>
      <c r="B401" s="247" t="s">
        <v>232</v>
      </c>
      <c r="C401" s="247" t="s">
        <v>989</v>
      </c>
      <c r="D401" s="261">
        <v>72101511</v>
      </c>
      <c r="E401" s="249" t="s">
        <v>811</v>
      </c>
      <c r="F401" s="284" t="s">
        <v>993</v>
      </c>
      <c r="G401" s="289" t="s">
        <v>66</v>
      </c>
      <c r="H401" s="250" t="s">
        <v>66</v>
      </c>
      <c r="I401" s="251">
        <v>360</v>
      </c>
      <c r="J401" s="252" t="s">
        <v>470</v>
      </c>
      <c r="K401" s="253">
        <v>2000000</v>
      </c>
      <c r="L401" s="254">
        <v>0.19</v>
      </c>
      <c r="M401" s="255">
        <v>380000</v>
      </c>
      <c r="N401" s="256">
        <v>2380000</v>
      </c>
      <c r="O401" s="257" t="s">
        <v>365</v>
      </c>
      <c r="P401" s="258" t="s">
        <v>91</v>
      </c>
      <c r="Q401" s="259">
        <v>2380000</v>
      </c>
      <c r="R401" s="259">
        <v>0</v>
      </c>
      <c r="S401" s="259">
        <v>0</v>
      </c>
      <c r="T401" s="259">
        <v>0</v>
      </c>
      <c r="U401" s="247" t="s">
        <v>992</v>
      </c>
    </row>
    <row r="402" spans="1:21" ht="41.5" hidden="1" customHeight="1" x14ac:dyDescent="0.35">
      <c r="A402" s="280" t="s">
        <v>795</v>
      </c>
      <c r="B402" s="247" t="s">
        <v>232</v>
      </c>
      <c r="C402" s="247" t="s">
        <v>989</v>
      </c>
      <c r="D402" s="261">
        <v>72151514</v>
      </c>
      <c r="E402" s="249" t="s">
        <v>994</v>
      </c>
      <c r="F402" s="284" t="s">
        <v>995</v>
      </c>
      <c r="G402" s="289" t="s">
        <v>66</v>
      </c>
      <c r="H402" s="250" t="s">
        <v>66</v>
      </c>
      <c r="I402" s="251">
        <v>360</v>
      </c>
      <c r="J402" s="252" t="s">
        <v>470</v>
      </c>
      <c r="K402" s="253">
        <v>1930237</v>
      </c>
      <c r="L402" s="254">
        <v>0.19</v>
      </c>
      <c r="M402" s="255">
        <v>366745.03</v>
      </c>
      <c r="N402" s="256">
        <v>2296982.0300000003</v>
      </c>
      <c r="O402" s="257" t="s">
        <v>365</v>
      </c>
      <c r="P402" s="258" t="s">
        <v>91</v>
      </c>
      <c r="Q402" s="259">
        <v>2296982.0300000003</v>
      </c>
      <c r="R402" s="259">
        <v>0</v>
      </c>
      <c r="S402" s="259">
        <v>0</v>
      </c>
      <c r="T402" s="259">
        <v>0</v>
      </c>
      <c r="U402" s="247" t="s">
        <v>992</v>
      </c>
    </row>
    <row r="403" spans="1:21" ht="41.5" hidden="1" customHeight="1" x14ac:dyDescent="0.35">
      <c r="A403" s="280" t="s">
        <v>795</v>
      </c>
      <c r="B403" s="247" t="s">
        <v>232</v>
      </c>
      <c r="C403" s="247" t="s">
        <v>989</v>
      </c>
      <c r="D403" s="261">
        <v>80141902</v>
      </c>
      <c r="E403" s="249" t="s">
        <v>785</v>
      </c>
      <c r="F403" s="247" t="s">
        <v>826</v>
      </c>
      <c r="G403" s="285" t="s">
        <v>76</v>
      </c>
      <c r="H403" s="250" t="s">
        <v>76</v>
      </c>
      <c r="I403" s="282">
        <v>1</v>
      </c>
      <c r="J403" s="252" t="s">
        <v>470</v>
      </c>
      <c r="K403" s="253">
        <v>3630000</v>
      </c>
      <c r="L403" s="254">
        <v>0.19</v>
      </c>
      <c r="M403" s="255">
        <v>689700</v>
      </c>
      <c r="N403" s="256">
        <v>4319700</v>
      </c>
      <c r="O403" s="257" t="s">
        <v>365</v>
      </c>
      <c r="P403" s="258" t="s">
        <v>91</v>
      </c>
      <c r="Q403" s="259">
        <v>4319700</v>
      </c>
      <c r="R403" s="259">
        <v>0</v>
      </c>
      <c r="S403" s="259">
        <v>0</v>
      </c>
      <c r="T403" s="259">
        <v>0</v>
      </c>
      <c r="U403" s="247" t="s">
        <v>992</v>
      </c>
    </row>
    <row r="404" spans="1:21" ht="41.5" hidden="1" customHeight="1" x14ac:dyDescent="0.35">
      <c r="A404" s="280" t="s">
        <v>795</v>
      </c>
      <c r="B404" s="247" t="s">
        <v>232</v>
      </c>
      <c r="C404" s="247" t="s">
        <v>989</v>
      </c>
      <c r="D404" s="261">
        <v>80141902</v>
      </c>
      <c r="E404" s="249" t="s">
        <v>785</v>
      </c>
      <c r="F404" s="247" t="s">
        <v>870</v>
      </c>
      <c r="G404" s="285" t="s">
        <v>74</v>
      </c>
      <c r="H404" s="250" t="s">
        <v>74</v>
      </c>
      <c r="I404" s="282">
        <v>1</v>
      </c>
      <c r="J404" s="252" t="s">
        <v>470</v>
      </c>
      <c r="K404" s="253">
        <v>2829600</v>
      </c>
      <c r="L404" s="254">
        <v>0.19</v>
      </c>
      <c r="M404" s="255">
        <v>537624</v>
      </c>
      <c r="N404" s="256">
        <v>3367224</v>
      </c>
      <c r="O404" s="257" t="s">
        <v>365</v>
      </c>
      <c r="P404" s="258" t="s">
        <v>91</v>
      </c>
      <c r="Q404" s="259">
        <v>3367224</v>
      </c>
      <c r="R404" s="259">
        <v>0</v>
      </c>
      <c r="S404" s="259">
        <v>0</v>
      </c>
      <c r="T404" s="259">
        <v>0</v>
      </c>
      <c r="U404" s="247" t="s">
        <v>992</v>
      </c>
    </row>
    <row r="405" spans="1:21" ht="41.5" hidden="1" customHeight="1" x14ac:dyDescent="0.35">
      <c r="A405" s="280" t="s">
        <v>795</v>
      </c>
      <c r="B405" s="247" t="s">
        <v>232</v>
      </c>
      <c r="C405" s="247" t="s">
        <v>989</v>
      </c>
      <c r="D405" s="261">
        <v>80141902</v>
      </c>
      <c r="E405" s="249" t="s">
        <v>785</v>
      </c>
      <c r="F405" s="247" t="s">
        <v>996</v>
      </c>
      <c r="G405" s="285" t="s">
        <v>72</v>
      </c>
      <c r="H405" s="250" t="s">
        <v>72</v>
      </c>
      <c r="I405" s="282">
        <v>1</v>
      </c>
      <c r="J405" s="252" t="s">
        <v>470</v>
      </c>
      <c r="K405" s="253">
        <v>1520000</v>
      </c>
      <c r="L405" s="254">
        <v>0.19</v>
      </c>
      <c r="M405" s="255">
        <v>288800</v>
      </c>
      <c r="N405" s="256">
        <v>1808800</v>
      </c>
      <c r="O405" s="257" t="s">
        <v>365</v>
      </c>
      <c r="P405" s="258" t="s">
        <v>91</v>
      </c>
      <c r="Q405" s="259">
        <v>1808800</v>
      </c>
      <c r="R405" s="259">
        <v>0</v>
      </c>
      <c r="S405" s="259">
        <v>0</v>
      </c>
      <c r="T405" s="259">
        <v>0</v>
      </c>
      <c r="U405" s="247" t="s">
        <v>992</v>
      </c>
    </row>
    <row r="406" spans="1:21" ht="41.5" hidden="1" customHeight="1" x14ac:dyDescent="0.35">
      <c r="A406" s="280" t="s">
        <v>795</v>
      </c>
      <c r="B406" s="247" t="s">
        <v>232</v>
      </c>
      <c r="C406" s="247" t="s">
        <v>989</v>
      </c>
      <c r="D406" s="261">
        <v>80141902</v>
      </c>
      <c r="E406" s="249" t="s">
        <v>785</v>
      </c>
      <c r="F406" s="247" t="s">
        <v>807</v>
      </c>
      <c r="G406" s="288" t="s">
        <v>66</v>
      </c>
      <c r="H406" s="250" t="s">
        <v>66</v>
      </c>
      <c r="I406" s="311">
        <v>70</v>
      </c>
      <c r="J406" s="252" t="s">
        <v>470</v>
      </c>
      <c r="K406" s="253">
        <v>4192000</v>
      </c>
      <c r="L406" s="254">
        <v>0.19</v>
      </c>
      <c r="M406" s="255">
        <v>796480</v>
      </c>
      <c r="N406" s="256">
        <v>4988480</v>
      </c>
      <c r="O406" s="257" t="s">
        <v>365</v>
      </c>
      <c r="P406" s="258" t="s">
        <v>91</v>
      </c>
      <c r="Q406" s="259">
        <v>4988480</v>
      </c>
      <c r="R406" s="259">
        <v>0</v>
      </c>
      <c r="S406" s="259">
        <v>0</v>
      </c>
      <c r="T406" s="259">
        <v>0</v>
      </c>
      <c r="U406" s="247" t="s">
        <v>997</v>
      </c>
    </row>
    <row r="407" spans="1:21" ht="41.5" hidden="1" customHeight="1" x14ac:dyDescent="0.35">
      <c r="A407" s="280" t="s">
        <v>795</v>
      </c>
      <c r="B407" s="247" t="s">
        <v>232</v>
      </c>
      <c r="C407" s="247" t="s">
        <v>989</v>
      </c>
      <c r="D407" s="261">
        <v>80141902</v>
      </c>
      <c r="E407" s="249" t="s">
        <v>785</v>
      </c>
      <c r="F407" s="247" t="s">
        <v>809</v>
      </c>
      <c r="G407" s="285" t="s">
        <v>76</v>
      </c>
      <c r="H407" s="250" t="s">
        <v>76</v>
      </c>
      <c r="I407" s="311">
        <v>30</v>
      </c>
      <c r="J407" s="252" t="s">
        <v>470</v>
      </c>
      <c r="K407" s="253">
        <v>4192000</v>
      </c>
      <c r="L407" s="254">
        <v>0.19</v>
      </c>
      <c r="M407" s="255">
        <v>796480</v>
      </c>
      <c r="N407" s="256">
        <v>4988480</v>
      </c>
      <c r="O407" s="257" t="s">
        <v>365</v>
      </c>
      <c r="P407" s="258" t="s">
        <v>91</v>
      </c>
      <c r="Q407" s="259">
        <v>4988480</v>
      </c>
      <c r="R407" s="259">
        <v>0</v>
      </c>
      <c r="S407" s="259">
        <v>0</v>
      </c>
      <c r="T407" s="259">
        <v>0</v>
      </c>
      <c r="U407" s="247" t="s">
        <v>997</v>
      </c>
    </row>
    <row r="408" spans="1:21" ht="41.5" hidden="1" customHeight="1" x14ac:dyDescent="0.35">
      <c r="A408" s="280" t="s">
        <v>795</v>
      </c>
      <c r="B408" s="247" t="s">
        <v>232</v>
      </c>
      <c r="C408" s="247" t="s">
        <v>998</v>
      </c>
      <c r="D408" s="261">
        <v>40101701</v>
      </c>
      <c r="E408" s="249" t="s">
        <v>801</v>
      </c>
      <c r="F408" s="284" t="s">
        <v>999</v>
      </c>
      <c r="G408" s="250" t="s">
        <v>72</v>
      </c>
      <c r="H408" s="250" t="s">
        <v>72</v>
      </c>
      <c r="I408" s="282">
        <v>1</v>
      </c>
      <c r="J408" s="252" t="s">
        <v>470</v>
      </c>
      <c r="K408" s="253">
        <v>6000000</v>
      </c>
      <c r="L408" s="254">
        <v>0.19</v>
      </c>
      <c r="M408" s="255">
        <v>1140000</v>
      </c>
      <c r="N408" s="256">
        <v>7140000</v>
      </c>
      <c r="O408" s="257" t="s">
        <v>365</v>
      </c>
      <c r="P408" s="258" t="s">
        <v>91</v>
      </c>
      <c r="Q408" s="259">
        <v>7140000</v>
      </c>
      <c r="R408" s="259">
        <v>0</v>
      </c>
      <c r="S408" s="259">
        <v>0</v>
      </c>
      <c r="T408" s="259">
        <v>0</v>
      </c>
      <c r="U408" s="247" t="s">
        <v>1000</v>
      </c>
    </row>
    <row r="409" spans="1:21" ht="41.5" hidden="1" customHeight="1" x14ac:dyDescent="0.35">
      <c r="A409" s="280" t="s">
        <v>795</v>
      </c>
      <c r="B409" s="247" t="s">
        <v>232</v>
      </c>
      <c r="C409" s="247" t="s">
        <v>998</v>
      </c>
      <c r="D409" s="261">
        <v>56101700</v>
      </c>
      <c r="E409" s="249" t="s">
        <v>893</v>
      </c>
      <c r="F409" s="284" t="s">
        <v>1001</v>
      </c>
      <c r="G409" s="250" t="s">
        <v>72</v>
      </c>
      <c r="H409" s="250" t="s">
        <v>72</v>
      </c>
      <c r="I409" s="282">
        <v>1</v>
      </c>
      <c r="J409" s="252" t="s">
        <v>470</v>
      </c>
      <c r="K409" s="253">
        <v>7000000</v>
      </c>
      <c r="L409" s="254">
        <v>0.19</v>
      </c>
      <c r="M409" s="255">
        <v>1330000</v>
      </c>
      <c r="N409" s="256">
        <v>8330000</v>
      </c>
      <c r="O409" s="257" t="s">
        <v>365</v>
      </c>
      <c r="P409" s="258" t="s">
        <v>91</v>
      </c>
      <c r="Q409" s="259">
        <v>8330000</v>
      </c>
      <c r="R409" s="259">
        <v>0</v>
      </c>
      <c r="S409" s="259">
        <v>0</v>
      </c>
      <c r="T409" s="259">
        <v>0</v>
      </c>
      <c r="U409" s="247" t="s">
        <v>1000</v>
      </c>
    </row>
    <row r="410" spans="1:21" ht="41.5" hidden="1" customHeight="1" x14ac:dyDescent="0.35">
      <c r="A410" s="280" t="s">
        <v>795</v>
      </c>
      <c r="B410" s="247" t="s">
        <v>232</v>
      </c>
      <c r="C410" s="247" t="s">
        <v>998</v>
      </c>
      <c r="D410" s="261">
        <v>52161500</v>
      </c>
      <c r="E410" s="249" t="s">
        <v>1002</v>
      </c>
      <c r="F410" s="284" t="s">
        <v>1003</v>
      </c>
      <c r="G410" s="250" t="s">
        <v>73</v>
      </c>
      <c r="H410" s="250" t="s">
        <v>73</v>
      </c>
      <c r="I410" s="282">
        <v>1</v>
      </c>
      <c r="J410" s="252" t="s">
        <v>470</v>
      </c>
      <c r="K410" s="253">
        <v>1000000</v>
      </c>
      <c r="L410" s="254">
        <v>0.19</v>
      </c>
      <c r="M410" s="255">
        <v>190000</v>
      </c>
      <c r="N410" s="256">
        <v>1190000</v>
      </c>
      <c r="O410" s="257" t="s">
        <v>365</v>
      </c>
      <c r="P410" s="258" t="s">
        <v>91</v>
      </c>
      <c r="Q410" s="259">
        <v>1190000</v>
      </c>
      <c r="R410" s="259">
        <v>0</v>
      </c>
      <c r="S410" s="259">
        <v>0</v>
      </c>
      <c r="T410" s="259">
        <v>0</v>
      </c>
      <c r="U410" s="247" t="s">
        <v>1000</v>
      </c>
    </row>
    <row r="411" spans="1:21" ht="41.5" hidden="1" customHeight="1" x14ac:dyDescent="0.35">
      <c r="A411" s="280" t="s">
        <v>795</v>
      </c>
      <c r="B411" s="247" t="s">
        <v>232</v>
      </c>
      <c r="C411" s="247" t="s">
        <v>998</v>
      </c>
      <c r="D411" s="261">
        <v>52141800</v>
      </c>
      <c r="E411" s="249" t="s">
        <v>1004</v>
      </c>
      <c r="F411" s="284" t="s">
        <v>1005</v>
      </c>
      <c r="G411" s="252" t="s">
        <v>74</v>
      </c>
      <c r="H411" s="252" t="s">
        <v>74</v>
      </c>
      <c r="I411" s="282">
        <v>1</v>
      </c>
      <c r="J411" s="252" t="s">
        <v>470</v>
      </c>
      <c r="K411" s="253">
        <v>800000</v>
      </c>
      <c r="L411" s="254">
        <v>0.19</v>
      </c>
      <c r="M411" s="255">
        <v>152000</v>
      </c>
      <c r="N411" s="255">
        <v>952000</v>
      </c>
      <c r="O411" s="257" t="s">
        <v>365</v>
      </c>
      <c r="P411" s="258" t="s">
        <v>91</v>
      </c>
      <c r="Q411" s="259">
        <v>952000</v>
      </c>
      <c r="R411" s="259">
        <v>0</v>
      </c>
      <c r="S411" s="259">
        <v>0</v>
      </c>
      <c r="T411" s="259">
        <v>0</v>
      </c>
      <c r="U411" s="247" t="s">
        <v>1000</v>
      </c>
    </row>
    <row r="412" spans="1:21" ht="41.5" hidden="1" customHeight="1" x14ac:dyDescent="0.35">
      <c r="A412" s="280" t="s">
        <v>795</v>
      </c>
      <c r="B412" s="247" t="s">
        <v>232</v>
      </c>
      <c r="C412" s="247" t="s">
        <v>998</v>
      </c>
      <c r="D412" s="261">
        <v>52141500</v>
      </c>
      <c r="E412" s="249" t="s">
        <v>1006</v>
      </c>
      <c r="F412" s="284" t="s">
        <v>1007</v>
      </c>
      <c r="G412" s="252" t="s">
        <v>73</v>
      </c>
      <c r="H412" s="252" t="s">
        <v>73</v>
      </c>
      <c r="I412" s="282">
        <v>1</v>
      </c>
      <c r="J412" s="252" t="s">
        <v>470</v>
      </c>
      <c r="K412" s="253">
        <v>800000</v>
      </c>
      <c r="L412" s="254">
        <v>0.19</v>
      </c>
      <c r="M412" s="255">
        <v>152000</v>
      </c>
      <c r="N412" s="255">
        <v>952000</v>
      </c>
      <c r="O412" s="257" t="s">
        <v>365</v>
      </c>
      <c r="P412" s="258" t="s">
        <v>91</v>
      </c>
      <c r="Q412" s="259">
        <v>952000</v>
      </c>
      <c r="R412" s="259">
        <v>0</v>
      </c>
      <c r="S412" s="259">
        <v>0</v>
      </c>
      <c r="T412" s="259">
        <v>0</v>
      </c>
      <c r="U412" s="247" t="s">
        <v>1000</v>
      </c>
    </row>
    <row r="413" spans="1:21" ht="41.5" hidden="1" customHeight="1" x14ac:dyDescent="0.35">
      <c r="A413" s="280" t="s">
        <v>795</v>
      </c>
      <c r="B413" s="247" t="s">
        <v>232</v>
      </c>
      <c r="C413" s="247" t="s">
        <v>998</v>
      </c>
      <c r="D413" s="261">
        <v>52161500</v>
      </c>
      <c r="E413" s="249" t="s">
        <v>1002</v>
      </c>
      <c r="F413" s="284" t="s">
        <v>1008</v>
      </c>
      <c r="G413" s="250" t="s">
        <v>73</v>
      </c>
      <c r="H413" s="250" t="s">
        <v>73</v>
      </c>
      <c r="I413" s="282">
        <v>1</v>
      </c>
      <c r="J413" s="252" t="s">
        <v>470</v>
      </c>
      <c r="K413" s="253">
        <v>2400000</v>
      </c>
      <c r="L413" s="254">
        <v>0.19</v>
      </c>
      <c r="M413" s="255">
        <v>456000</v>
      </c>
      <c r="N413" s="256">
        <v>2856000</v>
      </c>
      <c r="O413" s="257" t="s">
        <v>365</v>
      </c>
      <c r="P413" s="258" t="s">
        <v>91</v>
      </c>
      <c r="Q413" s="259">
        <v>2856000</v>
      </c>
      <c r="R413" s="259">
        <v>0</v>
      </c>
      <c r="S413" s="259">
        <v>0</v>
      </c>
      <c r="T413" s="259">
        <v>0</v>
      </c>
      <c r="U413" s="247" t="s">
        <v>1000</v>
      </c>
    </row>
    <row r="414" spans="1:21" ht="41.5" hidden="1" customHeight="1" x14ac:dyDescent="0.35">
      <c r="A414" s="280" t="s">
        <v>795</v>
      </c>
      <c r="B414" s="247" t="s">
        <v>232</v>
      </c>
      <c r="C414" s="247" t="s">
        <v>998</v>
      </c>
      <c r="D414" s="261">
        <v>72151200</v>
      </c>
      <c r="E414" s="249" t="s">
        <v>1009</v>
      </c>
      <c r="F414" s="284" t="s">
        <v>1010</v>
      </c>
      <c r="G414" s="264" t="s">
        <v>66</v>
      </c>
      <c r="H414" s="250" t="s">
        <v>66</v>
      </c>
      <c r="I414" s="251">
        <v>360</v>
      </c>
      <c r="J414" s="252" t="s">
        <v>470</v>
      </c>
      <c r="K414" s="253">
        <v>7000000</v>
      </c>
      <c r="L414" s="254">
        <v>0.19</v>
      </c>
      <c r="M414" s="255">
        <v>1330000</v>
      </c>
      <c r="N414" s="256">
        <v>8330000</v>
      </c>
      <c r="O414" s="257" t="s">
        <v>365</v>
      </c>
      <c r="P414" s="258" t="s">
        <v>91</v>
      </c>
      <c r="Q414" s="259">
        <v>8330000</v>
      </c>
      <c r="R414" s="259">
        <v>0</v>
      </c>
      <c r="S414" s="259">
        <v>0</v>
      </c>
      <c r="T414" s="259">
        <v>0</v>
      </c>
      <c r="U414" s="247" t="s">
        <v>1000</v>
      </c>
    </row>
    <row r="415" spans="1:21" ht="41.5" hidden="1" customHeight="1" x14ac:dyDescent="0.35">
      <c r="A415" s="280" t="s">
        <v>795</v>
      </c>
      <c r="B415" s="247" t="s">
        <v>232</v>
      </c>
      <c r="C415" s="247" t="s">
        <v>998</v>
      </c>
      <c r="D415" s="261">
        <v>80141902</v>
      </c>
      <c r="E415" s="249" t="s">
        <v>785</v>
      </c>
      <c r="F415" s="262" t="s">
        <v>828</v>
      </c>
      <c r="G415" s="310" t="s">
        <v>73</v>
      </c>
      <c r="H415" s="250" t="s">
        <v>73</v>
      </c>
      <c r="I415" s="282">
        <v>1</v>
      </c>
      <c r="J415" s="252" t="s">
        <v>470</v>
      </c>
      <c r="K415" s="253">
        <v>2829600</v>
      </c>
      <c r="L415" s="254">
        <v>0.19</v>
      </c>
      <c r="M415" s="255">
        <v>537624</v>
      </c>
      <c r="N415" s="256">
        <v>3367224</v>
      </c>
      <c r="O415" s="257" t="s">
        <v>365</v>
      </c>
      <c r="P415" s="258" t="s">
        <v>91</v>
      </c>
      <c r="Q415" s="259">
        <v>3367224</v>
      </c>
      <c r="R415" s="259">
        <v>0</v>
      </c>
      <c r="S415" s="259">
        <v>0</v>
      </c>
      <c r="T415" s="259">
        <v>0</v>
      </c>
      <c r="U415" s="247" t="s">
        <v>1000</v>
      </c>
    </row>
    <row r="416" spans="1:21" ht="41.5" hidden="1" customHeight="1" x14ac:dyDescent="0.35">
      <c r="A416" s="280" t="s">
        <v>795</v>
      </c>
      <c r="B416" s="247" t="s">
        <v>232</v>
      </c>
      <c r="C416" s="247" t="s">
        <v>998</v>
      </c>
      <c r="D416" s="261">
        <v>80141902</v>
      </c>
      <c r="E416" s="249" t="s">
        <v>785</v>
      </c>
      <c r="F416" s="262" t="s">
        <v>826</v>
      </c>
      <c r="G416" s="310" t="s">
        <v>76</v>
      </c>
      <c r="H416" s="250" t="s">
        <v>76</v>
      </c>
      <c r="I416" s="282">
        <v>1</v>
      </c>
      <c r="J416" s="252" t="s">
        <v>470</v>
      </c>
      <c r="K416" s="253">
        <v>3630000</v>
      </c>
      <c r="L416" s="254">
        <v>0.19</v>
      </c>
      <c r="M416" s="255">
        <v>689700</v>
      </c>
      <c r="N416" s="256">
        <v>4319700</v>
      </c>
      <c r="O416" s="257" t="s">
        <v>365</v>
      </c>
      <c r="P416" s="258" t="s">
        <v>91</v>
      </c>
      <c r="Q416" s="259">
        <v>4319700</v>
      </c>
      <c r="R416" s="259">
        <v>0</v>
      </c>
      <c r="S416" s="259">
        <v>0</v>
      </c>
      <c r="T416" s="259">
        <v>0</v>
      </c>
      <c r="U416" s="247" t="s">
        <v>1000</v>
      </c>
    </row>
    <row r="417" spans="1:21" ht="41.5" hidden="1" customHeight="1" x14ac:dyDescent="0.35">
      <c r="A417" s="280" t="s">
        <v>795</v>
      </c>
      <c r="B417" s="247" t="s">
        <v>232</v>
      </c>
      <c r="C417" s="247" t="s">
        <v>998</v>
      </c>
      <c r="D417" s="261">
        <v>78181703</v>
      </c>
      <c r="E417" s="249" t="s">
        <v>821</v>
      </c>
      <c r="F417" s="262" t="s">
        <v>1011</v>
      </c>
      <c r="G417" s="306" t="s">
        <v>66</v>
      </c>
      <c r="H417" s="250" t="s">
        <v>66</v>
      </c>
      <c r="I417" s="251">
        <v>360</v>
      </c>
      <c r="J417" s="252" t="s">
        <v>359</v>
      </c>
      <c r="K417" s="253">
        <v>21000000</v>
      </c>
      <c r="L417" s="254">
        <v>0</v>
      </c>
      <c r="M417" s="255">
        <v>0</v>
      </c>
      <c r="N417" s="256">
        <v>21000000</v>
      </c>
      <c r="O417" s="257" t="s">
        <v>365</v>
      </c>
      <c r="P417" s="258" t="s">
        <v>91</v>
      </c>
      <c r="Q417" s="259">
        <v>21000000</v>
      </c>
      <c r="R417" s="259">
        <v>0</v>
      </c>
      <c r="S417" s="259">
        <v>0</v>
      </c>
      <c r="T417" s="259">
        <v>0</v>
      </c>
      <c r="U417" s="247" t="s">
        <v>1000</v>
      </c>
    </row>
    <row r="418" spans="1:21" ht="41.5" hidden="1" customHeight="1" x14ac:dyDescent="0.35">
      <c r="A418" s="280" t="s">
        <v>795</v>
      </c>
      <c r="B418" s="247" t="s">
        <v>232</v>
      </c>
      <c r="C418" s="247" t="s">
        <v>998</v>
      </c>
      <c r="D418" s="261">
        <v>72121103</v>
      </c>
      <c r="E418" s="249" t="s">
        <v>896</v>
      </c>
      <c r="F418" s="247" t="s">
        <v>1012</v>
      </c>
      <c r="G418" s="310" t="s">
        <v>73</v>
      </c>
      <c r="H418" s="250" t="s">
        <v>73</v>
      </c>
      <c r="I418" s="251">
        <v>90</v>
      </c>
      <c r="J418" s="252" t="s">
        <v>359</v>
      </c>
      <c r="K418" s="253">
        <v>8000000</v>
      </c>
      <c r="L418" s="254">
        <v>0.19</v>
      </c>
      <c r="M418" s="255">
        <v>1520000</v>
      </c>
      <c r="N418" s="256">
        <v>9520000</v>
      </c>
      <c r="O418" s="257" t="s">
        <v>365</v>
      </c>
      <c r="P418" s="258" t="s">
        <v>91</v>
      </c>
      <c r="Q418" s="259">
        <v>9520000</v>
      </c>
      <c r="R418" s="259">
        <v>0</v>
      </c>
      <c r="S418" s="259">
        <v>0</v>
      </c>
      <c r="T418" s="259">
        <v>0</v>
      </c>
      <c r="U418" s="247" t="s">
        <v>1000</v>
      </c>
    </row>
    <row r="419" spans="1:21" ht="41.5" hidden="1" customHeight="1" x14ac:dyDescent="0.35">
      <c r="A419" s="280" t="s">
        <v>795</v>
      </c>
      <c r="B419" s="247" t="s">
        <v>232</v>
      </c>
      <c r="C419" s="247" t="s">
        <v>998</v>
      </c>
      <c r="D419" s="261">
        <v>80141902</v>
      </c>
      <c r="E419" s="249" t="s">
        <v>785</v>
      </c>
      <c r="F419" s="247" t="s">
        <v>976</v>
      </c>
      <c r="G419" s="310" t="s">
        <v>72</v>
      </c>
      <c r="H419" s="250" t="s">
        <v>72</v>
      </c>
      <c r="I419" s="282">
        <v>1</v>
      </c>
      <c r="J419" s="252" t="s">
        <v>470</v>
      </c>
      <c r="K419" s="253">
        <v>1400000</v>
      </c>
      <c r="L419" s="254">
        <v>0</v>
      </c>
      <c r="M419" s="255">
        <v>0</v>
      </c>
      <c r="N419" s="256">
        <v>1400000</v>
      </c>
      <c r="O419" s="257" t="s">
        <v>365</v>
      </c>
      <c r="P419" s="258" t="s">
        <v>91</v>
      </c>
      <c r="Q419" s="259">
        <v>1400000</v>
      </c>
      <c r="R419" s="259">
        <v>0</v>
      </c>
      <c r="S419" s="259">
        <v>0</v>
      </c>
      <c r="T419" s="259">
        <v>0</v>
      </c>
      <c r="U419" s="247" t="s">
        <v>1000</v>
      </c>
    </row>
    <row r="420" spans="1:21" ht="41.5" hidden="1" customHeight="1" x14ac:dyDescent="0.35">
      <c r="A420" s="280" t="s">
        <v>795</v>
      </c>
      <c r="B420" s="247" t="s">
        <v>232</v>
      </c>
      <c r="C420" s="247" t="s">
        <v>998</v>
      </c>
      <c r="D420" s="261">
        <v>80141902</v>
      </c>
      <c r="E420" s="249" t="s">
        <v>785</v>
      </c>
      <c r="F420" s="247" t="s">
        <v>807</v>
      </c>
      <c r="G420" s="306" t="s">
        <v>66</v>
      </c>
      <c r="H420" s="250" t="s">
        <v>66</v>
      </c>
      <c r="I420" s="311">
        <v>70</v>
      </c>
      <c r="J420" s="252" t="s">
        <v>470</v>
      </c>
      <c r="K420" s="253">
        <v>4716000</v>
      </c>
      <c r="L420" s="254">
        <v>0.19</v>
      </c>
      <c r="M420" s="255">
        <v>896040</v>
      </c>
      <c r="N420" s="256">
        <v>5612040</v>
      </c>
      <c r="O420" s="257" t="s">
        <v>365</v>
      </c>
      <c r="P420" s="258" t="s">
        <v>91</v>
      </c>
      <c r="Q420" s="259">
        <v>5612040</v>
      </c>
      <c r="R420" s="259">
        <v>0</v>
      </c>
      <c r="S420" s="259">
        <v>0</v>
      </c>
      <c r="T420" s="259">
        <v>0</v>
      </c>
      <c r="U420" s="247" t="s">
        <v>1000</v>
      </c>
    </row>
    <row r="421" spans="1:21" ht="41.5" hidden="1" customHeight="1" x14ac:dyDescent="0.35">
      <c r="A421" s="280" t="s">
        <v>795</v>
      </c>
      <c r="B421" s="247" t="s">
        <v>232</v>
      </c>
      <c r="C421" s="247" t="s">
        <v>998</v>
      </c>
      <c r="D421" s="261">
        <v>80141902</v>
      </c>
      <c r="E421" s="249" t="s">
        <v>785</v>
      </c>
      <c r="F421" s="247" t="s">
        <v>809</v>
      </c>
      <c r="G421" s="310" t="s">
        <v>76</v>
      </c>
      <c r="H421" s="250" t="s">
        <v>76</v>
      </c>
      <c r="I421" s="311">
        <v>30</v>
      </c>
      <c r="J421" s="252" t="s">
        <v>470</v>
      </c>
      <c r="K421" s="253">
        <v>4716000</v>
      </c>
      <c r="L421" s="254">
        <v>0.19</v>
      </c>
      <c r="M421" s="255">
        <v>896040</v>
      </c>
      <c r="N421" s="256">
        <v>5612040</v>
      </c>
      <c r="O421" s="257" t="s">
        <v>365</v>
      </c>
      <c r="P421" s="258" t="s">
        <v>91</v>
      </c>
      <c r="Q421" s="259">
        <v>5612040</v>
      </c>
      <c r="R421" s="259">
        <v>0</v>
      </c>
      <c r="S421" s="259">
        <v>0</v>
      </c>
      <c r="T421" s="259">
        <v>0</v>
      </c>
      <c r="U421" s="247" t="s">
        <v>1000</v>
      </c>
    </row>
    <row r="422" spans="1:21" ht="41.5" hidden="1" customHeight="1" x14ac:dyDescent="0.35">
      <c r="A422" s="280" t="s">
        <v>795</v>
      </c>
      <c r="B422" s="247" t="s">
        <v>232</v>
      </c>
      <c r="C422" s="247" t="s">
        <v>1013</v>
      </c>
      <c r="D422" s="261">
        <v>80141902</v>
      </c>
      <c r="E422" s="249" t="s">
        <v>785</v>
      </c>
      <c r="F422" s="247" t="s">
        <v>1014</v>
      </c>
      <c r="G422" s="310" t="s">
        <v>73</v>
      </c>
      <c r="H422" s="250" t="s">
        <v>73</v>
      </c>
      <c r="I422" s="282">
        <v>1</v>
      </c>
      <c r="J422" s="252" t="s">
        <v>470</v>
      </c>
      <c r="K422" s="253">
        <v>1180000</v>
      </c>
      <c r="L422" s="254">
        <v>0.19</v>
      </c>
      <c r="M422" s="255">
        <v>224200</v>
      </c>
      <c r="N422" s="256">
        <v>1404200</v>
      </c>
      <c r="O422" s="257" t="s">
        <v>365</v>
      </c>
      <c r="P422" s="258" t="s">
        <v>91</v>
      </c>
      <c r="Q422" s="259">
        <v>1404200</v>
      </c>
      <c r="R422" s="259">
        <v>0</v>
      </c>
      <c r="S422" s="259">
        <v>0</v>
      </c>
      <c r="T422" s="259">
        <v>0</v>
      </c>
      <c r="U422" s="247" t="s">
        <v>1015</v>
      </c>
    </row>
    <row r="423" spans="1:21" ht="41.5" hidden="1" customHeight="1" x14ac:dyDescent="0.35">
      <c r="A423" s="280" t="s">
        <v>795</v>
      </c>
      <c r="B423" s="247" t="s">
        <v>232</v>
      </c>
      <c r="C423" s="247" t="s">
        <v>1013</v>
      </c>
      <c r="D423" s="261">
        <v>80141902</v>
      </c>
      <c r="E423" s="249" t="s">
        <v>785</v>
      </c>
      <c r="F423" s="247" t="s">
        <v>1016</v>
      </c>
      <c r="G423" s="310" t="s">
        <v>74</v>
      </c>
      <c r="H423" s="250" t="s">
        <v>74</v>
      </c>
      <c r="I423" s="282">
        <v>1</v>
      </c>
      <c r="J423" s="252" t="s">
        <v>470</v>
      </c>
      <c r="K423" s="253">
        <v>2484000</v>
      </c>
      <c r="L423" s="254">
        <v>0.19</v>
      </c>
      <c r="M423" s="255">
        <v>471960</v>
      </c>
      <c r="N423" s="256">
        <v>2955960</v>
      </c>
      <c r="O423" s="257" t="s">
        <v>365</v>
      </c>
      <c r="P423" s="258" t="s">
        <v>91</v>
      </c>
      <c r="Q423" s="259">
        <v>2955960</v>
      </c>
      <c r="R423" s="259">
        <v>0</v>
      </c>
      <c r="S423" s="259">
        <v>0</v>
      </c>
      <c r="T423" s="259">
        <v>0</v>
      </c>
      <c r="U423" s="247" t="s">
        <v>1015</v>
      </c>
    </row>
    <row r="424" spans="1:21" ht="41.5" hidden="1" customHeight="1" x14ac:dyDescent="0.35">
      <c r="A424" s="280" t="s">
        <v>795</v>
      </c>
      <c r="B424" s="247" t="s">
        <v>232</v>
      </c>
      <c r="C424" s="247" t="s">
        <v>1013</v>
      </c>
      <c r="D424" s="261">
        <v>80141902</v>
      </c>
      <c r="E424" s="249" t="s">
        <v>785</v>
      </c>
      <c r="F424" s="247" t="s">
        <v>1017</v>
      </c>
      <c r="G424" s="310" t="s">
        <v>77</v>
      </c>
      <c r="H424" s="250" t="s">
        <v>77</v>
      </c>
      <c r="I424" s="282">
        <v>1</v>
      </c>
      <c r="J424" s="252" t="s">
        <v>470</v>
      </c>
      <c r="K424" s="253">
        <v>2970000</v>
      </c>
      <c r="L424" s="254">
        <v>0.19</v>
      </c>
      <c r="M424" s="255">
        <v>564300</v>
      </c>
      <c r="N424" s="256">
        <v>3534300</v>
      </c>
      <c r="O424" s="257" t="s">
        <v>365</v>
      </c>
      <c r="P424" s="258" t="s">
        <v>91</v>
      </c>
      <c r="Q424" s="259">
        <v>3534300</v>
      </c>
      <c r="R424" s="259">
        <v>0</v>
      </c>
      <c r="S424" s="259">
        <v>0</v>
      </c>
      <c r="T424" s="259">
        <v>0</v>
      </c>
      <c r="U424" s="247" t="s">
        <v>1015</v>
      </c>
    </row>
    <row r="425" spans="1:21" ht="41.5" hidden="1" customHeight="1" x14ac:dyDescent="0.35">
      <c r="A425" s="280" t="s">
        <v>795</v>
      </c>
      <c r="B425" s="247" t="s">
        <v>232</v>
      </c>
      <c r="C425" s="247" t="s">
        <v>1013</v>
      </c>
      <c r="D425" s="261">
        <v>72153600</v>
      </c>
      <c r="E425" s="249" t="s">
        <v>484</v>
      </c>
      <c r="F425" s="247" t="s">
        <v>1018</v>
      </c>
      <c r="G425" s="310" t="s">
        <v>73</v>
      </c>
      <c r="H425" s="250" t="s">
        <v>73</v>
      </c>
      <c r="I425" s="311">
        <v>5</v>
      </c>
      <c r="J425" s="252" t="s">
        <v>470</v>
      </c>
      <c r="K425" s="253">
        <v>4600000</v>
      </c>
      <c r="L425" s="254">
        <v>0.19</v>
      </c>
      <c r="M425" s="255">
        <v>874000</v>
      </c>
      <c r="N425" s="256">
        <v>5474000</v>
      </c>
      <c r="O425" s="257" t="s">
        <v>365</v>
      </c>
      <c r="P425" s="258" t="s">
        <v>91</v>
      </c>
      <c r="Q425" s="259">
        <v>5474000</v>
      </c>
      <c r="R425" s="259">
        <v>0</v>
      </c>
      <c r="S425" s="259">
        <v>0</v>
      </c>
      <c r="T425" s="259">
        <v>0</v>
      </c>
      <c r="U425" s="247" t="s">
        <v>1015</v>
      </c>
    </row>
    <row r="426" spans="1:21" ht="41.5" hidden="1" customHeight="1" x14ac:dyDescent="0.35">
      <c r="A426" s="280" t="s">
        <v>795</v>
      </c>
      <c r="B426" s="247" t="s">
        <v>232</v>
      </c>
      <c r="C426" s="247" t="s">
        <v>1013</v>
      </c>
      <c r="D426" s="261">
        <v>72101511</v>
      </c>
      <c r="E426" s="249" t="s">
        <v>811</v>
      </c>
      <c r="F426" s="284" t="s">
        <v>1019</v>
      </c>
      <c r="G426" s="306" t="s">
        <v>69</v>
      </c>
      <c r="H426" s="250" t="s">
        <v>69</v>
      </c>
      <c r="I426" s="311">
        <v>5</v>
      </c>
      <c r="J426" s="252" t="s">
        <v>470</v>
      </c>
      <c r="K426" s="253">
        <v>1618802</v>
      </c>
      <c r="L426" s="254">
        <v>0</v>
      </c>
      <c r="M426" s="255">
        <v>0</v>
      </c>
      <c r="N426" s="256">
        <v>1618802</v>
      </c>
      <c r="O426" s="257" t="s">
        <v>365</v>
      </c>
      <c r="P426" s="258" t="s">
        <v>91</v>
      </c>
      <c r="Q426" s="259">
        <v>1618802</v>
      </c>
      <c r="R426" s="259">
        <v>0</v>
      </c>
      <c r="S426" s="259">
        <v>0</v>
      </c>
      <c r="T426" s="259">
        <v>0</v>
      </c>
      <c r="U426" s="247" t="s">
        <v>1015</v>
      </c>
    </row>
    <row r="427" spans="1:21" ht="41.5" hidden="1" customHeight="1" x14ac:dyDescent="0.35">
      <c r="A427" s="280" t="s">
        <v>795</v>
      </c>
      <c r="B427" s="247" t="s">
        <v>232</v>
      </c>
      <c r="C427" s="247" t="s">
        <v>1013</v>
      </c>
      <c r="D427" s="261">
        <v>72151511</v>
      </c>
      <c r="E427" s="249" t="s">
        <v>1020</v>
      </c>
      <c r="F427" s="284" t="s">
        <v>1021</v>
      </c>
      <c r="G427" s="306" t="s">
        <v>69</v>
      </c>
      <c r="H427" s="250" t="s">
        <v>69</v>
      </c>
      <c r="I427" s="311">
        <v>5</v>
      </c>
      <c r="J427" s="252" t="s">
        <v>470</v>
      </c>
      <c r="K427" s="253">
        <v>1676800</v>
      </c>
      <c r="L427" s="254">
        <v>0</v>
      </c>
      <c r="M427" s="255">
        <v>0</v>
      </c>
      <c r="N427" s="256">
        <v>1676800</v>
      </c>
      <c r="O427" s="257" t="s">
        <v>365</v>
      </c>
      <c r="P427" s="258" t="s">
        <v>91</v>
      </c>
      <c r="Q427" s="259">
        <v>1676800</v>
      </c>
      <c r="R427" s="259">
        <v>0</v>
      </c>
      <c r="S427" s="259">
        <v>0</v>
      </c>
      <c r="T427" s="259">
        <v>0</v>
      </c>
      <c r="U427" s="247" t="s">
        <v>1015</v>
      </c>
    </row>
    <row r="428" spans="1:21" ht="41.5" hidden="1" customHeight="1" x14ac:dyDescent="0.35">
      <c r="A428" s="280" t="s">
        <v>795</v>
      </c>
      <c r="B428" s="247" t="s">
        <v>232</v>
      </c>
      <c r="C428" s="247" t="s">
        <v>1013</v>
      </c>
      <c r="D428" s="261">
        <v>80141902</v>
      </c>
      <c r="E428" s="249" t="s">
        <v>785</v>
      </c>
      <c r="F428" s="247" t="s">
        <v>807</v>
      </c>
      <c r="G428" s="306" t="s">
        <v>66</v>
      </c>
      <c r="H428" s="250" t="s">
        <v>66</v>
      </c>
      <c r="I428" s="311">
        <v>70</v>
      </c>
      <c r="J428" s="252" t="s">
        <v>470</v>
      </c>
      <c r="K428" s="253">
        <v>3144000</v>
      </c>
      <c r="L428" s="254">
        <v>0.19</v>
      </c>
      <c r="M428" s="255">
        <v>597360</v>
      </c>
      <c r="N428" s="256">
        <v>3741360</v>
      </c>
      <c r="O428" s="257" t="s">
        <v>365</v>
      </c>
      <c r="P428" s="258" t="s">
        <v>91</v>
      </c>
      <c r="Q428" s="259">
        <v>3741360</v>
      </c>
      <c r="R428" s="259">
        <v>0</v>
      </c>
      <c r="S428" s="259">
        <v>0</v>
      </c>
      <c r="T428" s="259">
        <v>0</v>
      </c>
      <c r="U428" s="247" t="s">
        <v>1015</v>
      </c>
    </row>
    <row r="429" spans="1:21" ht="41.5" hidden="1" customHeight="1" x14ac:dyDescent="0.35">
      <c r="A429" s="280" t="s">
        <v>795</v>
      </c>
      <c r="B429" s="247" t="s">
        <v>232</v>
      </c>
      <c r="C429" s="247" t="s">
        <v>1013</v>
      </c>
      <c r="D429" s="261">
        <v>80141902</v>
      </c>
      <c r="E429" s="249" t="s">
        <v>785</v>
      </c>
      <c r="F429" s="247" t="s">
        <v>809</v>
      </c>
      <c r="G429" s="310" t="s">
        <v>76</v>
      </c>
      <c r="H429" s="250" t="s">
        <v>76</v>
      </c>
      <c r="I429" s="311">
        <v>30</v>
      </c>
      <c r="J429" s="252" t="s">
        <v>470</v>
      </c>
      <c r="K429" s="253">
        <v>3144000</v>
      </c>
      <c r="L429" s="254">
        <v>0.19</v>
      </c>
      <c r="M429" s="255">
        <v>597360</v>
      </c>
      <c r="N429" s="256">
        <v>3741360</v>
      </c>
      <c r="O429" s="257" t="s">
        <v>365</v>
      </c>
      <c r="P429" s="258" t="s">
        <v>91</v>
      </c>
      <c r="Q429" s="259">
        <v>3741360</v>
      </c>
      <c r="R429" s="259">
        <v>0</v>
      </c>
      <c r="S429" s="259">
        <v>0</v>
      </c>
      <c r="T429" s="259">
        <v>0</v>
      </c>
      <c r="U429" s="247" t="s">
        <v>1015</v>
      </c>
    </row>
    <row r="430" spans="1:21" ht="41.5" hidden="1" customHeight="1" x14ac:dyDescent="0.35">
      <c r="A430" s="280" t="s">
        <v>795</v>
      </c>
      <c r="B430" s="247" t="s">
        <v>232</v>
      </c>
      <c r="C430" s="247" t="s">
        <v>1022</v>
      </c>
      <c r="D430" s="263">
        <v>80141902</v>
      </c>
      <c r="E430" s="249" t="s">
        <v>1023</v>
      </c>
      <c r="F430" s="247" t="s">
        <v>1024</v>
      </c>
      <c r="G430" s="264" t="s">
        <v>71</v>
      </c>
      <c r="H430" s="250" t="s">
        <v>71</v>
      </c>
      <c r="I430" s="282">
        <v>1</v>
      </c>
      <c r="J430" s="252" t="s">
        <v>470</v>
      </c>
      <c r="K430" s="253">
        <v>1058400</v>
      </c>
      <c r="L430" s="254">
        <v>0</v>
      </c>
      <c r="M430" s="255">
        <v>0</v>
      </c>
      <c r="N430" s="256">
        <v>1058400</v>
      </c>
      <c r="O430" s="257" t="s">
        <v>365</v>
      </c>
      <c r="P430" s="258" t="s">
        <v>91</v>
      </c>
      <c r="Q430" s="259">
        <v>1058400</v>
      </c>
      <c r="R430" s="259">
        <v>0</v>
      </c>
      <c r="S430" s="259">
        <v>0</v>
      </c>
      <c r="T430" s="259">
        <v>0</v>
      </c>
      <c r="U430" s="247" t="s">
        <v>1025</v>
      </c>
    </row>
    <row r="431" spans="1:21" ht="41.5" hidden="1" customHeight="1" x14ac:dyDescent="0.35">
      <c r="A431" s="280" t="s">
        <v>795</v>
      </c>
      <c r="B431" s="247" t="s">
        <v>232</v>
      </c>
      <c r="C431" s="247" t="s">
        <v>1022</v>
      </c>
      <c r="D431" s="263">
        <v>80141902</v>
      </c>
      <c r="E431" s="249" t="s">
        <v>1023</v>
      </c>
      <c r="F431" s="247" t="s">
        <v>1026</v>
      </c>
      <c r="G431" s="250" t="s">
        <v>76</v>
      </c>
      <c r="H431" s="250" t="s">
        <v>76</v>
      </c>
      <c r="I431" s="282">
        <v>1</v>
      </c>
      <c r="J431" s="252" t="s">
        <v>470</v>
      </c>
      <c r="K431" s="253">
        <v>1320000</v>
      </c>
      <c r="L431" s="254">
        <v>0</v>
      </c>
      <c r="M431" s="255">
        <v>0</v>
      </c>
      <c r="N431" s="256">
        <v>1320000</v>
      </c>
      <c r="O431" s="257" t="s">
        <v>365</v>
      </c>
      <c r="P431" s="258" t="s">
        <v>91</v>
      </c>
      <c r="Q431" s="259">
        <v>1320000</v>
      </c>
      <c r="R431" s="259">
        <v>0</v>
      </c>
      <c r="S431" s="259">
        <v>0</v>
      </c>
      <c r="T431" s="259">
        <v>0</v>
      </c>
      <c r="U431" s="247" t="s">
        <v>1025</v>
      </c>
    </row>
    <row r="432" spans="1:21" ht="41.5" hidden="1" customHeight="1" x14ac:dyDescent="0.35">
      <c r="A432" s="280" t="s">
        <v>795</v>
      </c>
      <c r="B432" s="247" t="s">
        <v>232</v>
      </c>
      <c r="C432" s="247" t="s">
        <v>1022</v>
      </c>
      <c r="D432" s="263">
        <v>80131502</v>
      </c>
      <c r="E432" s="249" t="s">
        <v>1027</v>
      </c>
      <c r="F432" s="247" t="s">
        <v>1028</v>
      </c>
      <c r="G432" s="264" t="s">
        <v>66</v>
      </c>
      <c r="H432" s="250" t="s">
        <v>66</v>
      </c>
      <c r="I432" s="251">
        <v>365</v>
      </c>
      <c r="J432" s="252" t="s">
        <v>359</v>
      </c>
      <c r="K432" s="253">
        <v>30000000</v>
      </c>
      <c r="L432" s="254">
        <v>0.19</v>
      </c>
      <c r="M432" s="255">
        <v>5700000</v>
      </c>
      <c r="N432" s="256">
        <v>35700000</v>
      </c>
      <c r="O432" s="257" t="s">
        <v>365</v>
      </c>
      <c r="P432" s="258" t="s">
        <v>91</v>
      </c>
      <c r="Q432" s="259">
        <v>35700000</v>
      </c>
      <c r="R432" s="259">
        <v>0</v>
      </c>
      <c r="S432" s="259">
        <v>0</v>
      </c>
      <c r="T432" s="259">
        <v>0</v>
      </c>
      <c r="U432" s="247" t="s">
        <v>1025</v>
      </c>
    </row>
    <row r="433" spans="1:21" ht="41.5" hidden="1" customHeight="1" x14ac:dyDescent="0.35">
      <c r="A433" s="280" t="s">
        <v>795</v>
      </c>
      <c r="B433" s="247" t="s">
        <v>232</v>
      </c>
      <c r="C433" s="247" t="s">
        <v>1022</v>
      </c>
      <c r="D433" s="263">
        <v>72102900</v>
      </c>
      <c r="E433" s="249" t="s">
        <v>837</v>
      </c>
      <c r="F433" s="247" t="s">
        <v>850</v>
      </c>
      <c r="G433" s="264" t="s">
        <v>67</v>
      </c>
      <c r="H433" s="250" t="s">
        <v>67</v>
      </c>
      <c r="I433" s="251">
        <v>15</v>
      </c>
      <c r="J433" s="252" t="s">
        <v>470</v>
      </c>
      <c r="K433" s="253">
        <v>800000</v>
      </c>
      <c r="L433" s="254">
        <v>0.19</v>
      </c>
      <c r="M433" s="255">
        <v>152000</v>
      </c>
      <c r="N433" s="256">
        <v>952000</v>
      </c>
      <c r="O433" s="257" t="s">
        <v>365</v>
      </c>
      <c r="P433" s="258" t="s">
        <v>91</v>
      </c>
      <c r="Q433" s="259">
        <v>952000</v>
      </c>
      <c r="R433" s="259">
        <v>0</v>
      </c>
      <c r="S433" s="259">
        <v>0</v>
      </c>
      <c r="T433" s="259">
        <v>0</v>
      </c>
      <c r="U433" s="247" t="s">
        <v>1025</v>
      </c>
    </row>
    <row r="434" spans="1:21" ht="41.5" hidden="1" customHeight="1" x14ac:dyDescent="0.35">
      <c r="A434" s="280" t="s">
        <v>795</v>
      </c>
      <c r="B434" s="247" t="s">
        <v>232</v>
      </c>
      <c r="C434" s="247" t="s">
        <v>1022</v>
      </c>
      <c r="D434" s="263">
        <v>72101511</v>
      </c>
      <c r="E434" s="249" t="s">
        <v>811</v>
      </c>
      <c r="F434" s="284" t="s">
        <v>1029</v>
      </c>
      <c r="G434" s="264" t="s">
        <v>66</v>
      </c>
      <c r="H434" s="250" t="s">
        <v>66</v>
      </c>
      <c r="I434" s="251">
        <v>180</v>
      </c>
      <c r="J434" s="252" t="s">
        <v>470</v>
      </c>
      <c r="K434" s="253">
        <v>6000000</v>
      </c>
      <c r="L434" s="254">
        <v>0.19</v>
      </c>
      <c r="M434" s="255">
        <v>1140000</v>
      </c>
      <c r="N434" s="256">
        <v>7140000</v>
      </c>
      <c r="O434" s="257" t="s">
        <v>365</v>
      </c>
      <c r="P434" s="258" t="s">
        <v>91</v>
      </c>
      <c r="Q434" s="259">
        <v>7140000</v>
      </c>
      <c r="R434" s="259">
        <v>0</v>
      </c>
      <c r="S434" s="259">
        <v>0</v>
      </c>
      <c r="T434" s="259">
        <v>0</v>
      </c>
      <c r="U434" s="247" t="s">
        <v>1025</v>
      </c>
    </row>
    <row r="435" spans="1:21" ht="41.5" hidden="1" customHeight="1" x14ac:dyDescent="0.35">
      <c r="A435" s="280" t="s">
        <v>795</v>
      </c>
      <c r="B435" s="247" t="s">
        <v>232</v>
      </c>
      <c r="C435" s="280" t="s">
        <v>1022</v>
      </c>
      <c r="D435" s="263">
        <v>80141902</v>
      </c>
      <c r="E435" s="249" t="s">
        <v>785</v>
      </c>
      <c r="F435" s="280" t="s">
        <v>824</v>
      </c>
      <c r="G435" s="252" t="s">
        <v>73</v>
      </c>
      <c r="H435" s="252" t="s">
        <v>73</v>
      </c>
      <c r="I435" s="282">
        <v>1</v>
      </c>
      <c r="J435" s="252" t="s">
        <v>470</v>
      </c>
      <c r="K435" s="253">
        <v>580000</v>
      </c>
      <c r="L435" s="254">
        <v>0</v>
      </c>
      <c r="M435" s="255">
        <v>0</v>
      </c>
      <c r="N435" s="255">
        <v>580000</v>
      </c>
      <c r="O435" s="257" t="s">
        <v>365</v>
      </c>
      <c r="P435" s="258" t="s">
        <v>91</v>
      </c>
      <c r="Q435" s="259">
        <v>580000</v>
      </c>
      <c r="R435" s="259">
        <v>0</v>
      </c>
      <c r="S435" s="259">
        <v>0</v>
      </c>
      <c r="T435" s="259">
        <v>0</v>
      </c>
      <c r="U435" s="280" t="s">
        <v>1025</v>
      </c>
    </row>
    <row r="436" spans="1:21" ht="41.5" hidden="1" customHeight="1" x14ac:dyDescent="0.35">
      <c r="A436" s="280" t="s">
        <v>795</v>
      </c>
      <c r="B436" s="247" t="s">
        <v>232</v>
      </c>
      <c r="C436" s="247" t="s">
        <v>1022</v>
      </c>
      <c r="D436" s="263">
        <v>80141902</v>
      </c>
      <c r="E436" s="249" t="s">
        <v>1023</v>
      </c>
      <c r="F436" s="247" t="s">
        <v>807</v>
      </c>
      <c r="G436" s="264" t="s">
        <v>66</v>
      </c>
      <c r="H436" s="250" t="s">
        <v>66</v>
      </c>
      <c r="I436" s="311">
        <v>70</v>
      </c>
      <c r="J436" s="252" t="s">
        <v>470</v>
      </c>
      <c r="K436" s="253">
        <v>1572000</v>
      </c>
      <c r="L436" s="254">
        <v>0.19</v>
      </c>
      <c r="M436" s="255">
        <v>298680</v>
      </c>
      <c r="N436" s="256">
        <v>1870680</v>
      </c>
      <c r="O436" s="257" t="s">
        <v>365</v>
      </c>
      <c r="P436" s="258" t="s">
        <v>91</v>
      </c>
      <c r="Q436" s="259">
        <v>1870680</v>
      </c>
      <c r="R436" s="259">
        <v>0</v>
      </c>
      <c r="S436" s="259">
        <v>0</v>
      </c>
      <c r="T436" s="259">
        <v>0</v>
      </c>
      <c r="U436" s="247" t="s">
        <v>1030</v>
      </c>
    </row>
    <row r="437" spans="1:21" ht="41.5" hidden="1" customHeight="1" x14ac:dyDescent="0.35">
      <c r="A437" s="280" t="s">
        <v>795</v>
      </c>
      <c r="B437" s="247" t="s">
        <v>232</v>
      </c>
      <c r="C437" s="247" t="s">
        <v>1022</v>
      </c>
      <c r="D437" s="263">
        <v>80141902</v>
      </c>
      <c r="E437" s="249" t="s">
        <v>785</v>
      </c>
      <c r="F437" s="247" t="s">
        <v>809</v>
      </c>
      <c r="G437" s="263" t="s">
        <v>76</v>
      </c>
      <c r="H437" s="250" t="s">
        <v>76</v>
      </c>
      <c r="I437" s="311">
        <v>30</v>
      </c>
      <c r="J437" s="252" t="s">
        <v>470</v>
      </c>
      <c r="K437" s="253">
        <v>1572000</v>
      </c>
      <c r="L437" s="254">
        <v>0.19</v>
      </c>
      <c r="M437" s="255">
        <v>298680</v>
      </c>
      <c r="N437" s="256">
        <v>1870680</v>
      </c>
      <c r="O437" s="257" t="s">
        <v>365</v>
      </c>
      <c r="P437" s="258" t="s">
        <v>91</v>
      </c>
      <c r="Q437" s="259">
        <v>1870680</v>
      </c>
      <c r="R437" s="259">
        <v>0</v>
      </c>
      <c r="S437" s="259">
        <v>0</v>
      </c>
      <c r="T437" s="259">
        <v>0</v>
      </c>
      <c r="U437" s="247" t="s">
        <v>1030</v>
      </c>
    </row>
    <row r="438" spans="1:21" ht="41.5" hidden="1" customHeight="1" x14ac:dyDescent="0.35">
      <c r="A438" s="280" t="s">
        <v>795</v>
      </c>
      <c r="B438" s="247" t="s">
        <v>232</v>
      </c>
      <c r="C438" s="247" t="s">
        <v>1031</v>
      </c>
      <c r="D438" s="263">
        <v>72101511</v>
      </c>
      <c r="E438" s="249" t="s">
        <v>811</v>
      </c>
      <c r="F438" s="284" t="s">
        <v>1032</v>
      </c>
      <c r="G438" s="264" t="s">
        <v>67</v>
      </c>
      <c r="H438" s="250" t="s">
        <v>67</v>
      </c>
      <c r="I438" s="251">
        <v>335</v>
      </c>
      <c r="J438" s="267" t="s">
        <v>359</v>
      </c>
      <c r="K438" s="253">
        <v>3805496</v>
      </c>
      <c r="L438" s="254">
        <v>0</v>
      </c>
      <c r="M438" s="255">
        <v>0</v>
      </c>
      <c r="N438" s="256">
        <v>3805496</v>
      </c>
      <c r="O438" s="257" t="s">
        <v>365</v>
      </c>
      <c r="P438" s="258" t="s">
        <v>91</v>
      </c>
      <c r="Q438" s="259">
        <v>3805496</v>
      </c>
      <c r="R438" s="259">
        <v>0</v>
      </c>
      <c r="S438" s="259">
        <v>0</v>
      </c>
      <c r="T438" s="259">
        <v>0</v>
      </c>
      <c r="U438" s="247" t="s">
        <v>1033</v>
      </c>
    </row>
    <row r="439" spans="1:21" ht="41.5" hidden="1" customHeight="1" x14ac:dyDescent="0.35">
      <c r="A439" s="280" t="s">
        <v>795</v>
      </c>
      <c r="B439" s="247" t="s">
        <v>232</v>
      </c>
      <c r="C439" s="247" t="s">
        <v>1031</v>
      </c>
      <c r="D439" s="263">
        <v>73152108</v>
      </c>
      <c r="E439" s="249" t="s">
        <v>882</v>
      </c>
      <c r="F439" s="284" t="s">
        <v>1034</v>
      </c>
      <c r="G439" s="264" t="s">
        <v>69</v>
      </c>
      <c r="H439" s="250" t="s">
        <v>69</v>
      </c>
      <c r="I439" s="251">
        <v>213</v>
      </c>
      <c r="J439" s="267" t="s">
        <v>359</v>
      </c>
      <c r="K439" s="253">
        <v>3153432</v>
      </c>
      <c r="L439" s="254">
        <v>0.19</v>
      </c>
      <c r="M439" s="255">
        <v>599152.07999999996</v>
      </c>
      <c r="N439" s="256">
        <v>3752584.08</v>
      </c>
      <c r="O439" s="257" t="s">
        <v>365</v>
      </c>
      <c r="P439" s="258" t="s">
        <v>91</v>
      </c>
      <c r="Q439" s="259">
        <v>3752584.08</v>
      </c>
      <c r="R439" s="259">
        <v>0</v>
      </c>
      <c r="S439" s="259">
        <v>0</v>
      </c>
      <c r="T439" s="259">
        <v>0</v>
      </c>
      <c r="U439" s="247" t="s">
        <v>1033</v>
      </c>
    </row>
    <row r="440" spans="1:21" ht="41.5" hidden="1" customHeight="1" x14ac:dyDescent="0.35">
      <c r="A440" s="280" t="s">
        <v>795</v>
      </c>
      <c r="B440" s="247" t="s">
        <v>232</v>
      </c>
      <c r="C440" s="247" t="s">
        <v>1031</v>
      </c>
      <c r="D440" s="263">
        <v>80141902</v>
      </c>
      <c r="E440" s="249" t="s">
        <v>785</v>
      </c>
      <c r="F440" s="247" t="s">
        <v>870</v>
      </c>
      <c r="G440" s="264" t="s">
        <v>71</v>
      </c>
      <c r="H440" s="250" t="s">
        <v>71</v>
      </c>
      <c r="I440" s="251">
        <v>30</v>
      </c>
      <c r="J440" s="267" t="s">
        <v>359</v>
      </c>
      <c r="K440" s="253">
        <v>1879200</v>
      </c>
      <c r="L440" s="254">
        <v>0.19</v>
      </c>
      <c r="M440" s="255">
        <v>357048</v>
      </c>
      <c r="N440" s="256">
        <v>2236248</v>
      </c>
      <c r="O440" s="257" t="s">
        <v>365</v>
      </c>
      <c r="P440" s="258" t="s">
        <v>91</v>
      </c>
      <c r="Q440" s="259">
        <v>2236248</v>
      </c>
      <c r="R440" s="259">
        <v>0</v>
      </c>
      <c r="S440" s="259">
        <v>0</v>
      </c>
      <c r="T440" s="259">
        <v>0</v>
      </c>
      <c r="U440" s="247" t="s">
        <v>1033</v>
      </c>
    </row>
    <row r="441" spans="1:21" ht="41.5" hidden="1" customHeight="1" x14ac:dyDescent="0.35">
      <c r="A441" s="280" t="s">
        <v>795</v>
      </c>
      <c r="B441" s="247" t="s">
        <v>232</v>
      </c>
      <c r="C441" s="247" t="s">
        <v>1031</v>
      </c>
      <c r="D441" s="263">
        <v>52161505</v>
      </c>
      <c r="E441" s="249" t="s">
        <v>937</v>
      </c>
      <c r="F441" s="284" t="s">
        <v>1035</v>
      </c>
      <c r="G441" s="264" t="s">
        <v>71</v>
      </c>
      <c r="H441" s="250" t="s">
        <v>71</v>
      </c>
      <c r="I441" s="251">
        <v>30</v>
      </c>
      <c r="J441" s="267" t="s">
        <v>359</v>
      </c>
      <c r="K441" s="253">
        <v>4500000</v>
      </c>
      <c r="L441" s="254">
        <v>0.19</v>
      </c>
      <c r="M441" s="255">
        <v>855000</v>
      </c>
      <c r="N441" s="256">
        <v>5355000</v>
      </c>
      <c r="O441" s="257" t="s">
        <v>365</v>
      </c>
      <c r="P441" s="258" t="s">
        <v>91</v>
      </c>
      <c r="Q441" s="259">
        <v>5355000</v>
      </c>
      <c r="R441" s="259">
        <v>0</v>
      </c>
      <c r="S441" s="259">
        <v>0</v>
      </c>
      <c r="T441" s="259">
        <v>0</v>
      </c>
      <c r="U441" s="247" t="s">
        <v>1033</v>
      </c>
    </row>
    <row r="442" spans="1:21" ht="41.5" hidden="1" customHeight="1" x14ac:dyDescent="0.35">
      <c r="A442" s="280" t="s">
        <v>795</v>
      </c>
      <c r="B442" s="247" t="s">
        <v>232</v>
      </c>
      <c r="C442" s="247" t="s">
        <v>1031</v>
      </c>
      <c r="D442" s="263">
        <v>80141902</v>
      </c>
      <c r="E442" s="249" t="s">
        <v>785</v>
      </c>
      <c r="F442" s="247" t="s">
        <v>826</v>
      </c>
      <c r="G442" s="250" t="s">
        <v>77</v>
      </c>
      <c r="H442" s="250" t="s">
        <v>77</v>
      </c>
      <c r="I442" s="251">
        <v>30</v>
      </c>
      <c r="J442" s="267" t="s">
        <v>359</v>
      </c>
      <c r="K442" s="253">
        <v>1980000</v>
      </c>
      <c r="L442" s="254">
        <v>0.19</v>
      </c>
      <c r="M442" s="255">
        <v>376200</v>
      </c>
      <c r="N442" s="256">
        <v>2356200</v>
      </c>
      <c r="O442" s="257" t="s">
        <v>365</v>
      </c>
      <c r="P442" s="258" t="s">
        <v>91</v>
      </c>
      <c r="Q442" s="259">
        <v>2356200</v>
      </c>
      <c r="R442" s="259">
        <v>0</v>
      </c>
      <c r="S442" s="259">
        <v>0</v>
      </c>
      <c r="T442" s="259">
        <v>0</v>
      </c>
      <c r="U442" s="247" t="s">
        <v>1033</v>
      </c>
    </row>
    <row r="443" spans="1:21" ht="41.5" hidden="1" customHeight="1" x14ac:dyDescent="0.35">
      <c r="A443" s="280" t="s">
        <v>795</v>
      </c>
      <c r="B443" s="247" t="s">
        <v>232</v>
      </c>
      <c r="C443" s="247" t="s">
        <v>1031</v>
      </c>
      <c r="D443" s="263">
        <v>80141902</v>
      </c>
      <c r="E443" s="249" t="s">
        <v>785</v>
      </c>
      <c r="F443" s="247" t="s">
        <v>807</v>
      </c>
      <c r="G443" s="264" t="s">
        <v>66</v>
      </c>
      <c r="H443" s="250" t="s">
        <v>66</v>
      </c>
      <c r="I443" s="251">
        <v>70</v>
      </c>
      <c r="J443" s="334" t="s">
        <v>470</v>
      </c>
      <c r="K443" s="253">
        <v>2096000</v>
      </c>
      <c r="L443" s="254">
        <v>0.19</v>
      </c>
      <c r="M443" s="255">
        <v>398240</v>
      </c>
      <c r="N443" s="256">
        <v>2494240</v>
      </c>
      <c r="O443" s="257" t="s">
        <v>365</v>
      </c>
      <c r="P443" s="258" t="s">
        <v>91</v>
      </c>
      <c r="Q443" s="259">
        <v>2494240</v>
      </c>
      <c r="R443" s="259">
        <v>0</v>
      </c>
      <c r="S443" s="259">
        <v>0</v>
      </c>
      <c r="T443" s="259">
        <v>0</v>
      </c>
      <c r="U443" s="247" t="s">
        <v>1033</v>
      </c>
    </row>
    <row r="444" spans="1:21" ht="41.5" hidden="1" customHeight="1" x14ac:dyDescent="0.35">
      <c r="A444" s="280" t="s">
        <v>795</v>
      </c>
      <c r="B444" s="247" t="s">
        <v>232</v>
      </c>
      <c r="C444" s="247" t="s">
        <v>1031</v>
      </c>
      <c r="D444" s="263">
        <v>80141902</v>
      </c>
      <c r="E444" s="249" t="s">
        <v>785</v>
      </c>
      <c r="F444" s="247" t="s">
        <v>809</v>
      </c>
      <c r="G444" s="250" t="s">
        <v>76</v>
      </c>
      <c r="H444" s="250" t="s">
        <v>76</v>
      </c>
      <c r="I444" s="251">
        <v>30</v>
      </c>
      <c r="J444" s="334" t="s">
        <v>470</v>
      </c>
      <c r="K444" s="253">
        <v>2096000</v>
      </c>
      <c r="L444" s="254">
        <v>0.19</v>
      </c>
      <c r="M444" s="255">
        <v>398240</v>
      </c>
      <c r="N444" s="256">
        <v>2494240</v>
      </c>
      <c r="O444" s="257" t="s">
        <v>365</v>
      </c>
      <c r="P444" s="258" t="s">
        <v>91</v>
      </c>
      <c r="Q444" s="259">
        <v>2494240</v>
      </c>
      <c r="R444" s="259">
        <v>0</v>
      </c>
      <c r="S444" s="259">
        <v>0</v>
      </c>
      <c r="T444" s="259">
        <v>0</v>
      </c>
      <c r="U444" s="247" t="s">
        <v>1033</v>
      </c>
    </row>
    <row r="445" spans="1:21" ht="41.5" hidden="1" customHeight="1" x14ac:dyDescent="0.35">
      <c r="A445" s="280" t="s">
        <v>795</v>
      </c>
      <c r="B445" s="247" t="s">
        <v>232</v>
      </c>
      <c r="C445" s="247" t="s">
        <v>1036</v>
      </c>
      <c r="D445" s="263">
        <v>72101511</v>
      </c>
      <c r="E445" s="249" t="s">
        <v>811</v>
      </c>
      <c r="F445" s="284" t="s">
        <v>1037</v>
      </c>
      <c r="G445" s="264" t="s">
        <v>67</v>
      </c>
      <c r="H445" s="250" t="s">
        <v>68</v>
      </c>
      <c r="I445" s="251">
        <v>335</v>
      </c>
      <c r="J445" s="267" t="s">
        <v>359</v>
      </c>
      <c r="K445" s="253">
        <v>3547650</v>
      </c>
      <c r="L445" s="254">
        <v>0.19</v>
      </c>
      <c r="M445" s="255">
        <v>674054</v>
      </c>
      <c r="N445" s="256">
        <v>4221704</v>
      </c>
      <c r="O445" s="257" t="s">
        <v>365</v>
      </c>
      <c r="P445" s="258" t="s">
        <v>91</v>
      </c>
      <c r="Q445" s="259">
        <v>4221704</v>
      </c>
      <c r="R445" s="259">
        <v>0</v>
      </c>
      <c r="S445" s="259">
        <v>0</v>
      </c>
      <c r="T445" s="259">
        <v>0</v>
      </c>
      <c r="U445" s="247" t="s">
        <v>1038</v>
      </c>
    </row>
    <row r="446" spans="1:21" ht="41.5" hidden="1" customHeight="1" x14ac:dyDescent="0.35">
      <c r="A446" s="280" t="s">
        <v>795</v>
      </c>
      <c r="B446" s="247" t="s">
        <v>232</v>
      </c>
      <c r="C446" s="247" t="s">
        <v>1036</v>
      </c>
      <c r="D446" s="263">
        <v>80141902</v>
      </c>
      <c r="E446" s="249" t="s">
        <v>785</v>
      </c>
      <c r="F446" s="247" t="s">
        <v>826</v>
      </c>
      <c r="G446" s="250" t="s">
        <v>76</v>
      </c>
      <c r="H446" s="250" t="s">
        <v>77</v>
      </c>
      <c r="I446" s="282">
        <v>1</v>
      </c>
      <c r="J446" s="267" t="s">
        <v>359</v>
      </c>
      <c r="K446" s="253">
        <v>1375000</v>
      </c>
      <c r="L446" s="254">
        <v>0.19</v>
      </c>
      <c r="M446" s="255">
        <v>261250</v>
      </c>
      <c r="N446" s="256">
        <v>1636250</v>
      </c>
      <c r="O446" s="257" t="s">
        <v>365</v>
      </c>
      <c r="P446" s="258" t="s">
        <v>91</v>
      </c>
      <c r="Q446" s="259">
        <v>1636250</v>
      </c>
      <c r="R446" s="259">
        <v>0</v>
      </c>
      <c r="S446" s="259">
        <v>0</v>
      </c>
      <c r="T446" s="259">
        <v>0</v>
      </c>
      <c r="U446" s="247" t="s">
        <v>1038</v>
      </c>
    </row>
    <row r="447" spans="1:21" ht="41.5" hidden="1" customHeight="1" x14ac:dyDescent="0.35">
      <c r="A447" s="280" t="s">
        <v>795</v>
      </c>
      <c r="B447" s="247" t="s">
        <v>232</v>
      </c>
      <c r="C447" s="247" t="s">
        <v>1036</v>
      </c>
      <c r="D447" s="263">
        <v>80141902</v>
      </c>
      <c r="E447" s="249" t="s">
        <v>785</v>
      </c>
      <c r="F447" s="247" t="s">
        <v>1039</v>
      </c>
      <c r="G447" s="250" t="s">
        <v>72</v>
      </c>
      <c r="H447" s="250" t="s">
        <v>72</v>
      </c>
      <c r="I447" s="282">
        <v>1</v>
      </c>
      <c r="J447" s="267" t="s">
        <v>359</v>
      </c>
      <c r="K447" s="253">
        <v>1540000</v>
      </c>
      <c r="L447" s="254">
        <v>0.19</v>
      </c>
      <c r="M447" s="255">
        <v>292600</v>
      </c>
      <c r="N447" s="256">
        <v>1832600</v>
      </c>
      <c r="O447" s="257" t="s">
        <v>365</v>
      </c>
      <c r="P447" s="258" t="s">
        <v>91</v>
      </c>
      <c r="Q447" s="259">
        <v>1832600</v>
      </c>
      <c r="R447" s="259">
        <v>0</v>
      </c>
      <c r="S447" s="259">
        <v>0</v>
      </c>
      <c r="T447" s="259">
        <v>0</v>
      </c>
      <c r="U447" s="247" t="s">
        <v>1038</v>
      </c>
    </row>
    <row r="448" spans="1:21" ht="41.5" hidden="1" customHeight="1" x14ac:dyDescent="0.35">
      <c r="A448" s="280" t="s">
        <v>795</v>
      </c>
      <c r="B448" s="247" t="s">
        <v>232</v>
      </c>
      <c r="C448" s="247" t="s">
        <v>1036</v>
      </c>
      <c r="D448" s="263">
        <v>72101507</v>
      </c>
      <c r="E448" s="249" t="s">
        <v>799</v>
      </c>
      <c r="F448" s="284" t="s">
        <v>1040</v>
      </c>
      <c r="G448" s="250" t="s">
        <v>75</v>
      </c>
      <c r="H448" s="250" t="s">
        <v>75</v>
      </c>
      <c r="I448" s="251">
        <v>15</v>
      </c>
      <c r="J448" s="267" t="s">
        <v>359</v>
      </c>
      <c r="K448" s="253">
        <v>3500000</v>
      </c>
      <c r="L448" s="254">
        <v>0.19</v>
      </c>
      <c r="M448" s="255">
        <v>665000</v>
      </c>
      <c r="N448" s="256">
        <v>4165000</v>
      </c>
      <c r="O448" s="257" t="s">
        <v>365</v>
      </c>
      <c r="P448" s="258" t="s">
        <v>91</v>
      </c>
      <c r="Q448" s="259">
        <v>4165000</v>
      </c>
      <c r="R448" s="259">
        <v>0</v>
      </c>
      <c r="S448" s="259">
        <v>0</v>
      </c>
      <c r="T448" s="259">
        <v>0</v>
      </c>
      <c r="U448" s="247" t="s">
        <v>1038</v>
      </c>
    </row>
    <row r="449" spans="1:21" ht="41.5" hidden="1" customHeight="1" x14ac:dyDescent="0.35">
      <c r="A449" s="280" t="s">
        <v>795</v>
      </c>
      <c r="B449" s="247" t="s">
        <v>232</v>
      </c>
      <c r="C449" s="247" t="s">
        <v>1036</v>
      </c>
      <c r="D449" s="263">
        <v>78181703</v>
      </c>
      <c r="E449" s="249" t="s">
        <v>1041</v>
      </c>
      <c r="F449" s="247" t="s">
        <v>876</v>
      </c>
      <c r="G449" s="264" t="s">
        <v>67</v>
      </c>
      <c r="H449" s="250" t="s">
        <v>77</v>
      </c>
      <c r="I449" s="251">
        <v>335</v>
      </c>
      <c r="J449" s="267" t="s">
        <v>359</v>
      </c>
      <c r="K449" s="253">
        <v>5520000</v>
      </c>
      <c r="L449" s="254">
        <v>0.19</v>
      </c>
      <c r="M449" s="255">
        <v>1048800</v>
      </c>
      <c r="N449" s="256">
        <v>6568800</v>
      </c>
      <c r="O449" s="257" t="s">
        <v>365</v>
      </c>
      <c r="P449" s="258" t="s">
        <v>91</v>
      </c>
      <c r="Q449" s="259">
        <v>6568800</v>
      </c>
      <c r="R449" s="259">
        <v>0</v>
      </c>
      <c r="S449" s="259">
        <v>0</v>
      </c>
      <c r="T449" s="259">
        <v>0</v>
      </c>
      <c r="U449" s="247" t="s">
        <v>1038</v>
      </c>
    </row>
    <row r="450" spans="1:21" ht="41.5" hidden="1" customHeight="1" x14ac:dyDescent="0.35">
      <c r="A450" s="280" t="s">
        <v>795</v>
      </c>
      <c r="B450" s="247" t="s">
        <v>232</v>
      </c>
      <c r="C450" s="247" t="s">
        <v>1036</v>
      </c>
      <c r="D450" s="263">
        <v>80141902</v>
      </c>
      <c r="E450" s="249" t="s">
        <v>785</v>
      </c>
      <c r="F450" s="247" t="s">
        <v>807</v>
      </c>
      <c r="G450" s="264" t="s">
        <v>66</v>
      </c>
      <c r="H450" s="250" t="s">
        <v>66</v>
      </c>
      <c r="I450" s="251">
        <v>70</v>
      </c>
      <c r="J450" s="252" t="s">
        <v>470</v>
      </c>
      <c r="K450" s="253">
        <v>1886400</v>
      </c>
      <c r="L450" s="254">
        <v>0.19</v>
      </c>
      <c r="M450" s="255">
        <v>358416</v>
      </c>
      <c r="N450" s="256">
        <v>2244816</v>
      </c>
      <c r="O450" s="257" t="s">
        <v>365</v>
      </c>
      <c r="P450" s="258" t="s">
        <v>91</v>
      </c>
      <c r="Q450" s="259">
        <v>2244816</v>
      </c>
      <c r="R450" s="259">
        <v>0</v>
      </c>
      <c r="S450" s="259">
        <v>0</v>
      </c>
      <c r="T450" s="259">
        <v>0</v>
      </c>
      <c r="U450" s="247" t="s">
        <v>1042</v>
      </c>
    </row>
    <row r="451" spans="1:21" ht="41.5" hidden="1" customHeight="1" x14ac:dyDescent="0.35">
      <c r="A451" s="280" t="s">
        <v>795</v>
      </c>
      <c r="B451" s="247" t="s">
        <v>232</v>
      </c>
      <c r="C451" s="247" t="s">
        <v>1036</v>
      </c>
      <c r="D451" s="263">
        <v>80141902</v>
      </c>
      <c r="E451" s="249" t="s">
        <v>785</v>
      </c>
      <c r="F451" s="247" t="s">
        <v>809</v>
      </c>
      <c r="G451" s="250" t="s">
        <v>76</v>
      </c>
      <c r="H451" s="250" t="s">
        <v>76</v>
      </c>
      <c r="I451" s="251">
        <v>30</v>
      </c>
      <c r="J451" s="252" t="s">
        <v>470</v>
      </c>
      <c r="K451" s="253">
        <v>1886400</v>
      </c>
      <c r="L451" s="254">
        <v>0.19</v>
      </c>
      <c r="M451" s="255">
        <v>358416</v>
      </c>
      <c r="N451" s="256">
        <v>2244816</v>
      </c>
      <c r="O451" s="257" t="s">
        <v>365</v>
      </c>
      <c r="P451" s="258" t="s">
        <v>91</v>
      </c>
      <c r="Q451" s="259">
        <v>2244816</v>
      </c>
      <c r="R451" s="259">
        <v>0</v>
      </c>
      <c r="S451" s="259">
        <v>0</v>
      </c>
      <c r="T451" s="259">
        <v>0</v>
      </c>
      <c r="U451" s="247" t="s">
        <v>1042</v>
      </c>
    </row>
    <row r="452" spans="1:21" ht="41.5" hidden="1" customHeight="1" x14ac:dyDescent="0.35">
      <c r="A452" s="280" t="s">
        <v>795</v>
      </c>
      <c r="B452" s="247" t="s">
        <v>232</v>
      </c>
      <c r="C452" s="247" t="s">
        <v>1043</v>
      </c>
      <c r="D452" s="263">
        <v>40101701</v>
      </c>
      <c r="E452" s="249" t="s">
        <v>801</v>
      </c>
      <c r="F452" s="284" t="s">
        <v>1044</v>
      </c>
      <c r="G452" s="263" t="s">
        <v>72</v>
      </c>
      <c r="H452" s="250" t="s">
        <v>72</v>
      </c>
      <c r="I452" s="251">
        <v>180</v>
      </c>
      <c r="J452" s="252" t="s">
        <v>470</v>
      </c>
      <c r="K452" s="253">
        <v>1500000</v>
      </c>
      <c r="L452" s="254">
        <v>0.19</v>
      </c>
      <c r="M452" s="255">
        <v>285000</v>
      </c>
      <c r="N452" s="256">
        <v>1785000</v>
      </c>
      <c r="O452" s="257" t="s">
        <v>365</v>
      </c>
      <c r="P452" s="258" t="s">
        <v>91</v>
      </c>
      <c r="Q452" s="259">
        <v>1785000</v>
      </c>
      <c r="R452" s="259">
        <v>0</v>
      </c>
      <c r="S452" s="259">
        <v>0</v>
      </c>
      <c r="T452" s="259">
        <v>0</v>
      </c>
      <c r="U452" s="247" t="s">
        <v>1045</v>
      </c>
    </row>
    <row r="453" spans="1:21" ht="41.5" hidden="1" customHeight="1" x14ac:dyDescent="0.35">
      <c r="A453" s="280" t="s">
        <v>795</v>
      </c>
      <c r="B453" s="247" t="s">
        <v>232</v>
      </c>
      <c r="C453" s="247" t="s">
        <v>1043</v>
      </c>
      <c r="D453" s="263">
        <v>72121103</v>
      </c>
      <c r="E453" s="249" t="s">
        <v>896</v>
      </c>
      <c r="F453" s="266" t="s">
        <v>1046</v>
      </c>
      <c r="G453" s="250" t="s">
        <v>72</v>
      </c>
      <c r="H453" s="250" t="s">
        <v>72</v>
      </c>
      <c r="I453" s="251">
        <v>180</v>
      </c>
      <c r="J453" s="264" t="s">
        <v>373</v>
      </c>
      <c r="K453" s="253">
        <v>400000000</v>
      </c>
      <c r="L453" s="254">
        <v>0.19</v>
      </c>
      <c r="M453" s="255">
        <v>76000000</v>
      </c>
      <c r="N453" s="256">
        <v>476000000</v>
      </c>
      <c r="O453" s="257" t="s">
        <v>365</v>
      </c>
      <c r="P453" s="258" t="s">
        <v>91</v>
      </c>
      <c r="Q453" s="259">
        <v>476000000</v>
      </c>
      <c r="R453" s="259">
        <v>0</v>
      </c>
      <c r="S453" s="259">
        <v>0</v>
      </c>
      <c r="T453" s="259">
        <v>0</v>
      </c>
      <c r="U453" s="247" t="s">
        <v>1045</v>
      </c>
    </row>
    <row r="454" spans="1:21" ht="41.5" hidden="1" customHeight="1" x14ac:dyDescent="0.35">
      <c r="A454" s="280" t="s">
        <v>795</v>
      </c>
      <c r="B454" s="247" t="s">
        <v>232</v>
      </c>
      <c r="C454" s="247" t="s">
        <v>1043</v>
      </c>
      <c r="D454" s="263">
        <v>78181703</v>
      </c>
      <c r="E454" s="249" t="s">
        <v>821</v>
      </c>
      <c r="F454" s="247" t="s">
        <v>1047</v>
      </c>
      <c r="G454" s="263" t="s">
        <v>71</v>
      </c>
      <c r="H454" s="250" t="s">
        <v>71</v>
      </c>
      <c r="I454" s="251">
        <v>180</v>
      </c>
      <c r="J454" s="252" t="s">
        <v>359</v>
      </c>
      <c r="K454" s="253">
        <v>12576000</v>
      </c>
      <c r="L454" s="254">
        <v>0.19</v>
      </c>
      <c r="M454" s="255">
        <v>2389440</v>
      </c>
      <c r="N454" s="256">
        <v>14965440</v>
      </c>
      <c r="O454" s="257" t="s">
        <v>365</v>
      </c>
      <c r="P454" s="258" t="s">
        <v>91</v>
      </c>
      <c r="Q454" s="259">
        <v>14965440</v>
      </c>
      <c r="R454" s="259">
        <v>0</v>
      </c>
      <c r="S454" s="259">
        <v>0</v>
      </c>
      <c r="T454" s="259">
        <v>0</v>
      </c>
      <c r="U454" s="247" t="s">
        <v>1045</v>
      </c>
    </row>
    <row r="455" spans="1:21" ht="41.5" hidden="1" customHeight="1" x14ac:dyDescent="0.35">
      <c r="A455" s="280" t="s">
        <v>795</v>
      </c>
      <c r="B455" s="247" t="s">
        <v>232</v>
      </c>
      <c r="C455" s="247" t="s">
        <v>1043</v>
      </c>
      <c r="D455" s="263">
        <v>80141902</v>
      </c>
      <c r="E455" s="249" t="s">
        <v>785</v>
      </c>
      <c r="F455" s="247" t="s">
        <v>884</v>
      </c>
      <c r="G455" s="250" t="s">
        <v>74</v>
      </c>
      <c r="H455" s="250" t="s">
        <v>74</v>
      </c>
      <c r="I455" s="282">
        <v>1</v>
      </c>
      <c r="J455" s="252" t="s">
        <v>470</v>
      </c>
      <c r="K455" s="253">
        <v>3283200</v>
      </c>
      <c r="L455" s="254">
        <v>0.19</v>
      </c>
      <c r="M455" s="255">
        <v>623808</v>
      </c>
      <c r="N455" s="256">
        <v>3907008</v>
      </c>
      <c r="O455" s="257" t="s">
        <v>365</v>
      </c>
      <c r="P455" s="258" t="s">
        <v>91</v>
      </c>
      <c r="Q455" s="259">
        <v>3907008</v>
      </c>
      <c r="R455" s="259">
        <v>0</v>
      </c>
      <c r="S455" s="259">
        <v>0</v>
      </c>
      <c r="T455" s="259">
        <v>0</v>
      </c>
      <c r="U455" s="247" t="s">
        <v>1045</v>
      </c>
    </row>
    <row r="456" spans="1:21" ht="41.5" hidden="1" customHeight="1" x14ac:dyDescent="0.35">
      <c r="A456" s="280" t="s">
        <v>795</v>
      </c>
      <c r="B456" s="247" t="s">
        <v>232</v>
      </c>
      <c r="C456" s="247" t="s">
        <v>1043</v>
      </c>
      <c r="D456" s="263">
        <v>80141902</v>
      </c>
      <c r="E456" s="249" t="s">
        <v>785</v>
      </c>
      <c r="F456" s="247" t="s">
        <v>885</v>
      </c>
      <c r="G456" s="250" t="s">
        <v>73</v>
      </c>
      <c r="H456" s="250" t="s">
        <v>73</v>
      </c>
      <c r="I456" s="282">
        <v>1</v>
      </c>
      <c r="J456" s="252" t="s">
        <v>470</v>
      </c>
      <c r="K456" s="253">
        <v>1840000</v>
      </c>
      <c r="L456" s="254">
        <v>0.19</v>
      </c>
      <c r="M456" s="255">
        <v>349600</v>
      </c>
      <c r="N456" s="256">
        <v>2189600</v>
      </c>
      <c r="O456" s="257" t="s">
        <v>365</v>
      </c>
      <c r="P456" s="258" t="s">
        <v>91</v>
      </c>
      <c r="Q456" s="259">
        <v>2189600</v>
      </c>
      <c r="R456" s="259">
        <v>0</v>
      </c>
      <c r="S456" s="259">
        <v>0</v>
      </c>
      <c r="T456" s="259">
        <v>0</v>
      </c>
      <c r="U456" s="247" t="s">
        <v>1045</v>
      </c>
    </row>
    <row r="457" spans="1:21" ht="41.5" hidden="1" customHeight="1" x14ac:dyDescent="0.35">
      <c r="A457" s="280" t="s">
        <v>795</v>
      </c>
      <c r="B457" s="247" t="s">
        <v>232</v>
      </c>
      <c r="C457" s="247" t="s">
        <v>1043</v>
      </c>
      <c r="D457" s="263">
        <v>80141902</v>
      </c>
      <c r="E457" s="249" t="s">
        <v>785</v>
      </c>
      <c r="F457" s="247" t="s">
        <v>1048</v>
      </c>
      <c r="G457" s="250" t="s">
        <v>77</v>
      </c>
      <c r="H457" s="250" t="s">
        <v>77</v>
      </c>
      <c r="I457" s="282">
        <v>1</v>
      </c>
      <c r="J457" s="252" t="s">
        <v>470</v>
      </c>
      <c r="K457" s="253">
        <v>3960000</v>
      </c>
      <c r="L457" s="254">
        <v>0.19</v>
      </c>
      <c r="M457" s="255">
        <v>752400</v>
      </c>
      <c r="N457" s="256">
        <v>4712400</v>
      </c>
      <c r="O457" s="257" t="s">
        <v>365</v>
      </c>
      <c r="P457" s="258" t="s">
        <v>91</v>
      </c>
      <c r="Q457" s="259">
        <v>4712400</v>
      </c>
      <c r="R457" s="259">
        <v>0</v>
      </c>
      <c r="S457" s="259">
        <v>0</v>
      </c>
      <c r="T457" s="259">
        <v>0</v>
      </c>
      <c r="U457" s="247" t="s">
        <v>1045</v>
      </c>
    </row>
    <row r="458" spans="1:21" ht="41.5" hidden="1" customHeight="1" x14ac:dyDescent="0.35">
      <c r="A458" s="280" t="s">
        <v>795</v>
      </c>
      <c r="B458" s="247" t="s">
        <v>232</v>
      </c>
      <c r="C458" s="247" t="s">
        <v>1043</v>
      </c>
      <c r="D458" s="263">
        <v>56101700</v>
      </c>
      <c r="E458" s="249" t="s">
        <v>893</v>
      </c>
      <c r="F458" s="284" t="s">
        <v>1049</v>
      </c>
      <c r="G458" s="250" t="s">
        <v>73</v>
      </c>
      <c r="H458" s="250" t="s">
        <v>73</v>
      </c>
      <c r="I458" s="251">
        <v>90</v>
      </c>
      <c r="J458" s="264" t="s">
        <v>373</v>
      </c>
      <c r="K458" s="253">
        <v>126050420</v>
      </c>
      <c r="L458" s="254">
        <v>0.19</v>
      </c>
      <c r="M458" s="255">
        <v>23949579.800000001</v>
      </c>
      <c r="N458" s="256">
        <v>149999999.80000001</v>
      </c>
      <c r="O458" s="257" t="s">
        <v>365</v>
      </c>
      <c r="P458" s="258" t="s">
        <v>91</v>
      </c>
      <c r="Q458" s="259">
        <v>150000000</v>
      </c>
      <c r="R458" s="259">
        <v>0</v>
      </c>
      <c r="S458" s="259">
        <v>0</v>
      </c>
      <c r="T458" s="259">
        <v>0</v>
      </c>
      <c r="U458" s="247" t="s">
        <v>1045</v>
      </c>
    </row>
    <row r="459" spans="1:21" ht="41.5" hidden="1" customHeight="1" x14ac:dyDescent="0.35">
      <c r="A459" s="280" t="s">
        <v>795</v>
      </c>
      <c r="B459" s="247" t="s">
        <v>232</v>
      </c>
      <c r="C459" s="247" t="s">
        <v>1043</v>
      </c>
      <c r="D459" s="263">
        <v>80141800</v>
      </c>
      <c r="E459" s="249" t="s">
        <v>1050</v>
      </c>
      <c r="F459" s="247" t="s">
        <v>1051</v>
      </c>
      <c r="G459" s="263" t="s">
        <v>66</v>
      </c>
      <c r="H459" s="250" t="s">
        <v>66</v>
      </c>
      <c r="I459" s="251">
        <v>365</v>
      </c>
      <c r="J459" s="252" t="s">
        <v>470</v>
      </c>
      <c r="K459" s="253">
        <v>4400000</v>
      </c>
      <c r="L459" s="254">
        <v>0.19</v>
      </c>
      <c r="M459" s="255">
        <v>836000</v>
      </c>
      <c r="N459" s="256">
        <v>5236000</v>
      </c>
      <c r="O459" s="257" t="s">
        <v>365</v>
      </c>
      <c r="P459" s="258" t="s">
        <v>91</v>
      </c>
      <c r="Q459" s="259">
        <v>5236000</v>
      </c>
      <c r="R459" s="259">
        <v>0</v>
      </c>
      <c r="S459" s="259">
        <v>0</v>
      </c>
      <c r="T459" s="259">
        <v>0</v>
      </c>
      <c r="U459" s="247" t="s">
        <v>1045</v>
      </c>
    </row>
    <row r="460" spans="1:21" ht="41.5" hidden="1" customHeight="1" x14ac:dyDescent="0.35">
      <c r="A460" s="280" t="s">
        <v>795</v>
      </c>
      <c r="B460" s="247" t="s">
        <v>232</v>
      </c>
      <c r="C460" s="247" t="s">
        <v>1043</v>
      </c>
      <c r="D460" s="263">
        <v>80131500</v>
      </c>
      <c r="E460" s="249" t="s">
        <v>990</v>
      </c>
      <c r="F460" s="266" t="s">
        <v>1052</v>
      </c>
      <c r="G460" s="250" t="s">
        <v>72</v>
      </c>
      <c r="H460" s="250" t="s">
        <v>72</v>
      </c>
      <c r="I460" s="251">
        <v>150</v>
      </c>
      <c r="J460" s="264" t="s">
        <v>373</v>
      </c>
      <c r="K460" s="253">
        <v>180000000</v>
      </c>
      <c r="L460" s="254">
        <v>0.19</v>
      </c>
      <c r="M460" s="255">
        <v>34200000</v>
      </c>
      <c r="N460" s="256">
        <v>214200000</v>
      </c>
      <c r="O460" s="257" t="s">
        <v>365</v>
      </c>
      <c r="P460" s="258" t="s">
        <v>91</v>
      </c>
      <c r="Q460" s="259">
        <v>214200000</v>
      </c>
      <c r="R460" s="259">
        <v>0</v>
      </c>
      <c r="S460" s="259">
        <v>0</v>
      </c>
      <c r="T460" s="259">
        <v>0</v>
      </c>
      <c r="U460" s="247" t="s">
        <v>1045</v>
      </c>
    </row>
    <row r="461" spans="1:21" ht="41.5" hidden="1" customHeight="1" x14ac:dyDescent="0.35">
      <c r="A461" s="280" t="s">
        <v>795</v>
      </c>
      <c r="B461" s="247" t="s">
        <v>232</v>
      </c>
      <c r="C461" s="247" t="s">
        <v>1043</v>
      </c>
      <c r="D461" s="263">
        <v>80141902</v>
      </c>
      <c r="E461" s="249" t="s">
        <v>785</v>
      </c>
      <c r="F461" s="247" t="s">
        <v>807</v>
      </c>
      <c r="G461" s="264" t="s">
        <v>66</v>
      </c>
      <c r="H461" s="250" t="s">
        <v>66</v>
      </c>
      <c r="I461" s="311">
        <v>70</v>
      </c>
      <c r="J461" s="252" t="s">
        <v>470</v>
      </c>
      <c r="K461" s="253">
        <v>4192000</v>
      </c>
      <c r="L461" s="254">
        <v>0.19</v>
      </c>
      <c r="M461" s="255">
        <v>796480</v>
      </c>
      <c r="N461" s="256">
        <v>4988480</v>
      </c>
      <c r="O461" s="257" t="s">
        <v>365</v>
      </c>
      <c r="P461" s="258" t="s">
        <v>91</v>
      </c>
      <c r="Q461" s="259">
        <v>4988480</v>
      </c>
      <c r="R461" s="259">
        <v>0</v>
      </c>
      <c r="S461" s="259">
        <v>0</v>
      </c>
      <c r="T461" s="259">
        <v>0</v>
      </c>
      <c r="U461" s="247" t="s">
        <v>1045</v>
      </c>
    </row>
    <row r="462" spans="1:21" ht="41.5" hidden="1" customHeight="1" x14ac:dyDescent="0.35">
      <c r="A462" s="280" t="s">
        <v>795</v>
      </c>
      <c r="B462" s="247" t="s">
        <v>232</v>
      </c>
      <c r="C462" s="247" t="s">
        <v>1043</v>
      </c>
      <c r="D462" s="263">
        <v>80141902</v>
      </c>
      <c r="E462" s="249" t="s">
        <v>785</v>
      </c>
      <c r="F462" s="247" t="s">
        <v>809</v>
      </c>
      <c r="G462" s="250" t="s">
        <v>76</v>
      </c>
      <c r="H462" s="250" t="s">
        <v>76</v>
      </c>
      <c r="I462" s="311">
        <v>30</v>
      </c>
      <c r="J462" s="252" t="s">
        <v>470</v>
      </c>
      <c r="K462" s="253">
        <v>4192000</v>
      </c>
      <c r="L462" s="254">
        <v>0.19</v>
      </c>
      <c r="M462" s="255">
        <v>796480</v>
      </c>
      <c r="N462" s="256">
        <v>4988480</v>
      </c>
      <c r="O462" s="257" t="s">
        <v>365</v>
      </c>
      <c r="P462" s="258" t="s">
        <v>91</v>
      </c>
      <c r="Q462" s="259">
        <v>4988480</v>
      </c>
      <c r="R462" s="259">
        <v>0</v>
      </c>
      <c r="S462" s="259">
        <v>0</v>
      </c>
      <c r="T462" s="259">
        <v>0</v>
      </c>
      <c r="U462" s="247" t="s">
        <v>1045</v>
      </c>
    </row>
    <row r="463" spans="1:21" ht="41.5" hidden="1" customHeight="1" x14ac:dyDescent="0.35">
      <c r="A463" s="280" t="s">
        <v>795</v>
      </c>
      <c r="B463" s="247" t="s">
        <v>232</v>
      </c>
      <c r="C463" s="247" t="s">
        <v>1053</v>
      </c>
      <c r="D463" s="263">
        <v>48101711</v>
      </c>
      <c r="E463" s="249" t="s">
        <v>1054</v>
      </c>
      <c r="F463" s="284" t="s">
        <v>1054</v>
      </c>
      <c r="G463" s="250" t="s">
        <v>72</v>
      </c>
      <c r="H463" s="250" t="s">
        <v>72</v>
      </c>
      <c r="I463" s="251">
        <v>30</v>
      </c>
      <c r="J463" s="252" t="s">
        <v>470</v>
      </c>
      <c r="K463" s="253">
        <v>1800000</v>
      </c>
      <c r="L463" s="254">
        <v>0.19</v>
      </c>
      <c r="M463" s="255">
        <v>342000</v>
      </c>
      <c r="N463" s="256">
        <v>2142000</v>
      </c>
      <c r="O463" s="257" t="s">
        <v>365</v>
      </c>
      <c r="P463" s="258" t="s">
        <v>91</v>
      </c>
      <c r="Q463" s="259">
        <v>2142000</v>
      </c>
      <c r="R463" s="259">
        <v>0</v>
      </c>
      <c r="S463" s="259">
        <v>0</v>
      </c>
      <c r="T463" s="259">
        <v>0</v>
      </c>
      <c r="U463" s="247" t="s">
        <v>1055</v>
      </c>
    </row>
    <row r="464" spans="1:21" ht="41.5" hidden="1" customHeight="1" x14ac:dyDescent="0.35">
      <c r="A464" s="280" t="s">
        <v>795</v>
      </c>
      <c r="B464" s="247" t="s">
        <v>232</v>
      </c>
      <c r="C464" s="247" t="s">
        <v>1053</v>
      </c>
      <c r="D464" s="263">
        <v>56101530</v>
      </c>
      <c r="E464" s="249" t="s">
        <v>1056</v>
      </c>
      <c r="F464" s="284" t="s">
        <v>1057</v>
      </c>
      <c r="G464" s="250" t="s">
        <v>72</v>
      </c>
      <c r="H464" s="250" t="s">
        <v>72</v>
      </c>
      <c r="I464" s="251">
        <v>30</v>
      </c>
      <c r="J464" s="252" t="s">
        <v>470</v>
      </c>
      <c r="K464" s="253">
        <v>2500000</v>
      </c>
      <c r="L464" s="254">
        <v>0.19</v>
      </c>
      <c r="M464" s="255">
        <v>475000</v>
      </c>
      <c r="N464" s="256">
        <v>2975000</v>
      </c>
      <c r="O464" s="257" t="s">
        <v>365</v>
      </c>
      <c r="P464" s="258" t="s">
        <v>91</v>
      </c>
      <c r="Q464" s="259">
        <v>2975000</v>
      </c>
      <c r="R464" s="259">
        <v>0</v>
      </c>
      <c r="S464" s="259">
        <v>0</v>
      </c>
      <c r="T464" s="259">
        <v>0</v>
      </c>
      <c r="U464" s="247" t="s">
        <v>1055</v>
      </c>
    </row>
    <row r="465" spans="1:21" ht="41.5" hidden="1" customHeight="1" x14ac:dyDescent="0.35">
      <c r="A465" s="280" t="s">
        <v>795</v>
      </c>
      <c r="B465" s="247" t="s">
        <v>232</v>
      </c>
      <c r="C465" s="247" t="s">
        <v>1053</v>
      </c>
      <c r="D465" s="263">
        <v>72101511</v>
      </c>
      <c r="E465" s="249" t="s">
        <v>811</v>
      </c>
      <c r="F465" s="284" t="s">
        <v>1058</v>
      </c>
      <c r="G465" s="252" t="s">
        <v>66</v>
      </c>
      <c r="H465" s="250" t="s">
        <v>66</v>
      </c>
      <c r="I465" s="251">
        <v>365</v>
      </c>
      <c r="J465" s="252" t="s">
        <v>359</v>
      </c>
      <c r="K465" s="253">
        <v>11801528</v>
      </c>
      <c r="L465" s="254">
        <v>0.19</v>
      </c>
      <c r="M465" s="255">
        <v>2242290.3199999998</v>
      </c>
      <c r="N465" s="256">
        <v>14043818.32</v>
      </c>
      <c r="O465" s="257" t="s">
        <v>365</v>
      </c>
      <c r="P465" s="258" t="s">
        <v>91</v>
      </c>
      <c r="Q465" s="259">
        <v>14043818</v>
      </c>
      <c r="R465" s="259">
        <v>0</v>
      </c>
      <c r="S465" s="259">
        <v>0</v>
      </c>
      <c r="T465" s="259">
        <v>0</v>
      </c>
      <c r="U465" s="247" t="s">
        <v>1055</v>
      </c>
    </row>
    <row r="466" spans="1:21" ht="41.5" hidden="1" customHeight="1" x14ac:dyDescent="0.35">
      <c r="A466" s="280" t="s">
        <v>795</v>
      </c>
      <c r="B466" s="247" t="s">
        <v>232</v>
      </c>
      <c r="C466" s="247" t="s">
        <v>1053</v>
      </c>
      <c r="D466" s="263">
        <v>71161202</v>
      </c>
      <c r="E466" s="249" t="s">
        <v>501</v>
      </c>
      <c r="F466" s="266" t="s">
        <v>1059</v>
      </c>
      <c r="G466" s="252" t="s">
        <v>72</v>
      </c>
      <c r="H466" s="250" t="s">
        <v>72</v>
      </c>
      <c r="I466" s="251">
        <v>365</v>
      </c>
      <c r="J466" s="252" t="s">
        <v>359</v>
      </c>
      <c r="K466" s="253">
        <v>44603475</v>
      </c>
      <c r="L466" s="254">
        <v>0.19</v>
      </c>
      <c r="M466" s="255">
        <v>8474660.25</v>
      </c>
      <c r="N466" s="256">
        <v>53078135.25</v>
      </c>
      <c r="O466" s="257" t="s">
        <v>365</v>
      </c>
      <c r="P466" s="258" t="s">
        <v>91</v>
      </c>
      <c r="Q466" s="259">
        <v>53078135</v>
      </c>
      <c r="R466" s="259">
        <v>0</v>
      </c>
      <c r="S466" s="259">
        <v>0</v>
      </c>
      <c r="T466" s="259">
        <v>0</v>
      </c>
      <c r="U466" s="247" t="s">
        <v>1055</v>
      </c>
    </row>
    <row r="467" spans="1:21" ht="41.5" hidden="1" customHeight="1" x14ac:dyDescent="0.35">
      <c r="A467" s="280" t="s">
        <v>795</v>
      </c>
      <c r="B467" s="247" t="s">
        <v>232</v>
      </c>
      <c r="C467" s="247" t="s">
        <v>1053</v>
      </c>
      <c r="D467" s="263">
        <v>26111600</v>
      </c>
      <c r="E467" s="249" t="s">
        <v>1060</v>
      </c>
      <c r="F467" s="284" t="s">
        <v>1061</v>
      </c>
      <c r="G467" s="250" t="s">
        <v>72</v>
      </c>
      <c r="H467" s="250" t="s">
        <v>72</v>
      </c>
      <c r="I467" s="251">
        <v>90</v>
      </c>
      <c r="J467" s="252" t="s">
        <v>359</v>
      </c>
      <c r="K467" s="253">
        <v>60000000</v>
      </c>
      <c r="L467" s="254">
        <v>0.19</v>
      </c>
      <c r="M467" s="255">
        <v>11400000</v>
      </c>
      <c r="N467" s="256">
        <v>71400000</v>
      </c>
      <c r="O467" s="257" t="s">
        <v>365</v>
      </c>
      <c r="P467" s="258" t="s">
        <v>91</v>
      </c>
      <c r="Q467" s="259">
        <v>71400000</v>
      </c>
      <c r="R467" s="259">
        <v>0</v>
      </c>
      <c r="S467" s="259">
        <v>0</v>
      </c>
      <c r="T467" s="259">
        <v>0</v>
      </c>
      <c r="U467" s="247" t="s">
        <v>1055</v>
      </c>
    </row>
    <row r="468" spans="1:21" ht="41.5" hidden="1" customHeight="1" x14ac:dyDescent="0.35">
      <c r="A468" s="280" t="s">
        <v>795</v>
      </c>
      <c r="B468" s="247" t="s">
        <v>232</v>
      </c>
      <c r="C468" s="247" t="s">
        <v>1053</v>
      </c>
      <c r="D468" s="263">
        <v>72154028</v>
      </c>
      <c r="E468" s="249" t="s">
        <v>1062</v>
      </c>
      <c r="F468" s="247" t="s">
        <v>1063</v>
      </c>
      <c r="G468" s="250" t="s">
        <v>73</v>
      </c>
      <c r="H468" s="250" t="s">
        <v>73</v>
      </c>
      <c r="I468" s="251">
        <v>180</v>
      </c>
      <c r="J468" s="252" t="s">
        <v>470</v>
      </c>
      <c r="K468" s="253">
        <v>7000000</v>
      </c>
      <c r="L468" s="254">
        <v>0.19</v>
      </c>
      <c r="M468" s="255">
        <v>1330000</v>
      </c>
      <c r="N468" s="256">
        <v>8330000</v>
      </c>
      <c r="O468" s="257" t="s">
        <v>365</v>
      </c>
      <c r="P468" s="258" t="s">
        <v>91</v>
      </c>
      <c r="Q468" s="259">
        <v>8330000</v>
      </c>
      <c r="R468" s="259">
        <v>0</v>
      </c>
      <c r="S468" s="259">
        <v>0</v>
      </c>
      <c r="T468" s="259">
        <v>0</v>
      </c>
      <c r="U468" s="247" t="s">
        <v>1055</v>
      </c>
    </row>
    <row r="469" spans="1:21" ht="41.5" hidden="1" customHeight="1" x14ac:dyDescent="0.35">
      <c r="A469" s="280" t="s">
        <v>795</v>
      </c>
      <c r="B469" s="247" t="s">
        <v>232</v>
      </c>
      <c r="C469" s="280" t="s">
        <v>1053</v>
      </c>
      <c r="D469" s="263">
        <v>80141902</v>
      </c>
      <c r="E469" s="249" t="s">
        <v>1023</v>
      </c>
      <c r="F469" s="280" t="s">
        <v>1064</v>
      </c>
      <c r="G469" s="252" t="s">
        <v>73</v>
      </c>
      <c r="H469" s="252" t="s">
        <v>73</v>
      </c>
      <c r="I469" s="282">
        <v>1</v>
      </c>
      <c r="J469" s="252" t="s">
        <v>470</v>
      </c>
      <c r="K469" s="253">
        <v>1300000</v>
      </c>
      <c r="L469" s="254">
        <v>0.19</v>
      </c>
      <c r="M469" s="255">
        <v>247000</v>
      </c>
      <c r="N469" s="255">
        <v>1547000</v>
      </c>
      <c r="O469" s="257" t="s">
        <v>365</v>
      </c>
      <c r="P469" s="258" t="s">
        <v>91</v>
      </c>
      <c r="Q469" s="259">
        <v>1547000</v>
      </c>
      <c r="R469" s="259">
        <v>0</v>
      </c>
      <c r="S469" s="259">
        <v>0</v>
      </c>
      <c r="T469" s="259">
        <v>0</v>
      </c>
      <c r="U469" s="247" t="s">
        <v>1055</v>
      </c>
    </row>
    <row r="470" spans="1:21" ht="41.5" hidden="1" customHeight="1" x14ac:dyDescent="0.35">
      <c r="A470" s="280" t="s">
        <v>795</v>
      </c>
      <c r="B470" s="247" t="s">
        <v>232</v>
      </c>
      <c r="C470" s="280" t="s">
        <v>1053</v>
      </c>
      <c r="D470" s="263">
        <v>80141902</v>
      </c>
      <c r="E470" s="249" t="s">
        <v>1023</v>
      </c>
      <c r="F470" s="280" t="s">
        <v>1065</v>
      </c>
      <c r="G470" s="252" t="s">
        <v>74</v>
      </c>
      <c r="H470" s="252" t="s">
        <v>74</v>
      </c>
      <c r="I470" s="282">
        <v>1</v>
      </c>
      <c r="J470" s="252" t="s">
        <v>470</v>
      </c>
      <c r="K470" s="253">
        <v>2592200</v>
      </c>
      <c r="L470" s="254">
        <v>0.19</v>
      </c>
      <c r="M470" s="255">
        <v>492518</v>
      </c>
      <c r="N470" s="255">
        <v>3084718</v>
      </c>
      <c r="O470" s="257" t="s">
        <v>365</v>
      </c>
      <c r="P470" s="258" t="s">
        <v>91</v>
      </c>
      <c r="Q470" s="259">
        <v>3084718</v>
      </c>
      <c r="R470" s="259">
        <v>0</v>
      </c>
      <c r="S470" s="259">
        <v>0</v>
      </c>
      <c r="T470" s="259">
        <v>0</v>
      </c>
      <c r="U470" s="247" t="s">
        <v>1055</v>
      </c>
    </row>
    <row r="471" spans="1:21" ht="41.5" hidden="1" customHeight="1" x14ac:dyDescent="0.35">
      <c r="A471" s="280" t="s">
        <v>795</v>
      </c>
      <c r="B471" s="247" t="s">
        <v>232</v>
      </c>
      <c r="C471" s="247" t="s">
        <v>1053</v>
      </c>
      <c r="D471" s="263">
        <v>72121103</v>
      </c>
      <c r="E471" s="249" t="s">
        <v>896</v>
      </c>
      <c r="F471" s="266" t="s">
        <v>1066</v>
      </c>
      <c r="G471" s="250" t="s">
        <v>75</v>
      </c>
      <c r="H471" s="250" t="s">
        <v>75</v>
      </c>
      <c r="I471" s="251">
        <v>120</v>
      </c>
      <c r="J471" s="335" t="s">
        <v>381</v>
      </c>
      <c r="K471" s="253">
        <v>660000000</v>
      </c>
      <c r="L471" s="254">
        <v>0.19</v>
      </c>
      <c r="M471" s="255">
        <v>125400000</v>
      </c>
      <c r="N471" s="256">
        <v>785400000</v>
      </c>
      <c r="O471" s="257" t="s">
        <v>365</v>
      </c>
      <c r="P471" s="258" t="s">
        <v>91</v>
      </c>
      <c r="Q471" s="259">
        <v>785400000</v>
      </c>
      <c r="R471" s="259">
        <v>0</v>
      </c>
      <c r="S471" s="259">
        <v>0</v>
      </c>
      <c r="T471" s="259">
        <v>0</v>
      </c>
      <c r="U471" s="247" t="s">
        <v>1055</v>
      </c>
    </row>
    <row r="472" spans="1:21" ht="41.5" hidden="1" customHeight="1" x14ac:dyDescent="0.35">
      <c r="A472" s="280" t="s">
        <v>795</v>
      </c>
      <c r="B472" s="247" t="s">
        <v>232</v>
      </c>
      <c r="C472" s="247" t="s">
        <v>1053</v>
      </c>
      <c r="D472" s="263">
        <v>80141902</v>
      </c>
      <c r="E472" s="249" t="s">
        <v>785</v>
      </c>
      <c r="F472" s="247" t="s">
        <v>807</v>
      </c>
      <c r="G472" s="264" t="s">
        <v>66</v>
      </c>
      <c r="H472" s="250" t="s">
        <v>66</v>
      </c>
      <c r="I472" s="251">
        <v>70</v>
      </c>
      <c r="J472" s="252" t="s">
        <v>470</v>
      </c>
      <c r="K472" s="253">
        <v>3877600</v>
      </c>
      <c r="L472" s="254">
        <v>0.19</v>
      </c>
      <c r="M472" s="255">
        <v>736744</v>
      </c>
      <c r="N472" s="256">
        <v>4614344</v>
      </c>
      <c r="O472" s="257" t="s">
        <v>365</v>
      </c>
      <c r="P472" s="258" t="s">
        <v>91</v>
      </c>
      <c r="Q472" s="259">
        <v>4614344</v>
      </c>
      <c r="R472" s="259">
        <v>0</v>
      </c>
      <c r="S472" s="259">
        <v>0</v>
      </c>
      <c r="T472" s="259">
        <v>0</v>
      </c>
      <c r="U472" s="247" t="s">
        <v>1067</v>
      </c>
    </row>
    <row r="473" spans="1:21" ht="41.5" hidden="1" customHeight="1" x14ac:dyDescent="0.35">
      <c r="A473" s="280" t="s">
        <v>795</v>
      </c>
      <c r="B473" s="247" t="s">
        <v>232</v>
      </c>
      <c r="C473" s="247" t="s">
        <v>1053</v>
      </c>
      <c r="D473" s="263">
        <v>80141902</v>
      </c>
      <c r="E473" s="249" t="s">
        <v>785</v>
      </c>
      <c r="F473" s="247" t="s">
        <v>809</v>
      </c>
      <c r="G473" s="250" t="s">
        <v>76</v>
      </c>
      <c r="H473" s="250" t="s">
        <v>76</v>
      </c>
      <c r="I473" s="251">
        <v>30</v>
      </c>
      <c r="J473" s="252" t="s">
        <v>470</v>
      </c>
      <c r="K473" s="253">
        <v>3877600</v>
      </c>
      <c r="L473" s="254">
        <v>0.19</v>
      </c>
      <c r="M473" s="255">
        <v>736744</v>
      </c>
      <c r="N473" s="256">
        <v>4614344</v>
      </c>
      <c r="O473" s="257" t="s">
        <v>365</v>
      </c>
      <c r="P473" s="258" t="s">
        <v>91</v>
      </c>
      <c r="Q473" s="259">
        <v>4614344</v>
      </c>
      <c r="R473" s="259">
        <v>0</v>
      </c>
      <c r="S473" s="259">
        <v>0</v>
      </c>
      <c r="T473" s="259">
        <v>0</v>
      </c>
      <c r="U473" s="247" t="s">
        <v>1067</v>
      </c>
    </row>
    <row r="474" spans="1:21" ht="41.5" hidden="1" customHeight="1" x14ac:dyDescent="0.35">
      <c r="A474" s="280" t="s">
        <v>795</v>
      </c>
      <c r="B474" s="247" t="s">
        <v>232</v>
      </c>
      <c r="C474" s="247" t="s">
        <v>1068</v>
      </c>
      <c r="D474" s="263">
        <v>72101511</v>
      </c>
      <c r="E474" s="249" t="s">
        <v>811</v>
      </c>
      <c r="F474" s="284" t="s">
        <v>1069</v>
      </c>
      <c r="G474" s="264" t="s">
        <v>66</v>
      </c>
      <c r="H474" s="250" t="s">
        <v>66</v>
      </c>
      <c r="I474" s="251">
        <v>336</v>
      </c>
      <c r="J474" s="267" t="s">
        <v>359</v>
      </c>
      <c r="K474" s="253">
        <v>4300000</v>
      </c>
      <c r="L474" s="254">
        <v>0.19</v>
      </c>
      <c r="M474" s="255">
        <v>817000</v>
      </c>
      <c r="N474" s="256">
        <v>5117000</v>
      </c>
      <c r="O474" s="257" t="s">
        <v>365</v>
      </c>
      <c r="P474" s="258" t="s">
        <v>91</v>
      </c>
      <c r="Q474" s="259">
        <v>5117000</v>
      </c>
      <c r="R474" s="259">
        <v>0</v>
      </c>
      <c r="S474" s="259">
        <v>0</v>
      </c>
      <c r="T474" s="259">
        <v>0</v>
      </c>
      <c r="U474" s="247" t="s">
        <v>1070</v>
      </c>
    </row>
    <row r="475" spans="1:21" ht="41.5" hidden="1" customHeight="1" x14ac:dyDescent="0.35">
      <c r="A475" s="280" t="s">
        <v>795</v>
      </c>
      <c r="B475" s="247" t="s">
        <v>232</v>
      </c>
      <c r="C475" s="247" t="s">
        <v>1068</v>
      </c>
      <c r="D475" s="263">
        <v>72153608</v>
      </c>
      <c r="E475" s="249" t="s">
        <v>1071</v>
      </c>
      <c r="F475" s="284" t="s">
        <v>1072</v>
      </c>
      <c r="G475" s="250" t="s">
        <v>72</v>
      </c>
      <c r="H475" s="250" t="s">
        <v>72</v>
      </c>
      <c r="I475" s="251">
        <v>30</v>
      </c>
      <c r="J475" s="267" t="s">
        <v>359</v>
      </c>
      <c r="K475" s="253">
        <v>2750000</v>
      </c>
      <c r="L475" s="254">
        <v>0.19</v>
      </c>
      <c r="M475" s="255">
        <v>522500</v>
      </c>
      <c r="N475" s="256">
        <v>3272500</v>
      </c>
      <c r="O475" s="257" t="s">
        <v>365</v>
      </c>
      <c r="P475" s="258" t="s">
        <v>91</v>
      </c>
      <c r="Q475" s="259">
        <v>3272500</v>
      </c>
      <c r="R475" s="259">
        <v>0</v>
      </c>
      <c r="S475" s="259">
        <v>0</v>
      </c>
      <c r="T475" s="259">
        <v>0</v>
      </c>
      <c r="U475" s="247" t="s">
        <v>1070</v>
      </c>
    </row>
    <row r="476" spans="1:21" ht="41.5" hidden="1" customHeight="1" x14ac:dyDescent="0.35">
      <c r="A476" s="280" t="s">
        <v>795</v>
      </c>
      <c r="B476" s="247" t="s">
        <v>232</v>
      </c>
      <c r="C476" s="247" t="s">
        <v>1068</v>
      </c>
      <c r="D476" s="263">
        <v>72101511</v>
      </c>
      <c r="E476" s="249" t="s">
        <v>811</v>
      </c>
      <c r="F476" s="284" t="s">
        <v>1073</v>
      </c>
      <c r="G476" s="250" t="s">
        <v>72</v>
      </c>
      <c r="H476" s="250" t="s">
        <v>72</v>
      </c>
      <c r="I476" s="251">
        <v>30</v>
      </c>
      <c r="J476" s="267" t="s">
        <v>359</v>
      </c>
      <c r="K476" s="253">
        <v>6370000</v>
      </c>
      <c r="L476" s="254">
        <v>0.19</v>
      </c>
      <c r="M476" s="255">
        <v>1210300</v>
      </c>
      <c r="N476" s="256">
        <v>7580300</v>
      </c>
      <c r="O476" s="257" t="s">
        <v>365</v>
      </c>
      <c r="P476" s="258" t="s">
        <v>91</v>
      </c>
      <c r="Q476" s="259">
        <v>7580300</v>
      </c>
      <c r="R476" s="259">
        <v>0</v>
      </c>
      <c r="S476" s="259">
        <v>0</v>
      </c>
      <c r="T476" s="259">
        <v>0</v>
      </c>
      <c r="U476" s="247" t="s">
        <v>1070</v>
      </c>
    </row>
    <row r="477" spans="1:21" ht="41.5" hidden="1" customHeight="1" x14ac:dyDescent="0.35">
      <c r="A477" s="280" t="s">
        <v>795</v>
      </c>
      <c r="B477" s="247" t="s">
        <v>232</v>
      </c>
      <c r="C477" s="247" t="s">
        <v>1068</v>
      </c>
      <c r="D477" s="263">
        <v>80141902</v>
      </c>
      <c r="E477" s="249" t="s">
        <v>785</v>
      </c>
      <c r="F477" s="247" t="s">
        <v>1074</v>
      </c>
      <c r="G477" s="250" t="s">
        <v>74</v>
      </c>
      <c r="H477" s="250" t="s">
        <v>74</v>
      </c>
      <c r="I477" s="282">
        <v>1</v>
      </c>
      <c r="J477" s="267" t="s">
        <v>359</v>
      </c>
      <c r="K477" s="253">
        <v>1300000</v>
      </c>
      <c r="L477" s="254">
        <v>0.19</v>
      </c>
      <c r="M477" s="255">
        <v>247000</v>
      </c>
      <c r="N477" s="256">
        <v>1547000</v>
      </c>
      <c r="O477" s="257" t="s">
        <v>365</v>
      </c>
      <c r="P477" s="258" t="s">
        <v>91</v>
      </c>
      <c r="Q477" s="259">
        <v>1547000</v>
      </c>
      <c r="R477" s="259">
        <v>0</v>
      </c>
      <c r="S477" s="259">
        <v>0</v>
      </c>
      <c r="T477" s="259">
        <v>0</v>
      </c>
      <c r="U477" s="247" t="s">
        <v>1070</v>
      </c>
    </row>
    <row r="478" spans="1:21" ht="41.5" hidden="1" customHeight="1" x14ac:dyDescent="0.35">
      <c r="A478" s="280" t="s">
        <v>795</v>
      </c>
      <c r="B478" s="247" t="s">
        <v>232</v>
      </c>
      <c r="C478" s="247" t="s">
        <v>1068</v>
      </c>
      <c r="D478" s="263">
        <v>80141902</v>
      </c>
      <c r="E478" s="249" t="s">
        <v>785</v>
      </c>
      <c r="F478" s="247" t="s">
        <v>1075</v>
      </c>
      <c r="G478" s="250" t="s">
        <v>76</v>
      </c>
      <c r="H478" s="250" t="s">
        <v>76</v>
      </c>
      <c r="I478" s="282">
        <v>1</v>
      </c>
      <c r="J478" s="267" t="s">
        <v>359</v>
      </c>
      <c r="K478" s="253">
        <v>2000000</v>
      </c>
      <c r="L478" s="254">
        <v>0.19</v>
      </c>
      <c r="M478" s="255">
        <v>380000</v>
      </c>
      <c r="N478" s="256">
        <v>2380000</v>
      </c>
      <c r="O478" s="257" t="s">
        <v>365</v>
      </c>
      <c r="P478" s="258" t="s">
        <v>91</v>
      </c>
      <c r="Q478" s="259">
        <v>2380000</v>
      </c>
      <c r="R478" s="259">
        <v>0</v>
      </c>
      <c r="S478" s="259">
        <v>0</v>
      </c>
      <c r="T478" s="259">
        <v>0</v>
      </c>
      <c r="U478" s="247" t="s">
        <v>1070</v>
      </c>
    </row>
    <row r="479" spans="1:21" ht="41.5" hidden="1" customHeight="1" x14ac:dyDescent="0.35">
      <c r="A479" s="280" t="s">
        <v>795</v>
      </c>
      <c r="B479" s="247" t="s">
        <v>232</v>
      </c>
      <c r="C479" s="247" t="s">
        <v>1068</v>
      </c>
      <c r="D479" s="263">
        <v>80141902</v>
      </c>
      <c r="E479" s="249" t="s">
        <v>785</v>
      </c>
      <c r="F479" s="247" t="s">
        <v>807</v>
      </c>
      <c r="G479" s="264" t="s">
        <v>66</v>
      </c>
      <c r="H479" s="250" t="s">
        <v>66</v>
      </c>
      <c r="I479" s="311">
        <v>70</v>
      </c>
      <c r="J479" s="252" t="s">
        <v>470</v>
      </c>
      <c r="K479" s="253">
        <v>2620000</v>
      </c>
      <c r="L479" s="254">
        <v>0.19</v>
      </c>
      <c r="M479" s="255">
        <v>497800</v>
      </c>
      <c r="N479" s="256">
        <v>3117800</v>
      </c>
      <c r="O479" s="257" t="s">
        <v>365</v>
      </c>
      <c r="P479" s="258" t="s">
        <v>91</v>
      </c>
      <c r="Q479" s="259">
        <v>3117800</v>
      </c>
      <c r="R479" s="259">
        <v>0</v>
      </c>
      <c r="S479" s="259">
        <v>0</v>
      </c>
      <c r="T479" s="259">
        <v>0</v>
      </c>
      <c r="U479" s="329" t="s">
        <v>1076</v>
      </c>
    </row>
    <row r="480" spans="1:21" ht="41.5" hidden="1" customHeight="1" thickBot="1" x14ac:dyDescent="0.4">
      <c r="A480" s="280" t="s">
        <v>795</v>
      </c>
      <c r="B480" s="247" t="s">
        <v>232</v>
      </c>
      <c r="C480" s="247" t="s">
        <v>1068</v>
      </c>
      <c r="D480" s="263">
        <v>80141902</v>
      </c>
      <c r="E480" s="249" t="s">
        <v>785</v>
      </c>
      <c r="F480" s="247" t="s">
        <v>809</v>
      </c>
      <c r="G480" s="250" t="s">
        <v>76</v>
      </c>
      <c r="H480" s="250" t="s">
        <v>76</v>
      </c>
      <c r="I480" s="311">
        <v>30</v>
      </c>
      <c r="J480" s="252" t="s">
        <v>470</v>
      </c>
      <c r="K480" s="253">
        <v>2620000</v>
      </c>
      <c r="L480" s="254">
        <v>0.19</v>
      </c>
      <c r="M480" s="255">
        <v>497800</v>
      </c>
      <c r="N480" s="256">
        <v>3117800</v>
      </c>
      <c r="O480" s="257" t="s">
        <v>365</v>
      </c>
      <c r="P480" s="258" t="s">
        <v>91</v>
      </c>
      <c r="Q480" s="259">
        <v>3117800</v>
      </c>
      <c r="R480" s="259">
        <v>0</v>
      </c>
      <c r="S480" s="259">
        <v>0</v>
      </c>
      <c r="T480" s="259">
        <v>0</v>
      </c>
      <c r="U480" s="247" t="s">
        <v>1076</v>
      </c>
    </row>
    <row r="481" spans="1:21" ht="15" hidden="1" thickTop="1" x14ac:dyDescent="0.35">
      <c r="A481" s="336" t="s">
        <v>1077</v>
      </c>
      <c r="B481" s="336">
        <v>469</v>
      </c>
      <c r="C481" s="337">
        <v>469</v>
      </c>
      <c r="D481" s="336">
        <v>469</v>
      </c>
      <c r="E481" s="338">
        <v>469</v>
      </c>
      <c r="F481" s="336">
        <v>469</v>
      </c>
      <c r="G481" s="337">
        <v>469</v>
      </c>
      <c r="H481" s="337">
        <v>469</v>
      </c>
      <c r="I481" s="337">
        <v>469</v>
      </c>
      <c r="J481" s="337">
        <v>469</v>
      </c>
      <c r="K481" s="339">
        <v>406633990731.96033</v>
      </c>
      <c r="L481" s="340"/>
      <c r="M481" s="339">
        <v>67129249038.064766</v>
      </c>
      <c r="N481" s="339">
        <v>473763239770.02527</v>
      </c>
      <c r="O481" s="337">
        <v>469</v>
      </c>
      <c r="P481" s="337">
        <v>469</v>
      </c>
      <c r="Q481" s="339">
        <v>118357699738.2724</v>
      </c>
      <c r="R481" s="339">
        <v>156248186191.6041</v>
      </c>
      <c r="S481" s="339">
        <v>108284905601.79866</v>
      </c>
      <c r="T481" s="339">
        <v>74919715071.267578</v>
      </c>
      <c r="U481" s="341">
        <v>469</v>
      </c>
    </row>
  </sheetData>
  <sheetProtection formatCells="0" formatColumns="0" formatRows="0" insertColumns="0" insertRows="0" insertHyperlinks="0" deleteColumns="0" deleteRows="0" sort="0" autoFilter="0" pivotTables="0"/>
  <protectedRanges>
    <protectedRange sqref="B15:L15 B12:I14 K12:L14 B16:I16 K16:L16 B17:L38 A89:L396 A12:A38 A399:L481 A397:E398 G397:L398" name="Rango1_7"/>
    <protectedRange sqref="Q140:T141 Q138:Q139 Q89:S89 Q143:S144 Q142 Q50 Q101:T104 Q124:S124 Q145:Q147 P43 Q132:T132 Q90:Q100 Q129:Q131 Q137:S137 Q133:Q136 Q105:Q123 O336:Q442 R336:T481 O89:P286 O287:T335 Q148:T149 O481:Q481 O445:Q478 O443:P444 R110:T110 Q125:R125 Q128:R128 Q152:T153 Q150:R151 Q157:T157 Q156:R156 Q159:T159 Q158:R158 Q160:R160 Q177:T235 Q173:R176 R238:T238 Q236:R237 Q240:T240 R239 Q244:T245 Q241:R242 Q255:T255 Q254:R254 Q257:T258 Q256:R256 Q261:T261 Q260:R260 Q264:T264 Q262:R263 Q265:R266 Q126:S126 Q155:T155 Q154:S154 Q243:S243 R249:T249 Q246:S246 Q253:T253 R250:S250 Q127:T127 Q238:Q239 R247:S248 R251:T252 Q247:Q252 Q259:S259 O479:P480 Q161:T172 O12:U12 U13:U481 O13:T38 Q267:T286" name="Rango2_1"/>
    <protectedRange sqref="J12:J14 J16 A39:L58" name="Rango1_1_1"/>
    <protectedRange sqref="A59:L78" name="Rango1_2_1"/>
    <protectedRange sqref="Q61:Q63 Q65:Q78 O59:P78 Q59:T60 Q64:T64 T85 T89 T124 T126 T137 T143:T144 T154 T243 T246:T248 T250 T259" name="Rango2_2_1"/>
    <protectedRange sqref="A79:L84" name="Rango1_3_1"/>
    <protectedRange sqref="Q79 Q84:R84 Q83 O79:P84 Q81:T82 Q80:R80" name="Rango2_3_1"/>
    <protectedRange sqref="A85:L88" name="Rango1_4_1"/>
    <protectedRange sqref="Q85:S85 Q88:T88 Q86:Q87 O85:P88" name="Rango2_4_1"/>
    <protectedRange sqref="F397:F398" name="Rango1_5_1"/>
  </protectedRanges>
  <autoFilter ref="A11:S481" xr:uid="{4A8A54E6-0E3C-4D28-A4A6-20A8902E70B4}">
    <filterColumn colId="2">
      <filters>
        <filter val="GERENCIA DE SERVICIO"/>
      </filters>
    </filterColumn>
  </autoFilter>
  <mergeCells count="18">
    <mergeCell ref="A1:A3"/>
    <mergeCell ref="B1:V3"/>
    <mergeCell ref="A4:A5"/>
    <mergeCell ref="A6:A10"/>
    <mergeCell ref="B6:B10"/>
    <mergeCell ref="L6:M10"/>
    <mergeCell ref="K6:K10"/>
    <mergeCell ref="I6:J10"/>
    <mergeCell ref="F6:G10"/>
    <mergeCell ref="E6:E10"/>
    <mergeCell ref="C6:D10"/>
    <mergeCell ref="N6:O10"/>
    <mergeCell ref="P6:Q10"/>
    <mergeCell ref="R6:S10"/>
    <mergeCell ref="T6:U10"/>
    <mergeCell ref="H6:H10"/>
    <mergeCell ref="V6:V10"/>
    <mergeCell ref="E4:E5"/>
  </mergeCells>
  <conditionalFormatting sqref="G4">
    <cfRule type="cellIs" dxfId="121" priority="16" operator="lessThanOrEqual">
      <formula>#REF!</formula>
    </cfRule>
  </conditionalFormatting>
  <conditionalFormatting sqref="H6">
    <cfRule type="cellIs" dxfId="120" priority="14" operator="greaterThanOrEqual">
      <formula>#REF!</formula>
    </cfRule>
    <cfRule type="cellIs" dxfId="119" priority="15" operator="lessThanOrEqual">
      <formula>#REF!</formula>
    </cfRule>
    <cfRule type="cellIs" dxfId="118" priority="17" operator="between">
      <formula>#REF!</formula>
      <formula>#REF!</formula>
    </cfRule>
  </conditionalFormatting>
  <conditionalFormatting sqref="N6">
    <cfRule type="cellIs" dxfId="117" priority="10" operator="greaterThanOrEqual">
      <formula>$G$5</formula>
    </cfRule>
    <cfRule type="cellIs" dxfId="116" priority="11" operator="lessThanOrEqual">
      <formula>$G$4</formula>
    </cfRule>
    <cfRule type="cellIs" dxfId="115" priority="12" operator="between">
      <formula>$G$5</formula>
      <formula>$G$4</formula>
    </cfRule>
  </conditionalFormatting>
  <conditionalFormatting sqref="R6">
    <cfRule type="cellIs" dxfId="114" priority="7" operator="greaterThanOrEqual">
      <formula>$G$5</formula>
    </cfRule>
    <cfRule type="cellIs" dxfId="113" priority="8" operator="lessThanOrEqual">
      <formula>$G$4</formula>
    </cfRule>
    <cfRule type="cellIs" dxfId="112" priority="9" operator="between">
      <formula>$G$5</formula>
      <formula>$G$4</formula>
    </cfRule>
  </conditionalFormatting>
  <dataValidations count="10">
    <dataValidation operator="greaterThanOrEqual" allowBlank="1" showInputMessage="1" showErrorMessage="1" errorTitle="VALOR" error="SOLO VALORES NUMÉRICOS" sqref="O218 R337:T341 Q342:T360 Q338:Q339 R383:T388 Q381:Q388 Q389:T480 Q164:T260 Q12:T162 Q262:T336" xr:uid="{1937C1A9-2E6E-41B4-944B-0C476E5C9FB5}"/>
    <dataValidation type="list" allowBlank="1" showInputMessage="1" showErrorMessage="1" sqref="P382:P386 P389:P480 P323:P371 P12:P260 P262:P320" xr:uid="{B1925A7C-E26D-4F37-88DF-756852338254}">
      <formula1>INDIRECT("EstadoVF_"&amp; O12)</formula1>
    </dataValidation>
    <dataValidation type="list" allowBlank="1" showInputMessage="1" showErrorMessage="1" sqref="P322" xr:uid="{EB4D877B-0195-4C30-99BC-0B73E250319E}">
      <formula1>INDIRECT("EstadoVF_"&amp; O321)</formula1>
    </dataValidation>
    <dataValidation type="list" allowBlank="1" showInputMessage="1" showErrorMessage="1" sqref="O381:O480 O12:O217 O219:O260 O262:O360" xr:uid="{52237D7E-053B-4F39-8784-3C0DC6AB3F19}">
      <formula1>Requiere_VF</formula1>
    </dataValidation>
    <dataValidation type="list" allowBlank="1" showInputMessage="1" showErrorMessage="1" sqref="G370:H370 G382:H402 G403:G413 H403:H429 G430:H480 G272:H314 G320:H360 G262:H270 G12:H96 G98:H260" xr:uid="{D3BE3B33-2C61-413E-A91C-700705776751}">
      <formula1>"ENERO,FEBRERO,MARZO,ABRIL,MAYO,JUNIO,JULIO,AGOSTO,SEPTIEMBRE,OCTUBRE,NOVIEMBRE,DICIEMBRE"</formula1>
    </dataValidation>
    <dataValidation type="whole" operator="greaterThan" allowBlank="1" showInputMessage="1" showErrorMessage="1" sqref="I381:I480 I320:I360 I98:I260 I12:I96 I262:I314" xr:uid="{62FC36EE-2F4C-428D-A2F8-1B7B0638F4C4}">
      <formula1>0</formula1>
    </dataValidation>
    <dataValidation type="decimal" operator="greaterThanOrEqual" allowBlank="1" showInputMessage="1" showErrorMessage="1" sqref="K381:K413 K430:K480 K12:K260 K262:K360" xr:uid="{1B02C09C-FD15-46D7-BC42-7ACCCD6E4649}">
      <formula1>0</formula1>
    </dataValidation>
    <dataValidation type="list" allowBlank="1" showInputMessage="1" showErrorMessage="1" sqref="G271:H271" xr:uid="{36029C1B-0A84-46C0-A036-B26273FF37CC}">
      <formula1>"ENERO, FEBERO, MARZO, ABRIL, MAYO, JUNIO, JULIO, AGOSTO, SEPTIEMBRE, OCTUBRE, NOVIEMBRE, DICIEMBRE"</formula1>
    </dataValidation>
    <dataValidation type="list" allowBlank="1" showInputMessage="1" showErrorMessage="1" sqref="C12:C243" xr:uid="{5BF00FF9-7973-4B73-A8A9-70C952001381}">
      <formula1>INDIRECT(SUBSTITUTE(B12," ","_"))</formula1>
    </dataValidation>
    <dataValidation type="textLength" operator="lessThanOrEqual" allowBlank="1" showInputMessage="1" showErrorMessage="1" sqref="F403 F241:F248 F411:F480 F381:F394 F397:F399 F258:F260 F320:F360 F255 F405:F409 F98:F239 F262:F314 F12:F96" xr:uid="{F4E980F0-9E30-4A04-8EE3-E33FE2712DE6}">
      <formula1>400</formula1>
    </dataValidation>
  </dataValidations>
  <hyperlinks>
    <hyperlink ref="D11" location="'CODIGOS UNSPSC'!A1" display="Códigos UNSPSC" xr:uid="{AD415C3F-5BA0-4A4E-B10E-8B9903CCC432}"/>
  </hyperlinks>
  <pageMargins left="0.7" right="0.7" top="0.75" bottom="0.75" header="0.3" footer="0.3"/>
  <pageSetup scale="11" orientation="portrait" r:id="rId1"/>
  <headerFooter>
    <oddFooter>&amp;C_x000D_&amp;1#&amp;"Calibri"&amp;10&amp;K008000 DOCUMENTO PÚBLICO</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38991-7053-443F-94A9-40E339ACADE8}">
  <dimension ref="A1:AH103"/>
  <sheetViews>
    <sheetView showGridLines="0" view="pageBreakPreview" zoomScale="80" zoomScaleNormal="10" zoomScaleSheetLayoutView="80" zoomScalePageLayoutView="48" workbookViewId="0">
      <selection sqref="A1:C3"/>
    </sheetView>
  </sheetViews>
  <sheetFormatPr baseColWidth="10" defaultColWidth="12.54296875" defaultRowHeight="15" customHeight="1" x14ac:dyDescent="0.35"/>
  <cols>
    <col min="1" max="1" width="7.36328125" style="1" customWidth="1"/>
    <col min="2" max="2" width="37.90625" style="1" customWidth="1"/>
    <col min="3" max="3" width="54.08984375" style="1" customWidth="1"/>
    <col min="4" max="4" width="28.54296875" style="1" customWidth="1"/>
    <col min="5" max="5" width="36.453125" style="1" customWidth="1"/>
    <col min="6" max="6" width="28.54296875" style="1" hidden="1" customWidth="1"/>
    <col min="7" max="10" width="28.54296875" style="1" customWidth="1"/>
    <col min="11" max="12" width="19.54296875" style="1" customWidth="1"/>
    <col min="13" max="13" width="28.54296875" style="1" customWidth="1"/>
    <col min="14" max="14" width="18.36328125" style="1" customWidth="1"/>
    <col min="15" max="17" width="13.6328125" style="1" hidden="1" customWidth="1"/>
    <col min="18" max="30" width="9.54296875" style="1" hidden="1" customWidth="1"/>
    <col min="31" max="31" width="35.6328125" style="1" hidden="1" customWidth="1"/>
    <col min="32" max="34" width="42.54296875" style="1" hidden="1" customWidth="1"/>
    <col min="35" max="16384" width="12.54296875" style="1"/>
  </cols>
  <sheetData>
    <row r="1" spans="1:34" s="55" customFormat="1" ht="15" customHeight="1" x14ac:dyDescent="0.35">
      <c r="A1" s="449"/>
      <c r="B1" s="450"/>
      <c r="C1" s="451"/>
      <c r="D1" s="505" t="s">
        <v>1078</v>
      </c>
      <c r="E1" s="505"/>
      <c r="F1" s="505"/>
      <c r="G1" s="505"/>
      <c r="H1" s="505"/>
      <c r="I1" s="505"/>
      <c r="J1" s="505"/>
      <c r="K1" s="505"/>
      <c r="L1" s="505"/>
      <c r="M1" s="505"/>
      <c r="N1" s="505"/>
      <c r="O1" s="505"/>
      <c r="P1" s="505"/>
      <c r="Q1" s="505"/>
      <c r="R1" s="505"/>
      <c r="S1" s="505"/>
      <c r="T1" s="505"/>
      <c r="U1" s="505"/>
      <c r="V1" s="505"/>
      <c r="W1" s="505"/>
      <c r="X1" s="505"/>
      <c r="Y1" s="505"/>
      <c r="Z1" s="505"/>
      <c r="AA1" s="505"/>
      <c r="AB1" s="505"/>
      <c r="AC1" s="505"/>
      <c r="AD1" s="505"/>
      <c r="AE1" s="505"/>
      <c r="AF1" s="505"/>
      <c r="AG1" s="505"/>
      <c r="AH1" s="505"/>
    </row>
    <row r="2" spans="1:34" s="55" customFormat="1" ht="20.149999999999999" customHeight="1" x14ac:dyDescent="0.35">
      <c r="A2" s="452"/>
      <c r="B2" s="453"/>
      <c r="C2" s="454"/>
      <c r="D2" s="505"/>
      <c r="E2" s="505"/>
      <c r="F2" s="505"/>
      <c r="G2" s="505"/>
      <c r="H2" s="505"/>
      <c r="I2" s="505"/>
      <c r="J2" s="505"/>
      <c r="K2" s="505"/>
      <c r="L2" s="505"/>
      <c r="M2" s="505"/>
      <c r="N2" s="505"/>
      <c r="O2" s="505"/>
      <c r="P2" s="505"/>
      <c r="Q2" s="505"/>
      <c r="R2" s="505"/>
      <c r="S2" s="505"/>
      <c r="T2" s="505"/>
      <c r="U2" s="505"/>
      <c r="V2" s="505"/>
      <c r="W2" s="505"/>
      <c r="X2" s="505"/>
      <c r="Y2" s="505"/>
      <c r="Z2" s="505"/>
      <c r="AA2" s="505"/>
      <c r="AB2" s="505"/>
      <c r="AC2" s="505"/>
      <c r="AD2" s="505"/>
      <c r="AE2" s="505"/>
      <c r="AF2" s="505"/>
      <c r="AG2" s="505"/>
      <c r="AH2" s="505"/>
    </row>
    <row r="3" spans="1:34" s="55" customFormat="1" ht="60" customHeight="1" thickBot="1" x14ac:dyDescent="0.4">
      <c r="A3" s="455"/>
      <c r="B3" s="456"/>
      <c r="C3" s="457"/>
      <c r="D3" s="505"/>
      <c r="E3" s="505"/>
      <c r="F3" s="505"/>
      <c r="G3" s="505"/>
      <c r="H3" s="505"/>
      <c r="I3" s="505"/>
      <c r="J3" s="505"/>
      <c r="K3" s="505"/>
      <c r="L3" s="505"/>
      <c r="M3" s="505"/>
      <c r="N3" s="505"/>
      <c r="O3" s="505"/>
      <c r="P3" s="505"/>
      <c r="Q3" s="505"/>
      <c r="R3" s="505"/>
      <c r="S3" s="505"/>
      <c r="T3" s="505"/>
      <c r="U3" s="505"/>
      <c r="V3" s="505"/>
      <c r="W3" s="505"/>
      <c r="X3" s="505"/>
      <c r="Y3" s="505"/>
      <c r="Z3" s="505"/>
      <c r="AA3" s="505"/>
      <c r="AB3" s="505"/>
      <c r="AC3" s="505"/>
      <c r="AD3" s="505"/>
      <c r="AE3" s="505"/>
      <c r="AF3" s="505"/>
      <c r="AG3" s="505"/>
      <c r="AH3" s="505"/>
    </row>
    <row r="4" spans="1:34" s="55" customFormat="1" ht="60" hidden="1" customHeight="1" thickBot="1" x14ac:dyDescent="0.4">
      <c r="A4" s="447" t="s">
        <v>34</v>
      </c>
      <c r="B4" s="8" t="s">
        <v>35</v>
      </c>
      <c r="C4" s="10">
        <v>0.7</v>
      </c>
      <c r="D4" s="10"/>
      <c r="E4" s="10"/>
      <c r="F4" s="9"/>
      <c r="G4" s="447" t="s">
        <v>36</v>
      </c>
      <c r="H4" s="8" t="s">
        <v>35</v>
      </c>
      <c r="I4" s="10">
        <v>0.7</v>
      </c>
      <c r="J4" s="56"/>
      <c r="K4" s="57"/>
      <c r="L4" s="57"/>
      <c r="M4" s="57"/>
      <c r="N4" s="57"/>
      <c r="O4" s="57"/>
      <c r="P4" s="57"/>
      <c r="Q4" s="57"/>
      <c r="R4" s="57"/>
      <c r="S4" s="57"/>
      <c r="T4" s="57"/>
      <c r="U4" s="57"/>
      <c r="V4" s="57"/>
      <c r="W4" s="57"/>
      <c r="X4" s="57"/>
      <c r="Y4" s="57"/>
      <c r="Z4" s="57"/>
      <c r="AA4" s="57"/>
      <c r="AB4" s="57"/>
      <c r="AC4" s="57"/>
      <c r="AD4" s="57"/>
      <c r="AE4" s="57"/>
      <c r="AF4" s="57"/>
    </row>
    <row r="5" spans="1:34" s="55" customFormat="1" ht="60" hidden="1" customHeight="1" x14ac:dyDescent="0.35">
      <c r="A5" s="447"/>
      <c r="B5" s="8" t="s">
        <v>37</v>
      </c>
      <c r="C5" s="11">
        <v>0.9</v>
      </c>
      <c r="D5" s="11"/>
      <c r="E5" s="11"/>
      <c r="F5" s="11">
        <v>1</v>
      </c>
      <c r="G5" s="447"/>
      <c r="H5" s="8" t="s">
        <v>37</v>
      </c>
      <c r="I5" s="11">
        <v>0.95</v>
      </c>
      <c r="J5" s="56"/>
      <c r="K5" s="57"/>
      <c r="L5" s="57"/>
      <c r="M5" s="57"/>
      <c r="N5" s="57"/>
      <c r="O5" s="57"/>
      <c r="P5" s="57"/>
      <c r="Q5" s="57"/>
      <c r="R5" s="57"/>
      <c r="S5" s="57"/>
      <c r="T5" s="57"/>
      <c r="U5" s="57"/>
      <c r="V5" s="57"/>
      <c r="W5" s="57"/>
      <c r="X5" s="57"/>
      <c r="Y5" s="57"/>
      <c r="Z5" s="57"/>
      <c r="AA5" s="57"/>
      <c r="AB5" s="57"/>
      <c r="AC5" s="57"/>
      <c r="AD5" s="57"/>
      <c r="AE5" s="57"/>
      <c r="AF5" s="57"/>
    </row>
    <row r="6" spans="1:34" ht="20.149999999999999" hidden="1" customHeight="1" x14ac:dyDescent="0.35">
      <c r="A6" s="597" t="s">
        <v>38</v>
      </c>
      <c r="B6" s="597"/>
      <c r="C6" s="534" t="s">
        <v>132</v>
      </c>
      <c r="D6" s="534"/>
      <c r="E6" s="598" t="s">
        <v>40</v>
      </c>
      <c r="F6" s="598"/>
      <c r="G6" s="536">
        <f>+P15+P17+P19+P21</f>
        <v>1</v>
      </c>
      <c r="H6" s="598" t="s">
        <v>256</v>
      </c>
      <c r="I6" s="598"/>
      <c r="J6" s="650">
        <f>+P14+P16+P18+P20</f>
        <v>1</v>
      </c>
      <c r="K6" s="603" t="s">
        <v>41</v>
      </c>
      <c r="L6" s="604"/>
      <c r="M6" s="485">
        <v>0.95</v>
      </c>
      <c r="N6" s="634" t="s">
        <v>1079</v>
      </c>
      <c r="O6" s="635"/>
      <c r="P6" s="471">
        <f>(SUM(X14,X16,X18,X20)/SUM(X15,X17,X19,X21)/M6)</f>
        <v>1.0526315789473684</v>
      </c>
      <c r="Q6" s="472"/>
      <c r="R6" s="609" t="s">
        <v>1080</v>
      </c>
      <c r="S6" s="610"/>
      <c r="T6" s="610"/>
      <c r="U6" s="611"/>
      <c r="V6" s="470">
        <f>SUM(AD14,AD16,AD18,AD20)/SUM(AD15,AD17,AD19,AD21)/M6</f>
        <v>1.0526315789473684</v>
      </c>
      <c r="W6" s="471"/>
      <c r="X6" s="471"/>
      <c r="Y6" s="472"/>
      <c r="Z6" s="656" t="s">
        <v>44</v>
      </c>
      <c r="AA6" s="657"/>
      <c r="AB6" s="657"/>
      <c r="AC6" s="657"/>
      <c r="AD6" s="657"/>
      <c r="AE6" s="657"/>
      <c r="AF6" s="657"/>
      <c r="AG6" s="657"/>
    </row>
    <row r="7" spans="1:34" ht="15" hidden="1" customHeight="1" x14ac:dyDescent="0.35">
      <c r="A7" s="597"/>
      <c r="B7" s="597"/>
      <c r="C7" s="534"/>
      <c r="D7" s="534"/>
      <c r="E7" s="598"/>
      <c r="F7" s="598"/>
      <c r="G7" s="537"/>
      <c r="H7" s="598"/>
      <c r="I7" s="598"/>
      <c r="J7" s="651"/>
      <c r="K7" s="605"/>
      <c r="L7" s="606"/>
      <c r="M7" s="486"/>
      <c r="N7" s="634"/>
      <c r="O7" s="635"/>
      <c r="P7" s="474"/>
      <c r="Q7" s="475"/>
      <c r="R7" s="612"/>
      <c r="S7" s="613"/>
      <c r="T7" s="613"/>
      <c r="U7" s="614"/>
      <c r="V7" s="473"/>
      <c r="W7" s="474"/>
      <c r="X7" s="474"/>
      <c r="Y7" s="475"/>
      <c r="Z7" s="658"/>
      <c r="AA7" s="659"/>
      <c r="AB7" s="659"/>
      <c r="AC7" s="659"/>
      <c r="AD7" s="659"/>
      <c r="AE7" s="659"/>
      <c r="AF7" s="659"/>
      <c r="AG7" s="659"/>
    </row>
    <row r="8" spans="1:34" ht="25.4" hidden="1" customHeight="1" x14ac:dyDescent="0.35">
      <c r="A8" s="597"/>
      <c r="B8" s="597"/>
      <c r="C8" s="534"/>
      <c r="D8" s="534"/>
      <c r="E8" s="598"/>
      <c r="F8" s="598"/>
      <c r="G8" s="537"/>
      <c r="H8" s="598"/>
      <c r="I8" s="598"/>
      <c r="J8" s="651"/>
      <c r="K8" s="605"/>
      <c r="L8" s="606"/>
      <c r="M8" s="486"/>
      <c r="N8" s="634"/>
      <c r="O8" s="635"/>
      <c r="P8" s="474"/>
      <c r="Q8" s="475"/>
      <c r="R8" s="612"/>
      <c r="S8" s="613"/>
      <c r="T8" s="613"/>
      <c r="U8" s="614"/>
      <c r="V8" s="473"/>
      <c r="W8" s="474"/>
      <c r="X8" s="474"/>
      <c r="Y8" s="475"/>
      <c r="Z8" s="658"/>
      <c r="AA8" s="659"/>
      <c r="AB8" s="659"/>
      <c r="AC8" s="659"/>
      <c r="AD8" s="659"/>
      <c r="AE8" s="659"/>
      <c r="AF8" s="659"/>
      <c r="AG8" s="659"/>
    </row>
    <row r="9" spans="1:34" ht="25.4" hidden="1" customHeight="1" thickBot="1" x14ac:dyDescent="0.4">
      <c r="A9" s="597"/>
      <c r="B9" s="597"/>
      <c r="C9" s="534"/>
      <c r="D9" s="534"/>
      <c r="E9" s="598"/>
      <c r="F9" s="598"/>
      <c r="G9" s="537"/>
      <c r="H9" s="598"/>
      <c r="I9" s="598"/>
      <c r="J9" s="651"/>
      <c r="K9" s="605"/>
      <c r="L9" s="606"/>
      <c r="M9" s="486"/>
      <c r="N9" s="634"/>
      <c r="O9" s="635"/>
      <c r="P9" s="474"/>
      <c r="Q9" s="475"/>
      <c r="R9" s="612"/>
      <c r="S9" s="613"/>
      <c r="T9" s="613"/>
      <c r="U9" s="614"/>
      <c r="V9" s="473"/>
      <c r="W9" s="474"/>
      <c r="X9" s="474"/>
      <c r="Y9" s="475"/>
      <c r="Z9" s="658"/>
      <c r="AA9" s="659"/>
      <c r="AB9" s="659"/>
      <c r="AC9" s="659"/>
      <c r="AD9" s="659"/>
      <c r="AE9" s="659"/>
      <c r="AF9" s="659"/>
      <c r="AG9" s="659"/>
    </row>
    <row r="10" spans="1:34" ht="15" hidden="1" customHeight="1" thickBot="1" x14ac:dyDescent="0.4">
      <c r="A10" s="597"/>
      <c r="B10" s="597"/>
      <c r="C10" s="534"/>
      <c r="D10" s="534"/>
      <c r="E10" s="598"/>
      <c r="F10" s="598"/>
      <c r="G10" s="599"/>
      <c r="H10" s="598"/>
      <c r="I10" s="598"/>
      <c r="J10" s="652"/>
      <c r="K10" s="607"/>
      <c r="L10" s="608"/>
      <c r="M10" s="487"/>
      <c r="N10" s="634"/>
      <c r="O10" s="635"/>
      <c r="P10" s="477"/>
      <c r="Q10" s="478"/>
      <c r="R10" s="615"/>
      <c r="S10" s="616"/>
      <c r="T10" s="616"/>
      <c r="U10" s="617"/>
      <c r="V10" s="476"/>
      <c r="W10" s="477"/>
      <c r="X10" s="477"/>
      <c r="Y10" s="478"/>
      <c r="Z10" s="660"/>
      <c r="AA10" s="661"/>
      <c r="AB10" s="661"/>
      <c r="AC10" s="661"/>
      <c r="AD10" s="661"/>
      <c r="AE10" s="661"/>
      <c r="AF10" s="661"/>
      <c r="AG10" s="661"/>
    </row>
    <row r="11" spans="1:34" s="12" customFormat="1" ht="40.4" customHeight="1" thickBot="1" x14ac:dyDescent="0.4">
      <c r="A11" s="432" t="s">
        <v>46</v>
      </c>
      <c r="B11" s="432"/>
      <c r="C11" s="432"/>
      <c r="D11" s="432"/>
      <c r="E11" s="432"/>
      <c r="F11" s="433"/>
      <c r="G11" s="434" t="s">
        <v>47</v>
      </c>
      <c r="H11" s="435"/>
      <c r="I11" s="435"/>
      <c r="J11" s="435"/>
      <c r="K11" s="435"/>
      <c r="L11" s="435"/>
      <c r="M11" s="435"/>
      <c r="N11" s="435"/>
      <c r="O11" s="653" t="s">
        <v>48</v>
      </c>
      <c r="P11" s="654"/>
      <c r="Q11" s="654"/>
      <c r="R11" s="654"/>
      <c r="S11" s="654"/>
      <c r="T11" s="654"/>
      <c r="U11" s="654"/>
      <c r="V11" s="654"/>
      <c r="W11" s="654"/>
      <c r="X11" s="654"/>
      <c r="Y11" s="654"/>
      <c r="Z11" s="654"/>
      <c r="AA11" s="654"/>
      <c r="AB11" s="654"/>
      <c r="AC11" s="654"/>
      <c r="AD11" s="655"/>
      <c r="AE11" s="653" t="s">
        <v>49</v>
      </c>
      <c r="AF11" s="654"/>
      <c r="AG11" s="654"/>
      <c r="AH11" s="654"/>
    </row>
    <row r="12" spans="1:34" ht="39" customHeight="1" x14ac:dyDescent="0.35">
      <c r="A12" s="437" t="s">
        <v>50</v>
      </c>
      <c r="B12" s="439" t="s">
        <v>51</v>
      </c>
      <c r="C12" s="439" t="s">
        <v>52</v>
      </c>
      <c r="D12" s="439" t="s">
        <v>53</v>
      </c>
      <c r="E12" s="439" t="s">
        <v>54</v>
      </c>
      <c r="F12" s="439" t="s">
        <v>29</v>
      </c>
      <c r="G12" s="439" t="s">
        <v>55</v>
      </c>
      <c r="H12" s="439" t="s">
        <v>306</v>
      </c>
      <c r="I12" s="439" t="s">
        <v>57</v>
      </c>
      <c r="J12" s="439" t="s">
        <v>58</v>
      </c>
      <c r="K12" s="439" t="s">
        <v>59</v>
      </c>
      <c r="L12" s="439" t="s">
        <v>60</v>
      </c>
      <c r="M12" s="439" t="s">
        <v>61</v>
      </c>
      <c r="N12" s="439" t="s">
        <v>62</v>
      </c>
      <c r="O12" s="681" t="s">
        <v>63</v>
      </c>
      <c r="P12" s="682" t="s">
        <v>64</v>
      </c>
      <c r="Q12" s="683" t="s">
        <v>65</v>
      </c>
      <c r="R12" s="669" t="s">
        <v>66</v>
      </c>
      <c r="S12" s="667" t="s">
        <v>67</v>
      </c>
      <c r="T12" s="665" t="s">
        <v>68</v>
      </c>
      <c r="U12" s="671" t="s">
        <v>69</v>
      </c>
      <c r="V12" s="673" t="s">
        <v>70</v>
      </c>
      <c r="W12" s="671" t="s">
        <v>71</v>
      </c>
      <c r="X12" s="665" t="s">
        <v>71</v>
      </c>
      <c r="Y12" s="667" t="s">
        <v>73</v>
      </c>
      <c r="Z12" s="669" t="s">
        <v>74</v>
      </c>
      <c r="AA12" s="667" t="s">
        <v>75</v>
      </c>
      <c r="AB12" s="665" t="s">
        <v>76</v>
      </c>
      <c r="AC12" s="671" t="s">
        <v>77</v>
      </c>
      <c r="AD12" s="662" t="s">
        <v>78</v>
      </c>
      <c r="AE12" s="664" t="s">
        <v>79</v>
      </c>
      <c r="AF12" s="664" t="s">
        <v>80</v>
      </c>
      <c r="AG12" s="664" t="s">
        <v>81</v>
      </c>
      <c r="AH12" s="664" t="s">
        <v>82</v>
      </c>
    </row>
    <row r="13" spans="1:34" ht="60" customHeight="1" thickBot="1" x14ac:dyDescent="0.4">
      <c r="A13" s="438"/>
      <c r="B13" s="438"/>
      <c r="C13" s="438"/>
      <c r="D13" s="438"/>
      <c r="E13" s="438"/>
      <c r="F13" s="438"/>
      <c r="G13" s="438"/>
      <c r="H13" s="438"/>
      <c r="I13" s="438"/>
      <c r="J13" s="438"/>
      <c r="K13" s="438"/>
      <c r="L13" s="438"/>
      <c r="M13" s="438"/>
      <c r="N13" s="438"/>
      <c r="O13" s="681"/>
      <c r="P13" s="682"/>
      <c r="Q13" s="683"/>
      <c r="R13" s="670"/>
      <c r="S13" s="668"/>
      <c r="T13" s="666"/>
      <c r="U13" s="672"/>
      <c r="V13" s="674"/>
      <c r="W13" s="672"/>
      <c r="X13" s="666"/>
      <c r="Y13" s="668"/>
      <c r="Z13" s="670"/>
      <c r="AA13" s="668"/>
      <c r="AB13" s="666"/>
      <c r="AC13" s="672"/>
      <c r="AD13" s="663"/>
      <c r="AE13" s="664"/>
      <c r="AF13" s="664"/>
      <c r="AG13" s="664"/>
      <c r="AH13" s="664"/>
    </row>
    <row r="14" spans="1:34" ht="40.4" customHeight="1" thickBot="1" x14ac:dyDescent="0.4">
      <c r="A14" s="426">
        <v>1</v>
      </c>
      <c r="B14" s="426" t="s">
        <v>99</v>
      </c>
      <c r="C14" s="426" t="s">
        <v>129</v>
      </c>
      <c r="D14" s="426" t="s">
        <v>130</v>
      </c>
      <c r="E14" s="426" t="s">
        <v>131</v>
      </c>
      <c r="F14" s="424"/>
      <c r="G14" s="426" t="s">
        <v>132</v>
      </c>
      <c r="H14" s="675" t="s">
        <v>1081</v>
      </c>
      <c r="I14" s="426" t="s">
        <v>1082</v>
      </c>
      <c r="J14" s="416" t="s">
        <v>1083</v>
      </c>
      <c r="K14" s="416" t="s">
        <v>264</v>
      </c>
      <c r="L14" s="416" t="s">
        <v>92</v>
      </c>
      <c r="M14" s="419">
        <v>46023</v>
      </c>
      <c r="N14" s="419">
        <v>46387</v>
      </c>
      <c r="O14" s="59" t="s">
        <v>93</v>
      </c>
      <c r="P14" s="53">
        <f>+(P15*Q14)</f>
        <v>0.25</v>
      </c>
      <c r="Q14" s="65">
        <f t="shared" ref="Q14:Q21" si="0">SUM(R14:AD14)</f>
        <v>1</v>
      </c>
      <c r="R14" s="43"/>
      <c r="S14" s="43"/>
      <c r="T14" s="43"/>
      <c r="U14" s="43"/>
      <c r="V14" s="43"/>
      <c r="W14" s="43"/>
      <c r="X14" s="43">
        <v>0.5</v>
      </c>
      <c r="Y14" s="43"/>
      <c r="Z14" s="44"/>
      <c r="AA14" s="44"/>
      <c r="AB14" s="44"/>
      <c r="AC14" s="44"/>
      <c r="AD14" s="44">
        <v>0.5</v>
      </c>
      <c r="AE14" s="589" t="s">
        <v>1084</v>
      </c>
      <c r="AF14" s="589" t="s">
        <v>1085</v>
      </c>
      <c r="AG14" s="589" t="s">
        <v>1086</v>
      </c>
      <c r="AH14" s="589" t="s">
        <v>1087</v>
      </c>
    </row>
    <row r="15" spans="1:34" ht="37.4" customHeight="1" thickBot="1" x14ac:dyDescent="0.4">
      <c r="A15" s="427"/>
      <c r="B15" s="427"/>
      <c r="C15" s="427"/>
      <c r="D15" s="427"/>
      <c r="E15" s="427"/>
      <c r="F15" s="441"/>
      <c r="G15" s="427"/>
      <c r="H15" s="676"/>
      <c r="I15" s="427"/>
      <c r="J15" s="417"/>
      <c r="K15" s="417"/>
      <c r="L15" s="417"/>
      <c r="M15" s="417"/>
      <c r="N15" s="417"/>
      <c r="O15" s="59" t="s">
        <v>98</v>
      </c>
      <c r="P15" s="52">
        <f>100%/4</f>
        <v>0.25</v>
      </c>
      <c r="Q15" s="65">
        <f t="shared" si="0"/>
        <v>1</v>
      </c>
      <c r="R15" s="42"/>
      <c r="S15" s="42"/>
      <c r="T15" s="42"/>
      <c r="U15" s="42"/>
      <c r="V15" s="42"/>
      <c r="W15" s="42"/>
      <c r="X15" s="42">
        <v>0.5</v>
      </c>
      <c r="Y15" s="42"/>
      <c r="Z15" s="42"/>
      <c r="AA15" s="42"/>
      <c r="AB15" s="42"/>
      <c r="AC15" s="42"/>
      <c r="AD15" s="42">
        <v>0.5</v>
      </c>
      <c r="AE15" s="590"/>
      <c r="AF15" s="590"/>
      <c r="AG15" s="590"/>
      <c r="AH15" s="590"/>
    </row>
    <row r="16" spans="1:34" ht="37.4" customHeight="1" thickBot="1" x14ac:dyDescent="0.4">
      <c r="A16" s="426">
        <v>2</v>
      </c>
      <c r="B16" s="426" t="s">
        <v>99</v>
      </c>
      <c r="C16" s="426" t="s">
        <v>129</v>
      </c>
      <c r="D16" s="426" t="s">
        <v>130</v>
      </c>
      <c r="E16" s="426" t="s">
        <v>131</v>
      </c>
      <c r="F16" s="424"/>
      <c r="G16" s="426" t="s">
        <v>132</v>
      </c>
      <c r="H16" s="426" t="s">
        <v>1088</v>
      </c>
      <c r="I16" s="426" t="s">
        <v>1089</v>
      </c>
      <c r="J16" s="416" t="s">
        <v>1083</v>
      </c>
      <c r="K16" s="416" t="s">
        <v>1090</v>
      </c>
      <c r="L16" s="416" t="s">
        <v>92</v>
      </c>
      <c r="M16" s="419">
        <v>46023</v>
      </c>
      <c r="N16" s="419">
        <v>46387</v>
      </c>
      <c r="O16" s="59" t="s">
        <v>93</v>
      </c>
      <c r="P16" s="53">
        <f>+(P17*Q16)</f>
        <v>0.25</v>
      </c>
      <c r="Q16" s="65">
        <f t="shared" si="0"/>
        <v>1</v>
      </c>
      <c r="R16" s="43"/>
      <c r="S16" s="43"/>
      <c r="T16" s="43"/>
      <c r="U16" s="43"/>
      <c r="V16" s="43"/>
      <c r="W16" s="43"/>
      <c r="X16" s="43">
        <v>0.5</v>
      </c>
      <c r="Y16" s="43"/>
      <c r="Z16" s="44"/>
      <c r="AA16" s="44"/>
      <c r="AB16" s="44"/>
      <c r="AC16" s="44"/>
      <c r="AD16" s="44">
        <v>0.5</v>
      </c>
      <c r="AE16" s="577"/>
      <c r="AF16" s="589" t="s">
        <v>1091</v>
      </c>
      <c r="AG16" s="677"/>
      <c r="AH16" s="589" t="s">
        <v>1092</v>
      </c>
    </row>
    <row r="17" spans="1:34" ht="37.4" customHeight="1" thickBot="1" x14ac:dyDescent="0.4">
      <c r="A17" s="427"/>
      <c r="B17" s="427"/>
      <c r="C17" s="427"/>
      <c r="D17" s="427"/>
      <c r="E17" s="427"/>
      <c r="F17" s="425"/>
      <c r="G17" s="427"/>
      <c r="H17" s="427"/>
      <c r="I17" s="427"/>
      <c r="J17" s="417"/>
      <c r="K17" s="417"/>
      <c r="L17" s="417"/>
      <c r="M17" s="417"/>
      <c r="N17" s="417"/>
      <c r="O17" s="59" t="s">
        <v>98</v>
      </c>
      <c r="P17" s="52">
        <f>100%/4</f>
        <v>0.25</v>
      </c>
      <c r="Q17" s="65">
        <f t="shared" si="0"/>
        <v>1</v>
      </c>
      <c r="R17" s="42"/>
      <c r="S17" s="42"/>
      <c r="T17" s="42"/>
      <c r="U17" s="42"/>
      <c r="V17" s="42"/>
      <c r="W17" s="42"/>
      <c r="X17" s="42">
        <v>0.5</v>
      </c>
      <c r="Y17" s="42"/>
      <c r="Z17" s="42"/>
      <c r="AA17" s="42"/>
      <c r="AB17" s="42"/>
      <c r="AC17" s="42"/>
      <c r="AD17" s="42">
        <v>0.5</v>
      </c>
      <c r="AE17" s="578"/>
      <c r="AF17" s="590"/>
      <c r="AG17" s="678"/>
      <c r="AH17" s="590"/>
    </row>
    <row r="18" spans="1:34" ht="37.4" customHeight="1" thickBot="1" x14ac:dyDescent="0.4">
      <c r="A18" s="426">
        <v>3</v>
      </c>
      <c r="B18" s="426" t="s">
        <v>99</v>
      </c>
      <c r="C18" s="426" t="s">
        <v>129</v>
      </c>
      <c r="D18" s="426" t="s">
        <v>130</v>
      </c>
      <c r="E18" s="426" t="s">
        <v>131</v>
      </c>
      <c r="F18" s="424"/>
      <c r="G18" s="426" t="s">
        <v>132</v>
      </c>
      <c r="H18" s="426" t="s">
        <v>1093</v>
      </c>
      <c r="I18" s="426" t="s">
        <v>1094</v>
      </c>
      <c r="J18" s="416" t="s">
        <v>1083</v>
      </c>
      <c r="K18" s="426" t="s">
        <v>1095</v>
      </c>
      <c r="L18" s="416" t="s">
        <v>179</v>
      </c>
      <c r="M18" s="419">
        <v>46023</v>
      </c>
      <c r="N18" s="419">
        <v>46387</v>
      </c>
      <c r="O18" s="59" t="s">
        <v>93</v>
      </c>
      <c r="P18" s="53">
        <f>+(P19*Q18)</f>
        <v>0.25</v>
      </c>
      <c r="Q18" s="65">
        <f t="shared" si="0"/>
        <v>1</v>
      </c>
      <c r="R18" s="43"/>
      <c r="S18" s="43"/>
      <c r="T18" s="43"/>
      <c r="U18" s="43"/>
      <c r="V18" s="43"/>
      <c r="W18" s="43"/>
      <c r="X18" s="43">
        <v>0.5</v>
      </c>
      <c r="Y18" s="43"/>
      <c r="Z18" s="44"/>
      <c r="AA18" s="44"/>
      <c r="AB18" s="44"/>
      <c r="AC18" s="44"/>
      <c r="AD18" s="44">
        <v>0.5</v>
      </c>
      <c r="AE18" s="577"/>
      <c r="AF18" s="589" t="s">
        <v>1096</v>
      </c>
      <c r="AG18" s="677"/>
      <c r="AH18" s="677" t="s">
        <v>1097</v>
      </c>
    </row>
    <row r="19" spans="1:34" ht="37.4" customHeight="1" thickBot="1" x14ac:dyDescent="0.4">
      <c r="A19" s="427"/>
      <c r="B19" s="427"/>
      <c r="C19" s="427"/>
      <c r="D19" s="427"/>
      <c r="E19" s="427"/>
      <c r="F19" s="425"/>
      <c r="G19" s="427"/>
      <c r="H19" s="427"/>
      <c r="I19" s="427"/>
      <c r="J19" s="417"/>
      <c r="K19" s="427"/>
      <c r="L19" s="417"/>
      <c r="M19" s="417"/>
      <c r="N19" s="417"/>
      <c r="O19" s="59" t="s">
        <v>98</v>
      </c>
      <c r="P19" s="52">
        <f>100%/4</f>
        <v>0.25</v>
      </c>
      <c r="Q19" s="65">
        <f t="shared" si="0"/>
        <v>1</v>
      </c>
      <c r="R19" s="42"/>
      <c r="S19" s="42"/>
      <c r="T19" s="42"/>
      <c r="U19" s="42"/>
      <c r="V19" s="42"/>
      <c r="W19" s="42"/>
      <c r="X19" s="42">
        <v>0.5</v>
      </c>
      <c r="Y19" s="42"/>
      <c r="Z19" s="42"/>
      <c r="AA19" s="42"/>
      <c r="AB19" s="42"/>
      <c r="AC19" s="42"/>
      <c r="AD19" s="42">
        <v>0.5</v>
      </c>
      <c r="AE19" s="578"/>
      <c r="AF19" s="590"/>
      <c r="AG19" s="678"/>
      <c r="AH19" s="678"/>
    </row>
    <row r="20" spans="1:34" ht="37.4" customHeight="1" thickBot="1" x14ac:dyDescent="0.4">
      <c r="A20" s="426">
        <v>4</v>
      </c>
      <c r="B20" s="426" t="s">
        <v>99</v>
      </c>
      <c r="C20" s="426" t="s">
        <v>129</v>
      </c>
      <c r="D20" s="426" t="s">
        <v>130</v>
      </c>
      <c r="E20" s="426" t="s">
        <v>131</v>
      </c>
      <c r="F20" s="424"/>
      <c r="G20" s="426" t="s">
        <v>132</v>
      </c>
      <c r="H20" s="426" t="s">
        <v>1098</v>
      </c>
      <c r="I20" s="426" t="s">
        <v>1099</v>
      </c>
      <c r="J20" s="426" t="s">
        <v>1083</v>
      </c>
      <c r="K20" s="426" t="s">
        <v>1100</v>
      </c>
      <c r="L20" s="416" t="s">
        <v>92</v>
      </c>
      <c r="M20" s="419">
        <v>46023</v>
      </c>
      <c r="N20" s="419">
        <v>46387</v>
      </c>
      <c r="O20" s="59" t="s">
        <v>93</v>
      </c>
      <c r="P20" s="53">
        <f>+(P21*Q20)</f>
        <v>0.25</v>
      </c>
      <c r="Q20" s="65">
        <f t="shared" si="0"/>
        <v>1</v>
      </c>
      <c r="R20" s="43"/>
      <c r="S20" s="43"/>
      <c r="T20" s="43"/>
      <c r="U20" s="43"/>
      <c r="V20" s="43"/>
      <c r="W20" s="43"/>
      <c r="X20" s="43"/>
      <c r="Y20" s="43"/>
      <c r="Z20" s="44"/>
      <c r="AA20" s="44"/>
      <c r="AB20" s="44"/>
      <c r="AC20" s="44"/>
      <c r="AD20" s="44">
        <v>1</v>
      </c>
      <c r="AE20" s="589" t="s">
        <v>1101</v>
      </c>
      <c r="AF20" s="589" t="s">
        <v>1102</v>
      </c>
      <c r="AG20" s="677" t="s">
        <v>1103</v>
      </c>
      <c r="AH20" s="677" t="s">
        <v>1104</v>
      </c>
    </row>
    <row r="21" spans="1:34" ht="37.4" customHeight="1" x14ac:dyDescent="0.35">
      <c r="A21" s="427"/>
      <c r="B21" s="427"/>
      <c r="C21" s="427"/>
      <c r="D21" s="427"/>
      <c r="E21" s="427"/>
      <c r="F21" s="425"/>
      <c r="G21" s="679"/>
      <c r="H21" s="679"/>
      <c r="I21" s="679"/>
      <c r="J21" s="679"/>
      <c r="K21" s="679"/>
      <c r="L21" s="417"/>
      <c r="M21" s="572"/>
      <c r="N21" s="572"/>
      <c r="O21" s="59" t="s">
        <v>98</v>
      </c>
      <c r="P21" s="52">
        <f>100%/4</f>
        <v>0.25</v>
      </c>
      <c r="Q21" s="65">
        <f t="shared" si="0"/>
        <v>1</v>
      </c>
      <c r="R21" s="42"/>
      <c r="S21" s="42"/>
      <c r="T21" s="42"/>
      <c r="U21" s="42"/>
      <c r="V21" s="42"/>
      <c r="W21" s="42"/>
      <c r="X21" s="42"/>
      <c r="Y21" s="42"/>
      <c r="Z21" s="42"/>
      <c r="AA21" s="42"/>
      <c r="AB21" s="42"/>
      <c r="AC21" s="42"/>
      <c r="AD21" s="42">
        <v>1</v>
      </c>
      <c r="AE21" s="590"/>
      <c r="AF21" s="590"/>
      <c r="AG21" s="678"/>
      <c r="AH21" s="678"/>
    </row>
    <row r="23" spans="1:34" s="13" customFormat="1" ht="30" hidden="1" customHeight="1" x14ac:dyDescent="0.35">
      <c r="D23" s="421" t="s">
        <v>41</v>
      </c>
      <c r="E23" s="421"/>
      <c r="F23" s="21">
        <v>1</v>
      </c>
      <c r="H23" s="680" t="s">
        <v>1105</v>
      </c>
      <c r="I23" s="22" t="s">
        <v>153</v>
      </c>
      <c r="J23" s="54" t="e">
        <f>SUM(O23:AC23)</f>
        <v>#REF!</v>
      </c>
      <c r="K23" s="33"/>
      <c r="L23" s="33"/>
      <c r="M23" s="33"/>
      <c r="N23" s="33"/>
      <c r="O23" s="33" t="e">
        <f>+(AC14*$P$15)+(AC16*$P$17)+(AC18*$P$19)+(AC20*$P$21)+(#REF!*#REF!)+(#REF!*#REF!)+(#REF!*#REF!)+(#REF!*#REF!)+(#REF!*#REF!)+(#REF!*#REF!)+(#REF!*#REF!)+(#REF!*#REF!)+(#REF!*#REF!)</f>
        <v>#REF!</v>
      </c>
      <c r="P23" s="36" t="e">
        <f>+(#REF!*$P$15)+(#REF!*$P$17)+(#REF!*$P$19)+(#REF!*$P$21)+(#REF!*#REF!)+(#REF!*#REF!)+(#REF!*#REF!)+(#REF!*#REF!)+(#REF!*#REF!)+(#REF!*#REF!)+(#REF!*#REF!)+(#REF!*#REF!)+(#REF!*#REF!)</f>
        <v>#REF!</v>
      </c>
      <c r="Q23" s="33" t="e">
        <f>+(#REF!*$P$15)+(#REF!*$P$17)+(#REF!*$P$19)+(#REF!*$P$21)+(#REF!*#REF!)+(#REF!*#REF!)+(#REF!*#REF!)+(#REF!*#REF!)+(#REF!*#REF!)+(#REF!*#REF!)+(#REF!*#REF!)+(#REF!*#REF!)+(#REF!*#REF!)</f>
        <v>#REF!</v>
      </c>
      <c r="R23" s="33" t="e">
        <f>+(#REF!*$P$15)+(#REF!*$P$17)+(#REF!*$P$19)+(#REF!*$P$21)+(#REF!*#REF!)+(#REF!*#REF!)+(#REF!*#REF!)+(#REF!*#REF!)+(#REF!*#REF!)+(#REF!*#REF!)+(#REF!*#REF!)+(#REF!*#REF!)+(#REF!*#REF!)</f>
        <v>#REF!</v>
      </c>
      <c r="S23" s="33" t="e">
        <f>+(#REF!*$P$15)+(#REF!*$P$17)+(#REF!*$P$19)+(#REF!*$P$21)+(#REF!*#REF!)+(#REF!*#REF!)+(#REF!*#REF!)+(#REF!*#REF!)+(#REF!*#REF!)+(#REF!*#REF!)+(#REF!*#REF!)+(#REF!*#REF!)+(#REF!*#REF!)</f>
        <v>#REF!</v>
      </c>
      <c r="T23" s="33" t="e">
        <f>+(#REF!*$P$15)+(#REF!*$P$17)+(#REF!*$P$19)+(#REF!*$P$21)+(#REF!*#REF!)+(#REF!*#REF!)+(#REF!*#REF!)+(#REF!*#REF!)+(#REF!*#REF!)+(#REF!*#REF!)+(#REF!*#REF!)+(#REF!*#REF!)+(#REF!*#REF!)</f>
        <v>#REF!</v>
      </c>
      <c r="U23" s="33" t="e">
        <f>+(#REF!*$P$15)+(#REF!*$P$17)+(#REF!*$P$19)+(#REF!*$P$21)+(#REF!*#REF!)+(#REF!*#REF!)+(#REF!*#REF!)+(#REF!*#REF!)+(#REF!*#REF!)+(#REF!*#REF!)+(#REF!*#REF!)+(#REF!*#REF!)+(#REF!*#REF!)</f>
        <v>#REF!</v>
      </c>
      <c r="V23" s="33" t="e">
        <f>+(#REF!*$P$15)+(#REF!*$P$17)+(#REF!*$P$19)+(#REF!*$P$21)+(#REF!*#REF!)+(#REF!*#REF!)+(#REF!*#REF!)+(#REF!*#REF!)+(#REF!*#REF!)+(#REF!*#REF!)+(#REF!*#REF!)+(#REF!*#REF!)+(#REF!*#REF!)</f>
        <v>#REF!</v>
      </c>
      <c r="W23" s="33" t="e">
        <f>+(#REF!*$P$15)+(#REF!*$P$17)+(#REF!*$P$19)+(#REF!*$P$21)+(#REF!*#REF!)+(#REF!*#REF!)+(#REF!*#REF!)+(#REF!*#REF!)+(#REF!*#REF!)+(#REF!*#REF!)+(#REF!*#REF!)+(#REF!*#REF!)+(#REF!*#REF!)</f>
        <v>#REF!</v>
      </c>
      <c r="X23" s="33" t="e">
        <f>+(#REF!*$P$15)+(#REF!*$P$17)+(#REF!*$P$19)+(#REF!*$P$21)+(#REF!*#REF!)+(#REF!*#REF!)+(#REF!*#REF!)+(#REF!*#REF!)+(#REF!*#REF!)+(#REF!*#REF!)+(#REF!*#REF!)+(#REF!*#REF!)+(#REF!*#REF!)</f>
        <v>#REF!</v>
      </c>
      <c r="Y23" s="33" t="e">
        <f>+(#REF!*$P$15)+(#REF!*$P$17)+(#REF!*$P$19)+(#REF!*$P$21)+(#REF!*#REF!)+(#REF!*#REF!)+(#REF!*#REF!)+(#REF!*#REF!)+(#REF!*#REF!)+(#REF!*#REF!)+(#REF!*#REF!)+(#REF!*#REF!)+(#REF!*#REF!)</f>
        <v>#REF!</v>
      </c>
      <c r="Z23" s="33" t="e">
        <f>+(#REF!*$P$15)+(#REF!*$P$17)+(#REF!*$P$19)+(#REF!*$P$21)+(#REF!*#REF!)+(#REF!*#REF!)+(#REF!*#REF!)+(#REF!*#REF!)+(#REF!*#REF!)+(#REF!*#REF!)+(#REF!*#REF!)+(#REF!*#REF!)+(#REF!*#REF!)</f>
        <v>#REF!</v>
      </c>
      <c r="AA23" s="33" t="e">
        <f>+(#REF!*$P$15)+(#REF!*$P$17)+(#REF!*$P$19)+(#REF!*$P$21)+(#REF!*#REF!)+(#REF!*#REF!)+(#REF!*#REF!)+(#REF!*#REF!)+(#REF!*#REF!)+(#REF!*#REF!)+(#REF!*#REF!)+(#REF!*#REF!)+(#REF!*#REF!)</f>
        <v>#REF!</v>
      </c>
      <c r="AB23" s="36" t="e">
        <f>+(#REF!*$P$15)+(#REF!*$P$17)+(#REF!*$P$19)+(#REF!*$P$21)+(#REF!*#REF!)+(#REF!*#REF!)+(#REF!*#REF!)+(#REF!*#REF!)+(#REF!*#REF!)+(#REF!*#REF!)+(#REF!*#REF!)+(#REF!*#REF!)+(#REF!*#REF!)</f>
        <v>#REF!</v>
      </c>
      <c r="AC23" s="33" t="e">
        <f>+(#REF!*$P$15)+(#REF!*$P$17)+(#REF!*$P$19)+(#REF!*$P$21)+(#REF!*#REF!)+(#REF!*#REF!)+(#REF!*#REF!)+(#REF!*#REF!)+(#REF!*#REF!)+(#REF!*#REF!)+(#REF!*#REF!)+(#REF!*#REF!)+(#REF!*#REF!)</f>
        <v>#REF!</v>
      </c>
      <c r="AD23" s="60"/>
    </row>
    <row r="24" spans="1:34" s="13" customFormat="1" ht="30" hidden="1" customHeight="1" x14ac:dyDescent="0.35">
      <c r="D24" s="421"/>
      <c r="E24" s="421"/>
      <c r="F24" s="21"/>
      <c r="H24" s="594"/>
      <c r="I24" s="15" t="s">
        <v>154</v>
      </c>
      <c r="J24" s="17"/>
      <c r="K24" s="34"/>
      <c r="L24" s="34"/>
      <c r="M24" s="34"/>
      <c r="N24" s="34"/>
      <c r="O24" s="34" t="e">
        <f>SUM(O23:O23)</f>
        <v>#REF!</v>
      </c>
      <c r="P24" s="37"/>
      <c r="Q24" s="34"/>
      <c r="R24" s="34"/>
      <c r="S24" s="27" t="e">
        <f>SUM(P23:S23)</f>
        <v>#REF!</v>
      </c>
      <c r="T24" s="27"/>
      <c r="U24" s="27"/>
      <c r="V24" s="27"/>
      <c r="W24" s="27" t="e">
        <f>SUM(T23:W23)</f>
        <v>#REF!</v>
      </c>
      <c r="X24" s="27"/>
      <c r="Y24" s="27"/>
      <c r="Z24" s="27"/>
      <c r="AA24" s="27" t="e">
        <f>SUM(X23:AA23)</f>
        <v>#REF!</v>
      </c>
      <c r="AB24" s="39"/>
      <c r="AC24" s="27"/>
      <c r="AD24" s="61"/>
    </row>
    <row r="25" spans="1:34" s="13" customFormat="1" ht="30" hidden="1" customHeight="1" x14ac:dyDescent="0.35">
      <c r="H25" s="594"/>
      <c r="I25" s="15" t="s">
        <v>155</v>
      </c>
      <c r="J25" s="14"/>
      <c r="K25" s="34"/>
      <c r="L25" s="34"/>
      <c r="M25" s="34"/>
      <c r="N25" s="34"/>
      <c r="O25" s="34" t="e">
        <f>+#REF!+O24</f>
        <v>#REF!</v>
      </c>
      <c r="P25" s="37"/>
      <c r="Q25" s="34"/>
      <c r="R25" s="34"/>
      <c r="S25" s="26"/>
      <c r="T25" s="27"/>
      <c r="U25" s="27"/>
      <c r="V25" s="27"/>
      <c r="W25" s="27"/>
      <c r="X25" s="27"/>
      <c r="Y25" s="27"/>
      <c r="Z25" s="27"/>
      <c r="AA25" s="27" t="e">
        <f>+S24+W24+AA24</f>
        <v>#REF!</v>
      </c>
      <c r="AB25" s="39"/>
      <c r="AC25" s="27"/>
      <c r="AD25" s="61"/>
    </row>
    <row r="26" spans="1:34" s="13" customFormat="1" ht="30" hidden="1" customHeight="1" thickBot="1" x14ac:dyDescent="0.4">
      <c r="H26" s="595"/>
      <c r="I26" s="18" t="s">
        <v>156</v>
      </c>
      <c r="J26" s="19"/>
      <c r="K26" s="35"/>
      <c r="L26" s="35"/>
      <c r="M26" s="35"/>
      <c r="N26" s="35"/>
      <c r="O26" s="35"/>
      <c r="P26" s="38"/>
      <c r="Q26" s="35"/>
      <c r="R26" s="35"/>
      <c r="S26" s="28"/>
      <c r="T26" s="29"/>
      <c r="U26" s="29"/>
      <c r="V26" s="29"/>
      <c r="W26" s="29"/>
      <c r="X26" s="29"/>
      <c r="Y26" s="29"/>
      <c r="Z26" s="29"/>
      <c r="AA26" s="29" t="e">
        <f>+O25+AA25</f>
        <v>#REF!</v>
      </c>
      <c r="AB26" s="40"/>
      <c r="AC26" s="29"/>
      <c r="AD26" s="61"/>
    </row>
    <row r="27" spans="1:34" s="13" customFormat="1" ht="30" hidden="1" customHeight="1" x14ac:dyDescent="0.35">
      <c r="H27" s="593" t="s">
        <v>330</v>
      </c>
      <c r="I27" s="15" t="s">
        <v>157</v>
      </c>
      <c r="J27" s="23" t="e">
        <f>SUM(O27:AC27)</f>
        <v>#REF!</v>
      </c>
      <c r="K27" s="34"/>
      <c r="L27" s="34"/>
      <c r="M27" s="34"/>
      <c r="N27" s="34"/>
      <c r="O27" s="34" t="e">
        <f>+(AC15*$P$15)+(AC17*$P$17)+(AC19*$P$19)+(AC21*$P$21)+(#REF!*#REF!)+(#REF!*#REF!)+(#REF!*#REF!)+(#REF!*#REF!)+(#REF!*#REF!)+(#REF!*#REF!)+(#REF!*#REF!)+(#REF!*#REF!)+(#REF!*#REF!)</f>
        <v>#REF!</v>
      </c>
      <c r="P27" s="37" t="e">
        <f>+(#REF!*$P$15)+(#REF!*$P$17)+(#REF!*$P$19)+(#REF!*$P$21)+(#REF!*#REF!)+(#REF!*#REF!)+(#REF!*#REF!)+(#REF!*#REF!)+(#REF!*#REF!)+(#REF!*#REF!)+(#REF!*#REF!)+(#REF!*#REF!)+(#REF!*#REF!)</f>
        <v>#REF!</v>
      </c>
      <c r="Q27" s="34" t="e">
        <f>+(#REF!*$P$15)+(#REF!*$P$17)+(#REF!*$P$19)+(#REF!*$P$21)+(#REF!*#REF!)+(#REF!*#REF!)+(#REF!*#REF!)+(#REF!*#REF!)+(#REF!*#REF!)+(#REF!*#REF!)+(#REF!*#REF!)+(#REF!*#REF!)+(#REF!*#REF!)</f>
        <v>#REF!</v>
      </c>
      <c r="R27" s="34" t="e">
        <f>+(#REF!*$P$15)+(#REF!*$P$17)+(#REF!*$P$19)+(#REF!*$P$21)+(#REF!*#REF!)+(#REF!*#REF!)+(#REF!*#REF!)+(#REF!*#REF!)+(#REF!*#REF!)+(#REF!*#REF!)+(#REF!*#REF!)+(#REF!*#REF!)+(#REF!*#REF!)</f>
        <v>#REF!</v>
      </c>
      <c r="S27" s="34" t="e">
        <f>+(#REF!*$P$15)+(#REF!*$P$17)+(#REF!*$P$19)+(#REF!*$P$21)+(#REF!*#REF!)+(#REF!*#REF!)+(#REF!*#REF!)+(#REF!*#REF!)+(#REF!*#REF!)+(#REF!*#REF!)+(#REF!*#REF!)+(#REF!*#REF!)+(#REF!*#REF!)</f>
        <v>#REF!</v>
      </c>
      <c r="T27" s="34" t="e">
        <f>+(#REF!*$P$15)+(#REF!*$P$17)+(#REF!*$P$19)+(#REF!*$P$21)+(#REF!*#REF!)+(#REF!*#REF!)+(#REF!*#REF!)+(#REF!*#REF!)+(#REF!*#REF!)+(#REF!*#REF!)+(#REF!*#REF!)+(#REF!*#REF!)+(#REF!*#REF!)</f>
        <v>#REF!</v>
      </c>
      <c r="U27" s="34" t="e">
        <f>+(#REF!*$P$15)+(#REF!*$P$17)+(#REF!*$P$19)+(#REF!*$P$21)+(#REF!*#REF!)+(#REF!*#REF!)+(#REF!*#REF!)+(#REF!*#REF!)+(#REF!*#REF!)+(#REF!*#REF!)+(#REF!*#REF!)+(#REF!*#REF!)+(#REF!*#REF!)</f>
        <v>#REF!</v>
      </c>
      <c r="V27" s="34" t="e">
        <f>+(#REF!*$P$15)+(#REF!*$P$17)+(#REF!*$P$19)+(#REF!*$P$21)+(#REF!*#REF!)+(#REF!*#REF!)+(#REF!*#REF!)+(#REF!*#REF!)+(#REF!*#REF!)+(#REF!*#REF!)+(#REF!*#REF!)+(#REF!*#REF!)+(#REF!*#REF!)</f>
        <v>#REF!</v>
      </c>
      <c r="W27" s="34" t="e">
        <f>+(#REF!*$P$15)+(#REF!*$P$17)+(#REF!*$P$19)+(#REF!*$P$21)+(#REF!*#REF!)+(#REF!*#REF!)+(#REF!*#REF!)+(#REF!*#REF!)+(#REF!*#REF!)+(#REF!*#REF!)+(#REF!*#REF!)+(#REF!*#REF!)+(#REF!*#REF!)</f>
        <v>#REF!</v>
      </c>
      <c r="X27" s="34" t="e">
        <f>+(#REF!*$P$15)+(#REF!*$P$17)+(#REF!*$P$19)+(#REF!*$P$21)+(#REF!*#REF!)+(#REF!*#REF!)+(#REF!*#REF!)+(#REF!*#REF!)+(#REF!*#REF!)+(#REF!*#REF!)+(#REF!*#REF!)+(#REF!*#REF!)+(#REF!*#REF!)</f>
        <v>#REF!</v>
      </c>
      <c r="Y27" s="34" t="e">
        <f>+(#REF!*$P$15)+(#REF!*$P$17)+(#REF!*$P$19)+(#REF!*$P$21)+(#REF!*#REF!)+(#REF!*#REF!)+(#REF!*#REF!)+(#REF!*#REF!)+(#REF!*#REF!)+(#REF!*#REF!)+(#REF!*#REF!)+(#REF!*#REF!)+(#REF!*#REF!)</f>
        <v>#REF!</v>
      </c>
      <c r="Z27" s="34" t="e">
        <f>+(#REF!*$P$15)+(#REF!*$P$17)+(#REF!*$P$19)+(#REF!*$P$21)+(#REF!*#REF!)+(#REF!*#REF!)+(#REF!*#REF!)+(#REF!*#REF!)+(#REF!*#REF!)+(#REF!*#REF!)+(#REF!*#REF!)+(#REF!*#REF!)+(#REF!*#REF!)</f>
        <v>#REF!</v>
      </c>
      <c r="AA27" s="34" t="e">
        <f>+(#REF!*$P$15)+(#REF!*$P$17)+(#REF!*$P$19)+(#REF!*$P$21)+(#REF!*#REF!)+(#REF!*#REF!)+(#REF!*#REF!)+(#REF!*#REF!)+(#REF!*#REF!)+(#REF!*#REF!)+(#REF!*#REF!)+(#REF!*#REF!)+(#REF!*#REF!)</f>
        <v>#REF!</v>
      </c>
      <c r="AB27" s="37" t="e">
        <f>+(#REF!*$P$15)+(#REF!*$P$17)+(#REF!*$P$19)+(#REF!*$P$21)+(#REF!*#REF!)+(#REF!*#REF!)+(#REF!*#REF!)+(#REF!*#REF!)+(#REF!*#REF!)+(#REF!*#REF!)+(#REF!*#REF!)+(#REF!*#REF!)+(#REF!*#REF!)</f>
        <v>#REF!</v>
      </c>
      <c r="AC27" s="34" t="e">
        <f>+(#REF!*$P$15)+(#REF!*$P$17)+(#REF!*$P$19)+(#REF!*$P$21)+(#REF!*#REF!)+(#REF!*#REF!)+(#REF!*#REF!)+(#REF!*#REF!)+(#REF!*#REF!)+(#REF!*#REF!)+(#REF!*#REF!)+(#REF!*#REF!)+(#REF!*#REF!)</f>
        <v>#REF!</v>
      </c>
      <c r="AD27" s="60"/>
    </row>
    <row r="28" spans="1:34" s="13" customFormat="1" ht="30" hidden="1" customHeight="1" x14ac:dyDescent="0.35">
      <c r="H28" s="594"/>
      <c r="I28" s="15" t="s">
        <v>158</v>
      </c>
      <c r="J28" s="16"/>
      <c r="K28" s="34"/>
      <c r="L28" s="34"/>
      <c r="M28" s="34"/>
      <c r="N28" s="34"/>
      <c r="O28" s="34" t="e">
        <f>SUM(O27:O27)</f>
        <v>#REF!</v>
      </c>
      <c r="P28" s="37"/>
      <c r="Q28" s="34"/>
      <c r="R28" s="34"/>
      <c r="S28" s="34" t="e">
        <f>SUM(P27:S27)</f>
        <v>#REF!</v>
      </c>
      <c r="T28" s="34"/>
      <c r="U28" s="34"/>
      <c r="V28" s="34"/>
      <c r="W28" s="34" t="e">
        <f>SUM(T27:W27)</f>
        <v>#REF!</v>
      </c>
      <c r="X28" s="34"/>
      <c r="Y28" s="34"/>
      <c r="Z28" s="34"/>
      <c r="AA28" s="34" t="e">
        <f>SUM(X27:AA27)</f>
        <v>#REF!</v>
      </c>
      <c r="AB28" s="37"/>
      <c r="AC28" s="34"/>
      <c r="AD28" s="60"/>
    </row>
    <row r="29" spans="1:34" s="13" customFormat="1" ht="30" hidden="1" customHeight="1" x14ac:dyDescent="0.35">
      <c r="H29" s="594"/>
      <c r="I29" s="15" t="s">
        <v>159</v>
      </c>
      <c r="J29" s="14"/>
      <c r="K29" s="34"/>
      <c r="L29" s="34"/>
      <c r="M29" s="34"/>
      <c r="N29" s="34"/>
      <c r="O29" s="34" t="e">
        <f>+#REF!+O28</f>
        <v>#REF!</v>
      </c>
      <c r="P29" s="37"/>
      <c r="Q29" s="34"/>
      <c r="R29" s="34"/>
      <c r="S29" s="26"/>
      <c r="T29" s="27"/>
      <c r="U29" s="27"/>
      <c r="V29" s="27"/>
      <c r="W29" s="27"/>
      <c r="X29" s="27"/>
      <c r="Y29" s="27"/>
      <c r="Z29" s="27"/>
      <c r="AA29" s="27" t="e">
        <f>+S28+W28+AA28</f>
        <v>#REF!</v>
      </c>
      <c r="AB29" s="39"/>
      <c r="AC29" s="27"/>
      <c r="AD29" s="61"/>
    </row>
    <row r="30" spans="1:34" s="13" customFormat="1" ht="30" hidden="1" customHeight="1" thickBot="1" x14ac:dyDescent="0.4">
      <c r="H30" s="595"/>
      <c r="I30" s="20" t="s">
        <v>160</v>
      </c>
      <c r="J30" s="19"/>
      <c r="K30" s="35"/>
      <c r="L30" s="35"/>
      <c r="M30" s="35"/>
      <c r="N30" s="35"/>
      <c r="O30" s="35"/>
      <c r="P30" s="38"/>
      <c r="Q30" s="35"/>
      <c r="R30" s="35"/>
      <c r="S30" s="28"/>
      <c r="T30" s="29"/>
      <c r="U30" s="29"/>
      <c r="V30" s="29"/>
      <c r="W30" s="29"/>
      <c r="X30" s="29"/>
      <c r="Y30" s="29"/>
      <c r="Z30" s="29"/>
      <c r="AA30" s="29" t="e">
        <f>+O29+AA29</f>
        <v>#REF!</v>
      </c>
      <c r="AB30" s="40"/>
      <c r="AC30" s="41"/>
      <c r="AD30" s="61"/>
    </row>
    <row r="31" spans="1:34" ht="30" hidden="1" customHeight="1" x14ac:dyDescent="0.35">
      <c r="H31" s="24"/>
      <c r="I31" s="422" t="s">
        <v>161</v>
      </c>
      <c r="J31" s="422"/>
      <c r="K31" s="46"/>
      <c r="L31" s="46"/>
      <c r="M31" s="46"/>
      <c r="N31" s="46"/>
      <c r="O31" s="47" t="e">
        <f>+(#REF!+#REF!+#REF!+#REF!+#REF!+#REF!+#REF!+O23)/(#REF!+#REF!+#REF!+#REF!+#REF!+#REF!+#REF!+O27)</f>
        <v>#REF!</v>
      </c>
      <c r="P31" s="48" t="e">
        <f>+(#REF!+#REF!+#REF!+#REF!+#REF!+#REF!+#REF!+O23+P23)/(#REF!+#REF!+#REF!+#REF!+#REF!+#REF!+#REF!+O27+P27)</f>
        <v>#REF!</v>
      </c>
      <c r="Q31" s="46" t="e">
        <f>+(#REF!+#REF!+#REF!+#REF!+#REF!+#REF!+#REF!+O23+P23+Q23)/(#REF!+#REF!+#REF!+#REF!+#REF!+#REF!+#REF!+O27+P27+Q27)</f>
        <v>#REF!</v>
      </c>
      <c r="R31" s="46" t="e">
        <f>+(#REF!+#REF!+#REF!+#REF!+#REF!+#REF!+#REF!+O23+P23+Q23+R23)/(#REF!+#REF!+#REF!+#REF!+#REF!+#REF!+#REF!+O27+P27+Q27+R27)</f>
        <v>#REF!</v>
      </c>
      <c r="S31" s="47" t="e">
        <f>+(#REF!+#REF!+#REF!+#REF!+#REF!+#REF!+#REF!+O23+P23+Q23+R23+S23)/(#REF!+#REF!+#REF!+#REF!+#REF!+#REF!+#REF!+O27+P27+Q27+R27+S27)</f>
        <v>#REF!</v>
      </c>
      <c r="T31" s="46" t="e">
        <f>+(#REF!+#REF!+#REF!+#REF!+#REF!+#REF!+#REF!+O23+P23+Q23+R23+S23+T23)/(#REF!+#REF!+#REF!+#REF!+#REF!+#REF!+#REF!+O27+P27+Q27+R27+S27+T27)</f>
        <v>#REF!</v>
      </c>
      <c r="U31" s="46" t="e">
        <f>+(#REF!+#REF!+#REF!+#REF!+#REF!+#REF!+#REF!+O23+P23+Q23+R23+S23+T23+U23)/(#REF!+#REF!+#REF!+#REF!+#REF!+#REF!+#REF!+O27+P27+Q27+R27+S27+T27+U27)</f>
        <v>#REF!</v>
      </c>
      <c r="V31" s="46" t="e">
        <f>+(#REF!+#REF!+#REF!+#REF!+#REF!+#REF!+#REF!+O23+P23+Q23+R23+S23+T23+U23+V23)/(#REF!+#REF!+#REF!+#REF!+#REF!+#REF!+#REF!+O27+P27+Q27+R27+S27+T27+U27+V27)</f>
        <v>#REF!</v>
      </c>
      <c r="W31" s="47" t="e">
        <f>+(#REF!+#REF!+#REF!+#REF!+#REF!+#REF!+#REF!+O23+P23+Q23+R23+S23+T23+U23+V23+W23)/(#REF!+#REF!+#REF!+#REF!+#REF!+#REF!+#REF!+O27+P27+Q27+R27+S27+T27+U27+V27+W27)</f>
        <v>#REF!</v>
      </c>
      <c r="X31" s="46" t="e">
        <f>+(#REF!+#REF!+#REF!+#REF!+#REF!+#REF!+#REF!+O23+P23+Q23+R23+S23+T23+U23+V23+W23+X23)/(#REF!+#REF!+#REF!+#REF!+#REF!+#REF!+#REF!+O27+P27+Q27+R27+S27+T27+U27+V27+W27+X27)</f>
        <v>#REF!</v>
      </c>
      <c r="Y31" s="46" t="e">
        <f>+(#REF!+#REF!+#REF!+#REF!+#REF!+#REF!+#REF!+O23+P23+Q23+R23+S23+T23+U23+V23+W23+X23+Y23)/(#REF!+#REF!+#REF!+#REF!+#REF!+#REF!+#REF!+O27+P27+Q27+R27+S27+T27+U27+V27+W27+X27+Y27)</f>
        <v>#REF!</v>
      </c>
      <c r="Z31" s="46" t="e">
        <f>+(#REF!+#REF!+#REF!+#REF!+#REF!+#REF!+#REF!+O23+P23+Q23+R23+S23+T23+U23+V23+W23+X23+Y23+Z23)/(#REF!+#REF!+#REF!+#REF!+#REF!+#REF!+#REF!+O27+P27+Q27+R27+S27+T27+U27+V27+W27+X27+Y27+Z27)</f>
        <v>#REF!</v>
      </c>
      <c r="AA31" s="47" t="e">
        <f>+(#REF!+#REF!+#REF!+#REF!+#REF!+#REF!+#REF!+O23+P23+Q23+R23+S23+T23+U23+V23+W23+X23+Y23+Z23+AA23)/(#REF!+#REF!+#REF!+#REF!+#REF!+#REF!+#REF!+O27+P27+Q27+R27+S27+T27+U27+V27+W27+X27+Y27+Z27+AA27)</f>
        <v>#REF!</v>
      </c>
      <c r="AB31" s="48" t="e">
        <f>+(#REF!+#REF!+#REF!+#REF!+#REF!+#REF!+#REF!+O23+P23+Q23+R23+S23+T23+U23+V23+W23+X23+Y23+Z23+AA23+AB23)/(#REF!+#REF!+#REF!+#REF!+#REF!+#REF!+#REF!+O27+P27+Q27+R27+S27+T27+U27+V27+W27+X27+Y27+Z27+AA27+AB27)</f>
        <v>#REF!</v>
      </c>
      <c r="AC31" s="46" t="e">
        <f>+(#REF!+#REF!+#REF!+#REF!+#REF!+#REF!+#REF!+O23+P23+Q23+R23+S23+T23+U23+V23+W23+X23+Y23+Z23+AA23+AB23+AC23)/(#REF!+#REF!+#REF!+#REF!+#REF!+#REF!+#REF!+O27+P27+Q27+R27+S27+T27+U27+V27+W27+X27+Y27+Z27+AA27+AB27+AC27)</f>
        <v>#REF!</v>
      </c>
      <c r="AD31" s="62"/>
    </row>
    <row r="32" spans="1:34" ht="30" hidden="1" customHeight="1" x14ac:dyDescent="0.35">
      <c r="H32" s="24"/>
      <c r="I32" s="423" t="s">
        <v>162</v>
      </c>
      <c r="J32" s="423"/>
      <c r="K32" s="47"/>
      <c r="L32" s="47"/>
      <c r="M32" s="47"/>
      <c r="N32" s="47"/>
      <c r="O32" s="47" t="e">
        <f>+(#REF!+#REF!+#REF!+#REF!+#REF!+#REF!+#REF!+O23)/$F$23</f>
        <v>#REF!</v>
      </c>
      <c r="P32" s="49" t="e">
        <f>+(#REF!+#REF!+#REF!+#REF!+#REF!+#REF!+#REF!+O23+P23)/$F$23</f>
        <v>#REF!</v>
      </c>
      <c r="Q32" s="47" t="e">
        <f>+(#REF!+#REF!+#REF!+#REF!+#REF!+#REF!+#REF!+O23+P23+Q23)/$F$23</f>
        <v>#REF!</v>
      </c>
      <c r="R32" s="47" t="e">
        <f>+(#REF!+#REF!+#REF!+#REF!+#REF!+#REF!+#REF!+O23+P23+Q23+R23)/$F$23</f>
        <v>#REF!</v>
      </c>
      <c r="S32" s="47" t="e">
        <f>+(#REF!+#REF!+#REF!+#REF!+#REF!+#REF!+#REF!+O23+P23+Q23+R23+S23)/$F$23</f>
        <v>#REF!</v>
      </c>
      <c r="T32" s="47" t="e">
        <f>+(#REF!+#REF!+#REF!+#REF!+#REF!+#REF!+#REF!+O23+P23+Q23+R23+S23+T23)/$F$23</f>
        <v>#REF!</v>
      </c>
      <c r="U32" s="47" t="e">
        <f>+(#REF!+#REF!+#REF!+#REF!+#REF!+#REF!+#REF!+O23+P23+Q23+R23+S23+T23+U23)/$F$23</f>
        <v>#REF!</v>
      </c>
      <c r="V32" s="47" t="e">
        <f>+(#REF!+#REF!+#REF!+#REF!+#REF!+#REF!+#REF!+O23+P23+Q23+R23+S23+T23+U23+V23)/$F$23</f>
        <v>#REF!</v>
      </c>
      <c r="W32" s="47" t="e">
        <f>+(#REF!+#REF!+#REF!+#REF!+#REF!+#REF!+#REF!+O23+P23+Q23+R23+S23+T23+U23+V23+W23)/$F$23</f>
        <v>#REF!</v>
      </c>
      <c r="X32" s="47" t="e">
        <f>+(#REF!+#REF!+#REF!+#REF!+#REF!+#REF!+#REF!+O23+P23+Q23+R23+S23+T23+U23+V23+W23+X23)/$F$23</f>
        <v>#REF!</v>
      </c>
      <c r="Y32" s="47" t="e">
        <f>+(#REF!+#REF!+#REF!+#REF!+#REF!+#REF!+#REF!+O23+P23+Q23+R23+S23+T23+U23+V23+W23+X23+Y23)/$F$23</f>
        <v>#REF!</v>
      </c>
      <c r="Z32" s="47" t="e">
        <f>+(#REF!+#REF!+#REF!+#REF!+#REF!+#REF!+#REF!+O23+P23+Q23+R23+S23+T23+U23+V23+W23+X23+Y23+Z23)/$F$23</f>
        <v>#REF!</v>
      </c>
      <c r="AA32" s="47" t="e">
        <f>+(#REF!+#REF!+#REF!+#REF!+#REF!+#REF!+#REF!+O23+P23+Q23+R23+S23+T23+U23+V23+W23+X23+Y23+Z23+AA23)/$F$23</f>
        <v>#REF!</v>
      </c>
      <c r="AB32" s="49" t="e">
        <f>+(#REF!+#REF!+#REF!+#REF!+#REF!+#REF!+#REF!+O23+P23+Q23+R23+S23+T23+U23+V23+W23+X23+Y23+Z23+AA23+AB23)/$F$23</f>
        <v>#REF!</v>
      </c>
      <c r="AC32" s="47" t="e">
        <f>+(#REF!+#REF!+#REF!+#REF!+#REF!+#REF!+#REF!+O23+P23+Q23+R23+S23+T23+U23+V23+W23+X23+Y23+Z23+AA23+AB23+AC23)/$F$23</f>
        <v>#REF!</v>
      </c>
      <c r="AD32" s="63"/>
    </row>
    <row r="33" spans="2:30" ht="30" hidden="1" customHeight="1" x14ac:dyDescent="0.35">
      <c r="I33" s="422" t="s">
        <v>163</v>
      </c>
      <c r="J33" s="422"/>
      <c r="K33" s="50"/>
      <c r="L33" s="50"/>
      <c r="M33" s="50"/>
      <c r="N33" s="50"/>
      <c r="O33" s="47" t="e">
        <f>+O24/O28</f>
        <v>#REF!</v>
      </c>
      <c r="P33" s="51"/>
      <c r="Q33" s="50"/>
      <c r="R33" s="50"/>
      <c r="S33" s="47" t="e">
        <f>+S24/S28</f>
        <v>#REF!</v>
      </c>
      <c r="T33" s="50"/>
      <c r="U33" s="50"/>
      <c r="V33" s="50"/>
      <c r="W33" s="47" t="e">
        <f>+W24/W28</f>
        <v>#REF!</v>
      </c>
      <c r="X33" s="50"/>
      <c r="Y33" s="50"/>
      <c r="Z33" s="50"/>
      <c r="AA33" s="47" t="e">
        <f>+AA24/AA28</f>
        <v>#REF!</v>
      </c>
      <c r="AB33" s="51"/>
      <c r="AC33" s="50"/>
      <c r="AD33" s="64"/>
    </row>
    <row r="34" spans="2:30" ht="30" hidden="1" customHeight="1" x14ac:dyDescent="0.35">
      <c r="I34" s="423" t="s">
        <v>164</v>
      </c>
      <c r="J34" s="423"/>
      <c r="K34" s="50"/>
      <c r="L34" s="50"/>
      <c r="M34" s="50"/>
      <c r="N34" s="50"/>
      <c r="O34" s="47" t="e">
        <f>+(#REF!+O24)/$F$23</f>
        <v>#REF!</v>
      </c>
      <c r="P34" s="51"/>
      <c r="Q34" s="50"/>
      <c r="R34" s="50"/>
      <c r="S34" s="47" t="e">
        <f>+(#REF!+O24+S24)/$F$23</f>
        <v>#REF!</v>
      </c>
      <c r="T34" s="50"/>
      <c r="U34" s="50"/>
      <c r="V34" s="50"/>
      <c r="W34" s="47" t="e">
        <f>+(#REF!+O24+S24+W24)/$F$23</f>
        <v>#REF!</v>
      </c>
      <c r="X34" s="50"/>
      <c r="Y34" s="50"/>
      <c r="Z34" s="50"/>
      <c r="AA34" s="47" t="e">
        <f>+(#REF!+O24+S24+W24+AA24)/$F$23</f>
        <v>#REF!</v>
      </c>
      <c r="AB34" s="51"/>
      <c r="AC34" s="50"/>
      <c r="AD34" s="64"/>
    </row>
    <row r="35" spans="2:30" ht="30" hidden="1" customHeight="1" x14ac:dyDescent="0.35">
      <c r="I35" s="422" t="s">
        <v>165</v>
      </c>
      <c r="J35" s="422"/>
      <c r="K35" s="50"/>
      <c r="L35" s="50"/>
      <c r="M35" s="50"/>
      <c r="N35" s="50"/>
      <c r="O35" s="47" t="e">
        <f>+(#REF!+O24)/(#REF!+O28)</f>
        <v>#REF!</v>
      </c>
      <c r="P35" s="51"/>
      <c r="Q35" s="50"/>
      <c r="R35" s="50"/>
      <c r="S35" s="50"/>
      <c r="T35" s="50"/>
      <c r="U35" s="50"/>
      <c r="V35" s="50"/>
      <c r="W35" s="50"/>
      <c r="X35" s="50"/>
      <c r="Y35" s="50"/>
      <c r="Z35" s="50"/>
      <c r="AA35" s="47" t="e">
        <f>+(#REF!+O24+S24+W24+AA24)/(#REF!+O28+S28+W28+AA28)</f>
        <v>#REF!</v>
      </c>
      <c r="AB35" s="51"/>
      <c r="AC35" s="50"/>
      <c r="AD35" s="64"/>
    </row>
    <row r="36" spans="2:30" ht="30" hidden="1" customHeight="1" x14ac:dyDescent="0.35">
      <c r="I36" s="422" t="s">
        <v>166</v>
      </c>
      <c r="J36" s="422"/>
      <c r="K36" s="50"/>
      <c r="L36" s="50"/>
      <c r="M36" s="50"/>
      <c r="N36" s="50"/>
      <c r="O36" s="47" t="e">
        <f>+(#REF!+O24)/$F$23</f>
        <v>#REF!</v>
      </c>
      <c r="P36" s="51"/>
      <c r="Q36" s="50"/>
      <c r="R36" s="50"/>
      <c r="S36" s="50"/>
      <c r="T36" s="50"/>
      <c r="U36" s="50"/>
      <c r="V36" s="50"/>
      <c r="W36" s="50"/>
      <c r="X36" s="50"/>
      <c r="Y36" s="50"/>
      <c r="Z36" s="50"/>
      <c r="AA36" s="47" t="e">
        <f>+(+#REF!+O24+S24+W24+AA24)/$F$23</f>
        <v>#REF!</v>
      </c>
      <c r="AB36" s="51"/>
      <c r="AC36" s="50"/>
      <c r="AD36" s="64"/>
    </row>
    <row r="37" spans="2:30" ht="15" hidden="1" customHeight="1" x14ac:dyDescent="0.35"/>
    <row r="38" spans="2:30" ht="35.15" hidden="1" customHeight="1" x14ac:dyDescent="0.35">
      <c r="H38" s="625" t="s">
        <v>331</v>
      </c>
      <c r="I38" s="625"/>
      <c r="J38" s="30" t="e">
        <f>+#REF!</f>
        <v>#REF!</v>
      </c>
      <c r="K38" s="32"/>
      <c r="L38" s="32"/>
      <c r="M38" s="32"/>
      <c r="N38" s="32"/>
    </row>
    <row r="39" spans="2:30" ht="35.15" hidden="1" customHeight="1" thickBot="1" x14ac:dyDescent="0.4">
      <c r="H39" s="625" t="s">
        <v>332</v>
      </c>
      <c r="I39" s="625"/>
      <c r="J39" s="25">
        <f>+F23</f>
        <v>1</v>
      </c>
      <c r="K39" s="32"/>
      <c r="L39" s="32"/>
      <c r="M39" s="32"/>
      <c r="N39" s="32"/>
    </row>
    <row r="40" spans="2:30" ht="35.15" hidden="1" customHeight="1" thickBot="1" x14ac:dyDescent="0.4">
      <c r="H40" s="625" t="s">
        <v>333</v>
      </c>
      <c r="I40" s="625"/>
      <c r="J40" s="31" t="e">
        <f>+J38/J39</f>
        <v>#REF!</v>
      </c>
      <c r="K40" s="32"/>
      <c r="L40" s="32"/>
      <c r="M40" s="32"/>
      <c r="N40" s="32"/>
    </row>
    <row r="41" spans="2:30" ht="15" hidden="1" customHeight="1" x14ac:dyDescent="0.35">
      <c r="K41" s="32"/>
      <c r="L41" s="32"/>
      <c r="M41" s="32"/>
      <c r="N41" s="32"/>
    </row>
    <row r="42" spans="2:30" ht="15" hidden="1" customHeight="1" x14ac:dyDescent="0.35">
      <c r="B42" s="413" t="s">
        <v>51</v>
      </c>
      <c r="C42" s="413" t="s">
        <v>52</v>
      </c>
      <c r="D42" s="413" t="s">
        <v>53</v>
      </c>
      <c r="E42" s="413" t="s">
        <v>54</v>
      </c>
      <c r="F42" s="413" t="s">
        <v>29</v>
      </c>
      <c r="G42" s="415" t="s">
        <v>55</v>
      </c>
      <c r="M42" s="415" t="s">
        <v>167</v>
      </c>
      <c r="N42" s="32"/>
    </row>
    <row r="43" spans="2:30" ht="15" hidden="1" customHeight="1" x14ac:dyDescent="0.35">
      <c r="B43" s="414"/>
      <c r="C43" s="414"/>
      <c r="D43" s="414"/>
      <c r="E43" s="414"/>
      <c r="F43" s="414"/>
      <c r="G43" s="414"/>
      <c r="M43" s="414"/>
      <c r="N43" s="32"/>
    </row>
    <row r="44" spans="2:30" ht="15" hidden="1" customHeight="1" x14ac:dyDescent="0.35">
      <c r="B44" s="1" t="s">
        <v>99</v>
      </c>
      <c r="C44" s="13" t="s">
        <v>168</v>
      </c>
      <c r="D44" s="1" t="s">
        <v>130</v>
      </c>
      <c r="E44" s="1" t="s">
        <v>131</v>
      </c>
      <c r="F44" s="1" t="s">
        <v>169</v>
      </c>
      <c r="G44" s="1" t="s">
        <v>170</v>
      </c>
      <c r="M44" s="13" t="s">
        <v>171</v>
      </c>
    </row>
    <row r="45" spans="2:30" ht="15" hidden="1" customHeight="1" x14ac:dyDescent="0.35">
      <c r="B45" s="1" t="s">
        <v>116</v>
      </c>
      <c r="C45" s="13" t="s">
        <v>129</v>
      </c>
      <c r="D45" s="1" t="s">
        <v>172</v>
      </c>
      <c r="E45" s="1" t="s">
        <v>173</v>
      </c>
      <c r="F45" s="1" t="s">
        <v>174</v>
      </c>
      <c r="G45" s="1" t="s">
        <v>175</v>
      </c>
      <c r="M45" s="13" t="s">
        <v>92</v>
      </c>
    </row>
    <row r="46" spans="2:30" ht="15" hidden="1" customHeight="1" x14ac:dyDescent="0.35">
      <c r="B46" s="1" t="s">
        <v>83</v>
      </c>
      <c r="C46" s="13" t="s">
        <v>110</v>
      </c>
      <c r="D46" s="1" t="s">
        <v>85</v>
      </c>
      <c r="E46" s="1" t="s">
        <v>176</v>
      </c>
      <c r="F46" s="1" t="s">
        <v>177</v>
      </c>
      <c r="G46" s="1" t="s">
        <v>178</v>
      </c>
      <c r="M46" s="13" t="s">
        <v>179</v>
      </c>
    </row>
    <row r="47" spans="2:30" ht="15" hidden="1" customHeight="1" x14ac:dyDescent="0.35">
      <c r="B47" s="1" t="s">
        <v>109</v>
      </c>
      <c r="C47" s="13" t="s">
        <v>125</v>
      </c>
      <c r="D47" s="1" t="s">
        <v>180</v>
      </c>
      <c r="E47" s="1" t="s">
        <v>181</v>
      </c>
      <c r="F47" s="1" t="s">
        <v>182</v>
      </c>
      <c r="G47" s="1" t="s">
        <v>183</v>
      </c>
    </row>
    <row r="48" spans="2:30" ht="15" hidden="1" customHeight="1" x14ac:dyDescent="0.35">
      <c r="B48" s="1" t="s">
        <v>124</v>
      </c>
      <c r="C48" s="13" t="s">
        <v>142</v>
      </c>
      <c r="D48" s="1" t="s">
        <v>100</v>
      </c>
      <c r="E48" s="1" t="s">
        <v>184</v>
      </c>
      <c r="F48" s="1" t="s">
        <v>185</v>
      </c>
      <c r="G48" s="1" t="s">
        <v>186</v>
      </c>
    </row>
    <row r="49" spans="2:7" ht="15" hidden="1" customHeight="1" x14ac:dyDescent="0.35">
      <c r="B49" s="1" t="s">
        <v>187</v>
      </c>
      <c r="C49" s="13" t="s">
        <v>188</v>
      </c>
      <c r="D49" s="1" t="s">
        <v>111</v>
      </c>
      <c r="E49" s="1" t="s">
        <v>149</v>
      </c>
      <c r="F49" s="1" t="s">
        <v>189</v>
      </c>
      <c r="G49" s="1" t="s">
        <v>127</v>
      </c>
    </row>
    <row r="50" spans="2:7" ht="15" hidden="1" customHeight="1" x14ac:dyDescent="0.35">
      <c r="B50" s="1" t="s">
        <v>190</v>
      </c>
      <c r="C50" s="13" t="s">
        <v>191</v>
      </c>
      <c r="D50" s="1" t="s">
        <v>192</v>
      </c>
      <c r="E50" s="1" t="s">
        <v>193</v>
      </c>
      <c r="F50" s="1" t="s">
        <v>194</v>
      </c>
      <c r="G50" s="1" t="s">
        <v>195</v>
      </c>
    </row>
    <row r="51" spans="2:7" ht="15" hidden="1" customHeight="1" x14ac:dyDescent="0.35">
      <c r="B51" s="1" t="s">
        <v>196</v>
      </c>
      <c r="C51" s="13" t="s">
        <v>197</v>
      </c>
      <c r="E51" s="1" t="s">
        <v>126</v>
      </c>
      <c r="F51" s="1" t="s">
        <v>198</v>
      </c>
      <c r="G51" s="1" t="s">
        <v>150</v>
      </c>
    </row>
    <row r="52" spans="2:7" ht="15" hidden="1" customHeight="1" x14ac:dyDescent="0.35">
      <c r="C52" s="13" t="s">
        <v>117</v>
      </c>
      <c r="E52" s="1" t="s">
        <v>118</v>
      </c>
      <c r="F52" s="1" t="s">
        <v>199</v>
      </c>
      <c r="G52" s="1" t="s">
        <v>102</v>
      </c>
    </row>
    <row r="53" spans="2:7" ht="15" hidden="1" customHeight="1" x14ac:dyDescent="0.35">
      <c r="C53" s="13" t="s">
        <v>84</v>
      </c>
      <c r="E53" s="1" t="s">
        <v>200</v>
      </c>
      <c r="F53" s="1" t="s">
        <v>201</v>
      </c>
      <c r="G53" s="1" t="s">
        <v>132</v>
      </c>
    </row>
    <row r="54" spans="2:7" ht="15" hidden="1" customHeight="1" x14ac:dyDescent="0.35">
      <c r="E54" s="1" t="s">
        <v>202</v>
      </c>
      <c r="F54" s="1" t="s">
        <v>203</v>
      </c>
      <c r="G54" s="1" t="s">
        <v>144</v>
      </c>
    </row>
    <row r="55" spans="2:7" ht="15" hidden="1" customHeight="1" x14ac:dyDescent="0.35">
      <c r="E55" s="1" t="s">
        <v>204</v>
      </c>
      <c r="F55" s="1" t="s">
        <v>205</v>
      </c>
      <c r="G55" s="1" t="s">
        <v>206</v>
      </c>
    </row>
    <row r="56" spans="2:7" ht="15" hidden="1" customHeight="1" x14ac:dyDescent="0.35">
      <c r="E56" s="1" t="s">
        <v>86</v>
      </c>
      <c r="G56" s="1" t="s">
        <v>207</v>
      </c>
    </row>
    <row r="57" spans="2:7" ht="15" hidden="1" customHeight="1" x14ac:dyDescent="0.35">
      <c r="E57" s="1" t="s">
        <v>208</v>
      </c>
      <c r="G57" s="1" t="s">
        <v>209</v>
      </c>
    </row>
    <row r="58" spans="2:7" ht="15" hidden="1" customHeight="1" x14ac:dyDescent="0.35">
      <c r="E58" s="1" t="s">
        <v>101</v>
      </c>
      <c r="G58" s="1" t="s">
        <v>210</v>
      </c>
    </row>
    <row r="59" spans="2:7" ht="15" hidden="1" customHeight="1" x14ac:dyDescent="0.35">
      <c r="E59" s="1" t="s">
        <v>143</v>
      </c>
      <c r="G59" s="1" t="s">
        <v>211</v>
      </c>
    </row>
    <row r="60" spans="2:7" ht="15" hidden="1" customHeight="1" x14ac:dyDescent="0.35">
      <c r="E60" s="1" t="s">
        <v>212</v>
      </c>
      <c r="G60" s="1" t="s">
        <v>213</v>
      </c>
    </row>
    <row r="61" spans="2:7" ht="15" hidden="1" customHeight="1" x14ac:dyDescent="0.35">
      <c r="E61" s="1" t="s">
        <v>112</v>
      </c>
      <c r="G61" s="1" t="s">
        <v>214</v>
      </c>
    </row>
    <row r="62" spans="2:7" ht="15" hidden="1" customHeight="1" x14ac:dyDescent="0.35">
      <c r="E62" s="1" t="s">
        <v>215</v>
      </c>
      <c r="G62" s="1" t="s">
        <v>216</v>
      </c>
    </row>
    <row r="63" spans="2:7" ht="15" hidden="1" customHeight="1" x14ac:dyDescent="0.35">
      <c r="G63" s="1" t="s">
        <v>217</v>
      </c>
    </row>
    <row r="64" spans="2:7" ht="15" hidden="1" customHeight="1" x14ac:dyDescent="0.35">
      <c r="G64" s="1" t="s">
        <v>218</v>
      </c>
    </row>
    <row r="65" spans="7:7" ht="15" hidden="1" customHeight="1" x14ac:dyDescent="0.35">
      <c r="G65" s="1" t="s">
        <v>219</v>
      </c>
    </row>
    <row r="66" spans="7:7" ht="15" hidden="1" customHeight="1" x14ac:dyDescent="0.35">
      <c r="G66" s="1" t="s">
        <v>220</v>
      </c>
    </row>
    <row r="67" spans="7:7" ht="15" hidden="1" customHeight="1" x14ac:dyDescent="0.35">
      <c r="G67" s="1" t="s">
        <v>221</v>
      </c>
    </row>
    <row r="68" spans="7:7" ht="15" hidden="1" customHeight="1" x14ac:dyDescent="0.35">
      <c r="G68" s="1" t="s">
        <v>222</v>
      </c>
    </row>
    <row r="69" spans="7:7" ht="15" hidden="1" customHeight="1" x14ac:dyDescent="0.35">
      <c r="G69" s="1" t="s">
        <v>223</v>
      </c>
    </row>
    <row r="70" spans="7:7" ht="15" hidden="1" customHeight="1" x14ac:dyDescent="0.35">
      <c r="G70" s="1" t="s">
        <v>224</v>
      </c>
    </row>
    <row r="71" spans="7:7" ht="15" hidden="1" customHeight="1" x14ac:dyDescent="0.35">
      <c r="G71" s="1" t="s">
        <v>225</v>
      </c>
    </row>
    <row r="72" spans="7:7" ht="15" hidden="1" customHeight="1" x14ac:dyDescent="0.35">
      <c r="G72" s="1" t="s">
        <v>226</v>
      </c>
    </row>
    <row r="73" spans="7:7" ht="15" hidden="1" customHeight="1" x14ac:dyDescent="0.35">
      <c r="G73" s="1" t="s">
        <v>227</v>
      </c>
    </row>
    <row r="74" spans="7:7" ht="15" hidden="1" customHeight="1" x14ac:dyDescent="0.35">
      <c r="G74" s="1" t="s">
        <v>228</v>
      </c>
    </row>
    <row r="75" spans="7:7" ht="15" hidden="1" customHeight="1" x14ac:dyDescent="0.35">
      <c r="G75" s="1" t="s">
        <v>229</v>
      </c>
    </row>
    <row r="76" spans="7:7" ht="15" hidden="1" customHeight="1" x14ac:dyDescent="0.35">
      <c r="G76" s="1" t="s">
        <v>230</v>
      </c>
    </row>
    <row r="77" spans="7:7" ht="15" hidden="1" customHeight="1" x14ac:dyDescent="0.35">
      <c r="G77" s="1" t="s">
        <v>119</v>
      </c>
    </row>
    <row r="78" spans="7:7" ht="15" hidden="1" customHeight="1" x14ac:dyDescent="0.35">
      <c r="G78" s="1" t="s">
        <v>138</v>
      </c>
    </row>
    <row r="79" spans="7:7" ht="15" hidden="1" customHeight="1" x14ac:dyDescent="0.35">
      <c r="G79" s="1" t="s">
        <v>231</v>
      </c>
    </row>
    <row r="80" spans="7:7" ht="15" hidden="1" customHeight="1" x14ac:dyDescent="0.35">
      <c r="G80" s="1" t="s">
        <v>232</v>
      </c>
    </row>
    <row r="81" spans="7:7" ht="15" hidden="1" customHeight="1" x14ac:dyDescent="0.35">
      <c r="G81" s="1" t="s">
        <v>233</v>
      </c>
    </row>
    <row r="82" spans="7:7" ht="15" hidden="1" customHeight="1" x14ac:dyDescent="0.35">
      <c r="G82" s="1" t="s">
        <v>87</v>
      </c>
    </row>
    <row r="83" spans="7:7" ht="15" hidden="1" customHeight="1" x14ac:dyDescent="0.35">
      <c r="G83" s="1" t="s">
        <v>234</v>
      </c>
    </row>
    <row r="84" spans="7:7" ht="15" hidden="1" customHeight="1" x14ac:dyDescent="0.35">
      <c r="G84" s="1" t="s">
        <v>235</v>
      </c>
    </row>
    <row r="85" spans="7:7" ht="15" hidden="1" customHeight="1" x14ac:dyDescent="0.35">
      <c r="G85" s="1" t="s">
        <v>236</v>
      </c>
    </row>
    <row r="86" spans="7:7" ht="15" hidden="1" customHeight="1" x14ac:dyDescent="0.35">
      <c r="G86" s="1" t="s">
        <v>237</v>
      </c>
    </row>
    <row r="87" spans="7:7" ht="15" hidden="1" customHeight="1" x14ac:dyDescent="0.35">
      <c r="G87" s="1" t="s">
        <v>238</v>
      </c>
    </row>
    <row r="88" spans="7:7" ht="15" hidden="1" customHeight="1" x14ac:dyDescent="0.35">
      <c r="G88" s="1" t="s">
        <v>239</v>
      </c>
    </row>
    <row r="89" spans="7:7" ht="15" hidden="1" customHeight="1" x14ac:dyDescent="0.35">
      <c r="G89" s="1" t="s">
        <v>240</v>
      </c>
    </row>
    <row r="90" spans="7:7" ht="15" hidden="1" customHeight="1" x14ac:dyDescent="0.35">
      <c r="G90" s="1" t="s">
        <v>241</v>
      </c>
    </row>
    <row r="91" spans="7:7" ht="15" hidden="1" customHeight="1" x14ac:dyDescent="0.35">
      <c r="G91" s="1" t="s">
        <v>242</v>
      </c>
    </row>
    <row r="92" spans="7:7" ht="15" hidden="1" customHeight="1" x14ac:dyDescent="0.35">
      <c r="G92" s="1" t="s">
        <v>243</v>
      </c>
    </row>
    <row r="93" spans="7:7" ht="15" hidden="1" customHeight="1" x14ac:dyDescent="0.35">
      <c r="G93" s="1" t="s">
        <v>244</v>
      </c>
    </row>
    <row r="94" spans="7:7" ht="15" hidden="1" customHeight="1" x14ac:dyDescent="0.35">
      <c r="G94" s="1" t="s">
        <v>245</v>
      </c>
    </row>
    <row r="95" spans="7:7" ht="15" hidden="1" customHeight="1" x14ac:dyDescent="0.35">
      <c r="G95" s="1" t="s">
        <v>246</v>
      </c>
    </row>
    <row r="96" spans="7:7" ht="15" hidden="1" customHeight="1" x14ac:dyDescent="0.35">
      <c r="G96" s="1" t="s">
        <v>39</v>
      </c>
    </row>
    <row r="97" spans="7:7" ht="15" hidden="1" customHeight="1" x14ac:dyDescent="0.35">
      <c r="G97" s="1" t="s">
        <v>247</v>
      </c>
    </row>
    <row r="98" spans="7:7" ht="15" hidden="1" customHeight="1" x14ac:dyDescent="0.35">
      <c r="G98" s="1" t="s">
        <v>248</v>
      </c>
    </row>
    <row r="99" spans="7:7" ht="15" hidden="1" customHeight="1" x14ac:dyDescent="0.35">
      <c r="G99" s="1" t="s">
        <v>249</v>
      </c>
    </row>
    <row r="100" spans="7:7" ht="15" hidden="1" customHeight="1" x14ac:dyDescent="0.35">
      <c r="G100" s="1" t="s">
        <v>250</v>
      </c>
    </row>
    <row r="101" spans="7:7" ht="15" hidden="1" customHeight="1" x14ac:dyDescent="0.35">
      <c r="G101" s="1" t="s">
        <v>251</v>
      </c>
    </row>
    <row r="102" spans="7:7" ht="15" hidden="1" customHeight="1" x14ac:dyDescent="0.35">
      <c r="G102" s="1" t="s">
        <v>252</v>
      </c>
    </row>
    <row r="103" spans="7:7" ht="15" hidden="1" customHeight="1" x14ac:dyDescent="0.35">
      <c r="G103" s="1" t="s">
        <v>253</v>
      </c>
    </row>
  </sheetData>
  <sheetProtection formatCells="0" formatColumns="0" formatRows="0" insertColumns="0" insertRows="0" insertHyperlinks="0" deleteColumns="0" deleteRows="0" sort="0" autoFilter="0" pivotTables="0"/>
  <mergeCells count="147">
    <mergeCell ref="I36:J36"/>
    <mergeCell ref="H38:I38"/>
    <mergeCell ref="H39:I39"/>
    <mergeCell ref="H40:I40"/>
    <mergeCell ref="N6:O10"/>
    <mergeCell ref="P6:Q10"/>
    <mergeCell ref="H27:H30"/>
    <mergeCell ref="I31:J31"/>
    <mergeCell ref="I32:J32"/>
    <mergeCell ref="I33:J33"/>
    <mergeCell ref="I34:J34"/>
    <mergeCell ref="I35:J35"/>
    <mergeCell ref="O12:O13"/>
    <mergeCell ref="P12:P13"/>
    <mergeCell ref="Q12:Q13"/>
    <mergeCell ref="D23:E23"/>
    <mergeCell ref="H23:H26"/>
    <mergeCell ref="D24:E24"/>
    <mergeCell ref="AE20:AE21"/>
    <mergeCell ref="AF20:AF21"/>
    <mergeCell ref="AG20:AG21"/>
    <mergeCell ref="AH20:AH21"/>
    <mergeCell ref="I20:I21"/>
    <mergeCell ref="J20:J21"/>
    <mergeCell ref="K20:K21"/>
    <mergeCell ref="L20:L21"/>
    <mergeCell ref="M20:M21"/>
    <mergeCell ref="N20:N21"/>
    <mergeCell ref="A20:A21"/>
    <mergeCell ref="B20:B21"/>
    <mergeCell ref="C20:C21"/>
    <mergeCell ref="D20:D21"/>
    <mergeCell ref="E20:E21"/>
    <mergeCell ref="F20:F21"/>
    <mergeCell ref="G20:G21"/>
    <mergeCell ref="H20:H21"/>
    <mergeCell ref="L18:L19"/>
    <mergeCell ref="F18:F19"/>
    <mergeCell ref="G18:G19"/>
    <mergeCell ref="H18:H19"/>
    <mergeCell ref="I18:I19"/>
    <mergeCell ref="J18:J19"/>
    <mergeCell ref="K18:K19"/>
    <mergeCell ref="AH16:AH17"/>
    <mergeCell ref="A18:A19"/>
    <mergeCell ref="B18:B19"/>
    <mergeCell ref="C18:C19"/>
    <mergeCell ref="D18:D19"/>
    <mergeCell ref="E18:E19"/>
    <mergeCell ref="I16:I17"/>
    <mergeCell ref="J16:J17"/>
    <mergeCell ref="K16:K17"/>
    <mergeCell ref="L16:L17"/>
    <mergeCell ref="M16:M17"/>
    <mergeCell ref="N16:N17"/>
    <mergeCell ref="AG18:AG19"/>
    <mergeCell ref="AH18:AH19"/>
    <mergeCell ref="M18:M19"/>
    <mergeCell ref="N18:N19"/>
    <mergeCell ref="AE18:AE19"/>
    <mergeCell ref="AF18:AF19"/>
    <mergeCell ref="AG14:AG15"/>
    <mergeCell ref="AH14:AH15"/>
    <mergeCell ref="A16:A17"/>
    <mergeCell ref="B16:B17"/>
    <mergeCell ref="C16:C17"/>
    <mergeCell ref="D16:D17"/>
    <mergeCell ref="E16:E17"/>
    <mergeCell ref="F16:F17"/>
    <mergeCell ref="G16:G17"/>
    <mergeCell ref="H16:H17"/>
    <mergeCell ref="L14:L15"/>
    <mergeCell ref="M14:M15"/>
    <mergeCell ref="N14:N15"/>
    <mergeCell ref="AE14:AE15"/>
    <mergeCell ref="AF14:AF15"/>
    <mergeCell ref="F14:F15"/>
    <mergeCell ref="G14:G15"/>
    <mergeCell ref="H14:H15"/>
    <mergeCell ref="I14:I15"/>
    <mergeCell ref="J14:J15"/>
    <mergeCell ref="K14:K15"/>
    <mergeCell ref="AE16:AE17"/>
    <mergeCell ref="AF16:AF17"/>
    <mergeCell ref="AG16:AG17"/>
    <mergeCell ref="AD12:AD13"/>
    <mergeCell ref="AE12:AE13"/>
    <mergeCell ref="AF12:AF13"/>
    <mergeCell ref="AG12:AG13"/>
    <mergeCell ref="AH12:AH13"/>
    <mergeCell ref="A14:A15"/>
    <mergeCell ref="B14:B15"/>
    <mergeCell ref="C14:C15"/>
    <mergeCell ref="D14:D15"/>
    <mergeCell ref="E14:E15"/>
    <mergeCell ref="X12:X13"/>
    <mergeCell ref="Y12:Y13"/>
    <mergeCell ref="Z12:Z13"/>
    <mergeCell ref="AA12:AA13"/>
    <mergeCell ref="AB12:AB13"/>
    <mergeCell ref="AC12:AC13"/>
    <mergeCell ref="R12:R13"/>
    <mergeCell ref="S12:S13"/>
    <mergeCell ref="T12:T13"/>
    <mergeCell ref="U12:U13"/>
    <mergeCell ref="V12:V13"/>
    <mergeCell ref="W12:W13"/>
    <mergeCell ref="M12:M13"/>
    <mergeCell ref="N12:N13"/>
    <mergeCell ref="R6:U10"/>
    <mergeCell ref="V6:Y10"/>
    <mergeCell ref="G12:G13"/>
    <mergeCell ref="H12:H13"/>
    <mergeCell ref="I12:I13"/>
    <mergeCell ref="J12:J13"/>
    <mergeCell ref="K12:K13"/>
    <mergeCell ref="L12:L13"/>
    <mergeCell ref="A12:A13"/>
    <mergeCell ref="B12:B13"/>
    <mergeCell ref="C12:C13"/>
    <mergeCell ref="D12:D13"/>
    <mergeCell ref="E12:E13"/>
    <mergeCell ref="F12:F13"/>
    <mergeCell ref="B42:B43"/>
    <mergeCell ref="C42:C43"/>
    <mergeCell ref="D42:D43"/>
    <mergeCell ref="E42:E43"/>
    <mergeCell ref="F42:F43"/>
    <mergeCell ref="G42:G43"/>
    <mergeCell ref="M42:M43"/>
    <mergeCell ref="A1:C3"/>
    <mergeCell ref="D1:AH3"/>
    <mergeCell ref="A4:A5"/>
    <mergeCell ref="G4:G5"/>
    <mergeCell ref="A6:B10"/>
    <mergeCell ref="C6:D10"/>
    <mergeCell ref="E6:F10"/>
    <mergeCell ref="G6:G10"/>
    <mergeCell ref="H6:I10"/>
    <mergeCell ref="J6:J10"/>
    <mergeCell ref="A11:F11"/>
    <mergeCell ref="G11:N11"/>
    <mergeCell ref="O11:AD11"/>
    <mergeCell ref="AE11:AH11"/>
    <mergeCell ref="Z6:AG10"/>
    <mergeCell ref="K6:L10"/>
    <mergeCell ref="M6:M10"/>
  </mergeCells>
  <conditionalFormatting sqref="I4">
    <cfRule type="cellIs" dxfId="111" priority="16" operator="lessThanOrEqual">
      <formula>$C$4</formula>
    </cfRule>
  </conditionalFormatting>
  <conditionalFormatting sqref="J6">
    <cfRule type="cellIs" dxfId="110" priority="17" operator="greaterThanOrEqual">
      <formula>$C$5</formula>
    </cfRule>
    <cfRule type="cellIs" dxfId="109" priority="18" operator="lessThanOrEqual">
      <formula>$C$4</formula>
    </cfRule>
    <cfRule type="cellIs" dxfId="108" priority="19" operator="between">
      <formula>$C$5</formula>
      <formula>$C$4</formula>
    </cfRule>
  </conditionalFormatting>
  <conditionalFormatting sqref="P6">
    <cfRule type="cellIs" dxfId="107" priority="13" operator="greaterThanOrEqual">
      <formula>$I$5</formula>
    </cfRule>
    <cfRule type="cellIs" dxfId="106" priority="14" operator="lessThanOrEqual">
      <formula>$I$4</formula>
    </cfRule>
    <cfRule type="cellIs" dxfId="105" priority="15" operator="between">
      <formula>$I$5</formula>
      <formula>$I$4</formula>
    </cfRule>
  </conditionalFormatting>
  <conditionalFormatting sqref="Q14:Q21">
    <cfRule type="cellIs" dxfId="104" priority="10" operator="greaterThanOrEqual">
      <formula>$C$5</formula>
    </cfRule>
    <cfRule type="cellIs" dxfId="103" priority="11" operator="lessThanOrEqual">
      <formula>$C$4</formula>
    </cfRule>
    <cfRule type="cellIs" dxfId="102" priority="12" operator="between">
      <formula>$C$5</formula>
      <formula>$C$4</formula>
    </cfRule>
  </conditionalFormatting>
  <conditionalFormatting sqref="S31:S34 W31:W34 O31:O36 AA31:AA36 K32:N32 P32:R32 T32:V32 X32:Z32 AB32:AD32 J40">
    <cfRule type="cellIs" dxfId="101" priority="20" operator="greaterThanOrEqual">
      <formula>$D$9</formula>
    </cfRule>
    <cfRule type="cellIs" dxfId="100" priority="21" operator="lessThanOrEqual">
      <formula>$C$6</formula>
    </cfRule>
    <cfRule type="cellIs" dxfId="99" priority="22" operator="between">
      <formula>$C$6</formula>
      <formula>$D$9</formula>
    </cfRule>
  </conditionalFormatting>
  <conditionalFormatting sqref="V6">
    <cfRule type="cellIs" dxfId="98" priority="7" operator="greaterThanOrEqual">
      <formula>$I$5</formula>
    </cfRule>
    <cfRule type="cellIs" dxfId="97" priority="8" operator="lessThanOrEqual">
      <formula>$I$4</formula>
    </cfRule>
    <cfRule type="cellIs" dxfId="96" priority="9" operator="between">
      <formula>$I$5</formula>
      <formula>$I$4</formula>
    </cfRule>
  </conditionalFormatting>
  <dataValidations count="10">
    <dataValidation type="decimal" allowBlank="1" showInputMessage="1" showErrorMessage="1" prompt="valor porcentual de la activida - Indique el peso porcentual de la actividad dentro del proyecto" sqref="P14 P16 P18 P20" xr:uid="{07DF923D-4BB0-4395-AE9F-CC4F09E8F845}">
      <formula1>0</formula1>
      <formula2>1</formula2>
    </dataValidation>
    <dataValidation type="decimal" allowBlank="1" showInputMessage="1" showErrorMessage="1" prompt="campo calculado  - indica el % de avance  que aporta la activadad a todo el proyecto" sqref="P19 P17 P15 P21" xr:uid="{14AEF5D2-97C4-4623-B848-84B3A1025B00}">
      <formula1>0</formula1>
      <formula2>1</formula2>
    </dataValidation>
    <dataValidation type="decimal" allowBlank="1" showInputMessage="1" showErrorMessage="1" prompt="% de avance en la actividad - indique el % programado de avance durante esta semana_x000a_" sqref="R14:AD21" xr:uid="{2A6A181D-2139-4997-B630-373AD7942437}">
      <formula1>0</formula1>
      <formula2>1</formula2>
    </dataValidation>
    <dataValidation allowBlank="1" showErrorMessage="1" sqref="Q14:Q21" xr:uid="{0DFCBA36-AC2F-47FC-9A73-3E4423964CFA}"/>
    <dataValidation type="list" allowBlank="1" showInputMessage="1" showErrorMessage="1" sqref="B14:B21" xr:uid="{1440E5A4-3D85-4719-9DB8-831524C670FE}">
      <formula1>$B$44:$B$51</formula1>
    </dataValidation>
    <dataValidation type="list" allowBlank="1" showInputMessage="1" showErrorMessage="1" sqref="C14:C21" xr:uid="{0CE98EF0-D339-4893-A536-8C0AB5488318}">
      <formula1>$C$44:$C$53</formula1>
    </dataValidation>
    <dataValidation type="list" allowBlank="1" showInputMessage="1" showErrorMessage="1" sqref="D14:D21" xr:uid="{2B6577D5-883C-46EC-9695-12C2FB524307}">
      <formula1>$D$44:$D$50</formula1>
    </dataValidation>
    <dataValidation type="list" allowBlank="1" showInputMessage="1" showErrorMessage="1" sqref="E14:E21" xr:uid="{78471A17-1766-47E9-BCF2-69EC7E58D7D1}">
      <formula1>$E$44:$E$62</formula1>
    </dataValidation>
    <dataValidation type="list" allowBlank="1" showInputMessage="1" showErrorMessage="1" sqref="G14:G21" xr:uid="{179F8CFC-96CF-4DD0-90CC-4061D1B9A98A}">
      <formula1>$G$44:$G$103</formula1>
    </dataValidation>
    <dataValidation type="list" allowBlank="1" showInputMessage="1" showErrorMessage="1" sqref="L14:L21" xr:uid="{0FA7D8E4-F3F1-4E91-9D89-DAD8736EA8B9}">
      <formula1>$L$44:$L$46</formula1>
    </dataValidation>
  </dataValidations>
  <pageMargins left="0.7" right="0.7" top="0.75" bottom="0.75" header="0.3" footer="0.3"/>
  <pageSetup scale="13" orientation="portrait" r:id="rId1"/>
  <headerFooter>
    <oddFooter>&amp;C_x000D_&amp;1#&amp;"Calibri"&amp;10&amp;K008000 DOCUMENTO PÚBLICO</odd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1F01A-C809-40FB-87B9-E571BFA038B5}">
  <dimension ref="A1:AO111"/>
  <sheetViews>
    <sheetView showGridLines="0" view="pageBreakPreview" zoomScale="80" zoomScaleNormal="10" zoomScaleSheetLayoutView="80" zoomScalePageLayoutView="48" workbookViewId="0">
      <selection activeCell="I32" sqref="I32:I33"/>
    </sheetView>
  </sheetViews>
  <sheetFormatPr baseColWidth="10" defaultColWidth="12.54296875" defaultRowHeight="15" customHeight="1" x14ac:dyDescent="0.35"/>
  <cols>
    <col min="1" max="1" width="7.36328125" style="1" customWidth="1"/>
    <col min="2" max="2" width="37.453125" style="1" customWidth="1"/>
    <col min="3" max="3" width="49.36328125" style="1" customWidth="1"/>
    <col min="4" max="4" width="28.54296875" style="1" customWidth="1"/>
    <col min="5" max="5" width="36.453125" style="1" customWidth="1"/>
    <col min="6" max="6" width="28.54296875" style="1" hidden="1" customWidth="1"/>
    <col min="7" max="8" width="28.54296875" style="1" customWidth="1"/>
    <col min="9" max="9" width="41.36328125" style="1" customWidth="1"/>
    <col min="10" max="10" width="28.54296875" style="1" customWidth="1"/>
    <col min="11" max="12" width="19.54296875" style="1" customWidth="1"/>
    <col min="13" max="13" width="28.54296875" style="1" customWidth="1"/>
    <col min="14" max="15" width="18.36328125" style="1" customWidth="1"/>
    <col min="16" max="16" width="29.453125" style="1" customWidth="1"/>
    <col min="17" max="17" width="40.36328125" style="1" customWidth="1"/>
    <col min="18" max="18" width="34.54296875" style="1" customWidth="1"/>
    <col min="19" max="19" width="19.90625" style="1" customWidth="1"/>
    <col min="20" max="21" width="18.36328125" style="1" customWidth="1"/>
    <col min="22" max="24" width="13.6328125" style="1" hidden="1" customWidth="1"/>
    <col min="25" max="37" width="9.54296875" style="1" hidden="1" customWidth="1"/>
    <col min="38" max="38" width="35.6328125" style="1" hidden="1" customWidth="1"/>
    <col min="39" max="39" width="45.90625" style="1" hidden="1" customWidth="1"/>
    <col min="40" max="41" width="42.54296875" style="1" hidden="1" customWidth="1"/>
    <col min="42" max="16384" width="12.54296875" style="1"/>
  </cols>
  <sheetData>
    <row r="1" spans="1:41" s="55" customFormat="1" ht="15" customHeight="1" x14ac:dyDescent="0.35">
      <c r="A1" s="449"/>
      <c r="B1" s="450"/>
      <c r="C1" s="451"/>
      <c r="D1" s="505" t="s">
        <v>1106</v>
      </c>
      <c r="E1" s="505"/>
      <c r="F1" s="505"/>
      <c r="G1" s="505"/>
      <c r="H1" s="505"/>
      <c r="I1" s="505"/>
      <c r="J1" s="505"/>
      <c r="K1" s="505"/>
      <c r="L1" s="505"/>
      <c r="M1" s="505"/>
      <c r="N1" s="505"/>
      <c r="O1" s="505"/>
      <c r="P1" s="505"/>
      <c r="Q1" s="505"/>
      <c r="R1" s="505"/>
      <c r="S1" s="505"/>
      <c r="T1" s="505"/>
      <c r="U1" s="505"/>
      <c r="V1" s="505"/>
      <c r="W1" s="505"/>
      <c r="X1" s="505"/>
      <c r="Y1" s="505"/>
      <c r="Z1" s="505"/>
      <c r="AA1" s="505"/>
      <c r="AB1" s="505"/>
      <c r="AC1" s="505"/>
      <c r="AD1" s="505"/>
      <c r="AE1" s="505"/>
      <c r="AF1" s="505"/>
      <c r="AG1" s="505"/>
      <c r="AH1" s="505"/>
      <c r="AI1" s="505"/>
      <c r="AJ1" s="505"/>
      <c r="AK1" s="505"/>
      <c r="AL1" s="505"/>
      <c r="AM1" s="505"/>
      <c r="AN1" s="505"/>
      <c r="AO1" s="505"/>
    </row>
    <row r="2" spans="1:41" s="55" customFormat="1" ht="20.149999999999999" customHeight="1" x14ac:dyDescent="0.35">
      <c r="A2" s="452"/>
      <c r="B2" s="453"/>
      <c r="C2" s="454"/>
      <c r="D2" s="505"/>
      <c r="E2" s="505"/>
      <c r="F2" s="505"/>
      <c r="G2" s="505"/>
      <c r="H2" s="505"/>
      <c r="I2" s="505"/>
      <c r="J2" s="505"/>
      <c r="K2" s="505"/>
      <c r="L2" s="505"/>
      <c r="M2" s="505"/>
      <c r="N2" s="505"/>
      <c r="O2" s="505"/>
      <c r="P2" s="505"/>
      <c r="Q2" s="505"/>
      <c r="R2" s="505"/>
      <c r="S2" s="505"/>
      <c r="T2" s="505"/>
      <c r="U2" s="505"/>
      <c r="V2" s="505"/>
      <c r="W2" s="505"/>
      <c r="X2" s="505"/>
      <c r="Y2" s="505"/>
      <c r="Z2" s="505"/>
      <c r="AA2" s="505"/>
      <c r="AB2" s="505"/>
      <c r="AC2" s="505"/>
      <c r="AD2" s="505"/>
      <c r="AE2" s="505"/>
      <c r="AF2" s="505"/>
      <c r="AG2" s="505"/>
      <c r="AH2" s="505"/>
      <c r="AI2" s="505"/>
      <c r="AJ2" s="505"/>
      <c r="AK2" s="505"/>
      <c r="AL2" s="505"/>
      <c r="AM2" s="505"/>
      <c r="AN2" s="505"/>
      <c r="AO2" s="505"/>
    </row>
    <row r="3" spans="1:41" s="55" customFormat="1" ht="60" customHeight="1" x14ac:dyDescent="0.35">
      <c r="A3" s="455"/>
      <c r="B3" s="456"/>
      <c r="C3" s="457"/>
      <c r="D3" s="505"/>
      <c r="E3" s="505"/>
      <c r="F3" s="505"/>
      <c r="G3" s="505"/>
      <c r="H3" s="505"/>
      <c r="I3" s="505"/>
      <c r="J3" s="505"/>
      <c r="K3" s="505"/>
      <c r="L3" s="505"/>
      <c r="M3" s="505"/>
      <c r="N3" s="505"/>
      <c r="O3" s="505"/>
      <c r="P3" s="505"/>
      <c r="Q3" s="505"/>
      <c r="R3" s="505"/>
      <c r="S3" s="505"/>
      <c r="T3" s="505"/>
      <c r="U3" s="505"/>
      <c r="V3" s="505"/>
      <c r="W3" s="505"/>
      <c r="X3" s="505"/>
      <c r="Y3" s="505"/>
      <c r="Z3" s="505"/>
      <c r="AA3" s="505"/>
      <c r="AB3" s="505"/>
      <c r="AC3" s="505"/>
      <c r="AD3" s="505"/>
      <c r="AE3" s="505"/>
      <c r="AF3" s="505"/>
      <c r="AG3" s="505"/>
      <c r="AH3" s="505"/>
      <c r="AI3" s="505"/>
      <c r="AJ3" s="505"/>
      <c r="AK3" s="505"/>
      <c r="AL3" s="505"/>
      <c r="AM3" s="505"/>
      <c r="AN3" s="505"/>
      <c r="AO3" s="505"/>
    </row>
    <row r="4" spans="1:41" s="55" customFormat="1" ht="60" hidden="1" customHeight="1" x14ac:dyDescent="0.35">
      <c r="A4" s="447" t="s">
        <v>34</v>
      </c>
      <c r="B4" s="8" t="s">
        <v>35</v>
      </c>
      <c r="C4" s="10">
        <v>0.7</v>
      </c>
      <c r="D4" s="10"/>
      <c r="E4" s="10"/>
      <c r="F4" s="9"/>
      <c r="G4" s="447" t="s">
        <v>36</v>
      </c>
      <c r="H4" s="8" t="s">
        <v>35</v>
      </c>
      <c r="I4" s="10">
        <v>0.7</v>
      </c>
      <c r="J4" s="56"/>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row>
    <row r="5" spans="1:41" s="55" customFormat="1" ht="60" hidden="1" customHeight="1" thickBot="1" x14ac:dyDescent="0.4">
      <c r="A5" s="447"/>
      <c r="B5" s="8" t="s">
        <v>37</v>
      </c>
      <c r="C5" s="11">
        <v>0.9</v>
      </c>
      <c r="D5" s="11"/>
      <c r="E5" s="11"/>
      <c r="F5" s="11">
        <v>1</v>
      </c>
      <c r="G5" s="447"/>
      <c r="H5" s="8" t="s">
        <v>37</v>
      </c>
      <c r="I5" s="11">
        <v>0.95</v>
      </c>
      <c r="J5" s="56"/>
      <c r="K5" s="57"/>
      <c r="L5" s="57"/>
      <c r="M5" s="57"/>
      <c r="N5" s="57"/>
      <c r="O5" s="57"/>
      <c r="P5" s="57"/>
      <c r="Q5" s="57"/>
      <c r="R5" s="57"/>
      <c r="S5" s="57"/>
      <c r="T5" s="57"/>
      <c r="U5" s="57"/>
      <c r="V5" s="57"/>
      <c r="W5" s="57"/>
      <c r="X5" s="57"/>
      <c r="Y5" s="57"/>
      <c r="Z5" s="57"/>
      <c r="AA5" s="57"/>
      <c r="AB5" s="57"/>
      <c r="AC5" s="57"/>
      <c r="AD5" s="57"/>
      <c r="AE5" s="57"/>
      <c r="AF5" s="57"/>
      <c r="AG5" s="57"/>
      <c r="AH5" s="57"/>
      <c r="AI5" s="57"/>
      <c r="AJ5" s="57"/>
      <c r="AK5" s="57"/>
      <c r="AL5" s="57"/>
      <c r="AM5" s="57"/>
    </row>
    <row r="6" spans="1:41" ht="15" hidden="1" customHeight="1" x14ac:dyDescent="0.35">
      <c r="A6" s="597" t="s">
        <v>38</v>
      </c>
      <c r="B6" s="597"/>
      <c r="C6" s="534" t="s">
        <v>132</v>
      </c>
      <c r="D6" s="534"/>
      <c r="E6" s="598" t="s">
        <v>40</v>
      </c>
      <c r="F6" s="598"/>
      <c r="G6" s="536" t="e">
        <f>+W15+W17+W19+W21+W23+W25+#REF!+#REF!</f>
        <v>#REF!</v>
      </c>
      <c r="H6" s="598" t="s">
        <v>256</v>
      </c>
      <c r="I6" s="598"/>
      <c r="J6" s="650" t="e">
        <f>+W14+W16+W18+W20+W22+W24+#REF!+#REF!</f>
        <v>#REF!</v>
      </c>
      <c r="K6" s="603" t="s">
        <v>41</v>
      </c>
      <c r="L6" s="604"/>
      <c r="M6" s="485">
        <v>0.95</v>
      </c>
      <c r="N6" s="597" t="s">
        <v>1079</v>
      </c>
      <c r="O6" s="597"/>
      <c r="P6" s="470" t="e">
        <f>(SUM(Y14:AE14,Y16:AE16,Y18:AE18,Y20:AE20,Y22:AE22,Y24:AE24,#REF!,#REF!)/SUM(Y15:AE15,Y17:AE17,Y19:AE19,Y21:AE21,Y23:AE23,Y25:AE25,#REF!,#REF!))/M6</f>
        <v>#REF!</v>
      </c>
      <c r="Q6" s="471"/>
      <c r="R6" s="472"/>
      <c r="S6" s="609" t="s">
        <v>1080</v>
      </c>
      <c r="T6" s="610"/>
      <c r="U6" s="470" t="e">
        <f>SUM(AJ14:AK14,AJ16:AK16,AJ18:AK18,AJ20:AK20,AJ22:AK22,AJ24:AK24,#REF!,#REF!)/SUM(AJ15:AK15,AJ17:AK17,AJ19:AK19,AJ21:AK21,AJ23:AK23,AJ25:AK25,#REF!,#REF!)/M6</f>
        <v>#REF!</v>
      </c>
      <c r="V6" s="471"/>
      <c r="W6" s="471"/>
      <c r="X6" s="689"/>
      <c r="Y6" s="689"/>
      <c r="Z6" s="689"/>
      <c r="AA6" s="689"/>
      <c r="AB6" s="689"/>
      <c r="AC6" s="689"/>
      <c r="AD6" s="689"/>
      <c r="AE6" s="689"/>
      <c r="AF6" s="689"/>
      <c r="AG6" s="689"/>
      <c r="AH6" s="689"/>
      <c r="AI6" s="689"/>
      <c r="AJ6" s="689"/>
      <c r="AK6" s="689"/>
      <c r="AL6" s="689"/>
      <c r="AM6" s="689"/>
      <c r="AN6" s="689"/>
      <c r="AO6" s="689"/>
    </row>
    <row r="7" spans="1:41" ht="15" hidden="1" customHeight="1" x14ac:dyDescent="0.35">
      <c r="A7" s="597"/>
      <c r="B7" s="597"/>
      <c r="C7" s="534"/>
      <c r="D7" s="534"/>
      <c r="E7" s="598"/>
      <c r="F7" s="598"/>
      <c r="G7" s="537"/>
      <c r="H7" s="598"/>
      <c r="I7" s="598"/>
      <c r="J7" s="651"/>
      <c r="K7" s="605"/>
      <c r="L7" s="606"/>
      <c r="M7" s="486"/>
      <c r="N7" s="597"/>
      <c r="O7" s="597"/>
      <c r="P7" s="473"/>
      <c r="Q7" s="474"/>
      <c r="R7" s="475"/>
      <c r="S7" s="612"/>
      <c r="T7" s="613"/>
      <c r="U7" s="473"/>
      <c r="V7" s="474"/>
      <c r="W7" s="474"/>
      <c r="X7" s="689"/>
      <c r="Y7" s="689"/>
      <c r="Z7" s="689"/>
      <c r="AA7" s="689"/>
      <c r="AB7" s="689"/>
      <c r="AC7" s="689"/>
      <c r="AD7" s="689"/>
      <c r="AE7" s="689"/>
      <c r="AF7" s="689"/>
      <c r="AG7" s="689"/>
      <c r="AH7" s="689"/>
      <c r="AI7" s="689"/>
      <c r="AJ7" s="689"/>
      <c r="AK7" s="689"/>
      <c r="AL7" s="689"/>
      <c r="AM7" s="689"/>
      <c r="AN7" s="689"/>
      <c r="AO7" s="689"/>
    </row>
    <row r="8" spans="1:41" ht="15" hidden="1" customHeight="1" x14ac:dyDescent="0.35">
      <c r="A8" s="597"/>
      <c r="B8" s="597"/>
      <c r="C8" s="534"/>
      <c r="D8" s="534"/>
      <c r="E8" s="598"/>
      <c r="F8" s="598"/>
      <c r="G8" s="537"/>
      <c r="H8" s="598"/>
      <c r="I8" s="598"/>
      <c r="J8" s="651"/>
      <c r="K8" s="605"/>
      <c r="L8" s="606"/>
      <c r="M8" s="486"/>
      <c r="N8" s="597"/>
      <c r="O8" s="597"/>
      <c r="P8" s="473"/>
      <c r="Q8" s="474"/>
      <c r="R8" s="475"/>
      <c r="S8" s="612"/>
      <c r="T8" s="613"/>
      <c r="U8" s="473"/>
      <c r="V8" s="474"/>
      <c r="W8" s="474"/>
      <c r="X8" s="689"/>
      <c r="Y8" s="689"/>
      <c r="Z8" s="689"/>
      <c r="AA8" s="689"/>
      <c r="AB8" s="689"/>
      <c r="AC8" s="689"/>
      <c r="AD8" s="689"/>
      <c r="AE8" s="689"/>
      <c r="AF8" s="689"/>
      <c r="AG8" s="689"/>
      <c r="AH8" s="689"/>
      <c r="AI8" s="689"/>
      <c r="AJ8" s="689"/>
      <c r="AK8" s="689"/>
      <c r="AL8" s="689"/>
      <c r="AM8" s="689"/>
      <c r="AN8" s="689"/>
      <c r="AO8" s="689"/>
    </row>
    <row r="9" spans="1:41" ht="15" hidden="1" customHeight="1" x14ac:dyDescent="0.35">
      <c r="A9" s="597"/>
      <c r="B9" s="597"/>
      <c r="C9" s="534"/>
      <c r="D9" s="534"/>
      <c r="E9" s="598"/>
      <c r="F9" s="598"/>
      <c r="G9" s="537"/>
      <c r="H9" s="598"/>
      <c r="I9" s="598"/>
      <c r="J9" s="651"/>
      <c r="K9" s="605"/>
      <c r="L9" s="606"/>
      <c r="M9" s="486"/>
      <c r="N9" s="597"/>
      <c r="O9" s="597"/>
      <c r="P9" s="473"/>
      <c r="Q9" s="474"/>
      <c r="R9" s="475"/>
      <c r="S9" s="612"/>
      <c r="T9" s="613"/>
      <c r="U9" s="473"/>
      <c r="V9" s="474"/>
      <c r="W9" s="474"/>
      <c r="X9" s="689"/>
      <c r="Y9" s="689"/>
      <c r="Z9" s="689"/>
      <c r="AA9" s="689"/>
      <c r="AB9" s="689"/>
      <c r="AC9" s="689"/>
      <c r="AD9" s="689"/>
      <c r="AE9" s="689"/>
      <c r="AF9" s="689"/>
      <c r="AG9" s="689"/>
      <c r="AH9" s="689"/>
      <c r="AI9" s="689"/>
      <c r="AJ9" s="689"/>
      <c r="AK9" s="689"/>
      <c r="AL9" s="689"/>
      <c r="AM9" s="689"/>
      <c r="AN9" s="689"/>
      <c r="AO9" s="689"/>
    </row>
    <row r="10" spans="1:41" ht="15" hidden="1" customHeight="1" thickBot="1" x14ac:dyDescent="0.4">
      <c r="A10" s="597"/>
      <c r="B10" s="597"/>
      <c r="C10" s="534"/>
      <c r="D10" s="534"/>
      <c r="E10" s="598"/>
      <c r="F10" s="598"/>
      <c r="G10" s="599"/>
      <c r="H10" s="598"/>
      <c r="I10" s="598"/>
      <c r="J10" s="652"/>
      <c r="K10" s="607"/>
      <c r="L10" s="608"/>
      <c r="M10" s="487"/>
      <c r="N10" s="597"/>
      <c r="O10" s="597"/>
      <c r="P10" s="476"/>
      <c r="Q10" s="477"/>
      <c r="R10" s="478"/>
      <c r="S10" s="615"/>
      <c r="T10" s="616"/>
      <c r="U10" s="476"/>
      <c r="V10" s="477"/>
      <c r="W10" s="477"/>
      <c r="X10" s="689"/>
      <c r="Y10" s="689"/>
      <c r="Z10" s="689"/>
      <c r="AA10" s="689"/>
      <c r="AB10" s="689"/>
      <c r="AC10" s="689"/>
      <c r="AD10" s="689"/>
      <c r="AE10" s="689"/>
      <c r="AF10" s="689"/>
      <c r="AG10" s="689"/>
      <c r="AH10" s="689"/>
      <c r="AI10" s="689"/>
      <c r="AJ10" s="689"/>
      <c r="AK10" s="689"/>
      <c r="AL10" s="689"/>
      <c r="AM10" s="689"/>
      <c r="AN10" s="689"/>
      <c r="AO10" s="689"/>
    </row>
    <row r="11" spans="1:41" s="12" customFormat="1" ht="40.4" customHeight="1" thickBot="1" x14ac:dyDescent="0.4">
      <c r="A11" s="432" t="s">
        <v>46</v>
      </c>
      <c r="B11" s="432"/>
      <c r="C11" s="432"/>
      <c r="D11" s="432"/>
      <c r="E11" s="432"/>
      <c r="F11" s="433"/>
      <c r="G11" s="684" t="s">
        <v>47</v>
      </c>
      <c r="H11" s="685"/>
      <c r="I11" s="685"/>
      <c r="J11" s="685"/>
      <c r="K11" s="685"/>
      <c r="L11" s="685"/>
      <c r="M11" s="685"/>
      <c r="N11" s="685"/>
      <c r="O11" s="685"/>
      <c r="P11" s="685"/>
      <c r="Q11" s="685"/>
      <c r="R11" s="685"/>
      <c r="S11" s="685"/>
      <c r="T11" s="685"/>
      <c r="U11" s="686"/>
      <c r="V11" s="653" t="s">
        <v>48</v>
      </c>
      <c r="W11" s="654"/>
      <c r="X11" s="654"/>
      <c r="Y11" s="654"/>
      <c r="Z11" s="654"/>
      <c r="AA11" s="654"/>
      <c r="AB11" s="654"/>
      <c r="AC11" s="654"/>
      <c r="AD11" s="654"/>
      <c r="AE11" s="654"/>
      <c r="AF11" s="654"/>
      <c r="AG11" s="654"/>
      <c r="AH11" s="654"/>
      <c r="AI11" s="654"/>
      <c r="AJ11" s="654"/>
      <c r="AK11" s="655"/>
      <c r="AL11" s="653" t="s">
        <v>49</v>
      </c>
      <c r="AM11" s="654"/>
      <c r="AN11" s="654"/>
      <c r="AO11" s="654"/>
    </row>
    <row r="12" spans="1:41" ht="39" customHeight="1" x14ac:dyDescent="0.35">
      <c r="A12" s="437" t="s">
        <v>50</v>
      </c>
      <c r="B12" s="439" t="s">
        <v>51</v>
      </c>
      <c r="C12" s="439" t="s">
        <v>52</v>
      </c>
      <c r="D12" s="439" t="s">
        <v>53</v>
      </c>
      <c r="E12" s="439" t="s">
        <v>54</v>
      </c>
      <c r="F12" s="439" t="s">
        <v>29</v>
      </c>
      <c r="G12" s="439" t="s">
        <v>1107</v>
      </c>
      <c r="H12" s="439" t="s">
        <v>1108</v>
      </c>
      <c r="I12" s="439" t="s">
        <v>1109</v>
      </c>
      <c r="J12" s="439" t="s">
        <v>1110</v>
      </c>
      <c r="K12" s="439" t="s">
        <v>1111</v>
      </c>
      <c r="L12" s="439" t="s">
        <v>1112</v>
      </c>
      <c r="M12" s="439" t="s">
        <v>1113</v>
      </c>
      <c r="N12" s="439" t="s">
        <v>1114</v>
      </c>
      <c r="O12" s="439" t="s">
        <v>1115</v>
      </c>
      <c r="P12" s="439" t="s">
        <v>57</v>
      </c>
      <c r="Q12" s="439" t="s">
        <v>58</v>
      </c>
      <c r="R12" s="439" t="s">
        <v>59</v>
      </c>
      <c r="S12" s="439" t="s">
        <v>60</v>
      </c>
      <c r="T12" s="439" t="s">
        <v>61</v>
      </c>
      <c r="U12" s="439" t="s">
        <v>62</v>
      </c>
      <c r="V12" s="690" t="s">
        <v>63</v>
      </c>
      <c r="W12" s="692" t="s">
        <v>64</v>
      </c>
      <c r="X12" s="694" t="s">
        <v>65</v>
      </c>
      <c r="Y12" s="696" t="s">
        <v>66</v>
      </c>
      <c r="Z12" s="667" t="s">
        <v>67</v>
      </c>
      <c r="AA12" s="665" t="s">
        <v>68</v>
      </c>
      <c r="AB12" s="671" t="s">
        <v>69</v>
      </c>
      <c r="AC12" s="673" t="s">
        <v>70</v>
      </c>
      <c r="AD12" s="671" t="s">
        <v>71</v>
      </c>
      <c r="AE12" s="665" t="s">
        <v>72</v>
      </c>
      <c r="AF12" s="667" t="s">
        <v>73</v>
      </c>
      <c r="AG12" s="669" t="s">
        <v>74</v>
      </c>
      <c r="AH12" s="667" t="s">
        <v>75</v>
      </c>
      <c r="AI12" s="665" t="s">
        <v>76</v>
      </c>
      <c r="AJ12" s="671" t="s">
        <v>77</v>
      </c>
      <c r="AK12" s="662" t="s">
        <v>78</v>
      </c>
      <c r="AL12" s="664" t="s">
        <v>79</v>
      </c>
      <c r="AM12" s="664" t="s">
        <v>80</v>
      </c>
      <c r="AN12" s="664" t="s">
        <v>81</v>
      </c>
      <c r="AO12" s="664" t="s">
        <v>82</v>
      </c>
    </row>
    <row r="13" spans="1:41" ht="60" customHeight="1" thickBot="1" x14ac:dyDescent="0.4">
      <c r="A13" s="438"/>
      <c r="B13" s="438"/>
      <c r="C13" s="438"/>
      <c r="D13" s="438"/>
      <c r="E13" s="438"/>
      <c r="F13" s="438"/>
      <c r="G13" s="438"/>
      <c r="H13" s="438"/>
      <c r="I13" s="438"/>
      <c r="J13" s="438"/>
      <c r="K13" s="438"/>
      <c r="L13" s="438"/>
      <c r="M13" s="438"/>
      <c r="N13" s="438"/>
      <c r="O13" s="438"/>
      <c r="P13" s="438"/>
      <c r="Q13" s="438"/>
      <c r="R13" s="438"/>
      <c r="S13" s="438"/>
      <c r="T13" s="438" t="s">
        <v>1116</v>
      </c>
      <c r="U13" s="438" t="s">
        <v>1117</v>
      </c>
      <c r="V13" s="691"/>
      <c r="W13" s="693"/>
      <c r="X13" s="695"/>
      <c r="Y13" s="697"/>
      <c r="Z13" s="698"/>
      <c r="AA13" s="699"/>
      <c r="AB13" s="700"/>
      <c r="AC13" s="674"/>
      <c r="AD13" s="672"/>
      <c r="AE13" s="666"/>
      <c r="AF13" s="668"/>
      <c r="AG13" s="670"/>
      <c r="AH13" s="668"/>
      <c r="AI13" s="666"/>
      <c r="AJ13" s="672"/>
      <c r="AK13" s="663"/>
      <c r="AL13" s="664"/>
      <c r="AM13" s="664"/>
      <c r="AN13" s="664"/>
      <c r="AO13" s="664"/>
    </row>
    <row r="14" spans="1:41" ht="40.4" customHeight="1" thickBot="1" x14ac:dyDescent="0.4">
      <c r="A14" s="426">
        <v>1</v>
      </c>
      <c r="B14" s="426" t="s">
        <v>99</v>
      </c>
      <c r="C14" s="426" t="s">
        <v>188</v>
      </c>
      <c r="D14" s="426" t="s">
        <v>130</v>
      </c>
      <c r="E14" s="426" t="s">
        <v>131</v>
      </c>
      <c r="F14" s="424" t="s">
        <v>1118</v>
      </c>
      <c r="G14" s="556" t="s">
        <v>1119</v>
      </c>
      <c r="H14" s="701" t="s">
        <v>1120</v>
      </c>
      <c r="I14" s="556" t="s">
        <v>1121</v>
      </c>
      <c r="J14" s="556" t="s">
        <v>1122</v>
      </c>
      <c r="K14" s="556" t="s">
        <v>1122</v>
      </c>
      <c r="L14" s="556" t="s">
        <v>1123</v>
      </c>
      <c r="M14" s="556" t="s">
        <v>1124</v>
      </c>
      <c r="N14" s="556" t="s">
        <v>1125</v>
      </c>
      <c r="O14" s="556" t="s">
        <v>1124</v>
      </c>
      <c r="P14" s="556" t="s">
        <v>1099</v>
      </c>
      <c r="Q14" s="520" t="s">
        <v>1126</v>
      </c>
      <c r="R14" s="520" t="s">
        <v>1127</v>
      </c>
      <c r="S14" s="520" t="s">
        <v>1128</v>
      </c>
      <c r="T14" s="520" t="s">
        <v>1129</v>
      </c>
      <c r="U14" s="520" t="s">
        <v>1130</v>
      </c>
      <c r="V14" s="59" t="s">
        <v>93</v>
      </c>
      <c r="W14" s="53">
        <f>+(W15*X14)</f>
        <v>0.125</v>
      </c>
      <c r="X14" s="65">
        <f>SUM(Y14:AK14)</f>
        <v>1</v>
      </c>
      <c r="Y14" s="43"/>
      <c r="Z14" s="43"/>
      <c r="AA14" s="43"/>
      <c r="AB14" s="43"/>
      <c r="AC14" s="43"/>
      <c r="AD14" s="43">
        <f>75%/X15*AD15</f>
        <v>0.375</v>
      </c>
      <c r="AE14" s="43"/>
      <c r="AF14" s="43"/>
      <c r="AG14" s="44"/>
      <c r="AH14" s="44"/>
      <c r="AI14" s="44"/>
      <c r="AJ14" s="44">
        <v>0.625</v>
      </c>
      <c r="AK14" s="44"/>
      <c r="AL14" s="687" t="s">
        <v>91</v>
      </c>
      <c r="AM14" s="589" t="s">
        <v>1131</v>
      </c>
      <c r="AN14" s="687" t="s">
        <v>91</v>
      </c>
      <c r="AO14" s="677" t="s">
        <v>1132</v>
      </c>
    </row>
    <row r="15" spans="1:41" ht="62.9" customHeight="1" thickBot="1" x14ac:dyDescent="0.4">
      <c r="A15" s="427"/>
      <c r="B15" s="427"/>
      <c r="C15" s="427"/>
      <c r="D15" s="427"/>
      <c r="E15" s="427"/>
      <c r="F15" s="425"/>
      <c r="G15" s="557"/>
      <c r="H15" s="702"/>
      <c r="I15" s="557"/>
      <c r="J15" s="557"/>
      <c r="K15" s="557"/>
      <c r="L15" s="557"/>
      <c r="M15" s="557"/>
      <c r="N15" s="557"/>
      <c r="O15" s="557"/>
      <c r="P15" s="557"/>
      <c r="Q15" s="529"/>
      <c r="R15" s="529"/>
      <c r="S15" s="529"/>
      <c r="T15" s="529"/>
      <c r="U15" s="529"/>
      <c r="V15" s="59" t="s">
        <v>98</v>
      </c>
      <c r="W15" s="52">
        <f>100%/8</f>
        <v>0.125</v>
      </c>
      <c r="X15" s="65">
        <f t="shared" ref="X15:X25" si="0">SUM(Y15:AK15)</f>
        <v>1</v>
      </c>
      <c r="Y15" s="42"/>
      <c r="Z15" s="42"/>
      <c r="AA15" s="42"/>
      <c r="AB15" s="42"/>
      <c r="AC15" s="42"/>
      <c r="AD15" s="42">
        <v>0.5</v>
      </c>
      <c r="AE15" s="42"/>
      <c r="AF15" s="42"/>
      <c r="AG15" s="42"/>
      <c r="AH15" s="42"/>
      <c r="AI15" s="42"/>
      <c r="AJ15" s="42">
        <v>0.5</v>
      </c>
      <c r="AK15" s="42"/>
      <c r="AL15" s="688"/>
      <c r="AM15" s="590"/>
      <c r="AN15" s="688"/>
      <c r="AO15" s="678"/>
    </row>
    <row r="16" spans="1:41" ht="37.4" customHeight="1" thickBot="1" x14ac:dyDescent="0.4">
      <c r="A16" s="426">
        <v>2</v>
      </c>
      <c r="B16" s="426" t="s">
        <v>99</v>
      </c>
      <c r="C16" s="426" t="s">
        <v>142</v>
      </c>
      <c r="D16" s="426" t="s">
        <v>130</v>
      </c>
      <c r="E16" s="426" t="s">
        <v>131</v>
      </c>
      <c r="F16" s="446" t="s">
        <v>1118</v>
      </c>
      <c r="G16" s="556" t="s">
        <v>1119</v>
      </c>
      <c r="H16" s="701" t="s">
        <v>1133</v>
      </c>
      <c r="I16" s="556" t="s">
        <v>1121</v>
      </c>
      <c r="J16" s="556" t="s">
        <v>1122</v>
      </c>
      <c r="K16" s="556" t="s">
        <v>1122</v>
      </c>
      <c r="L16" s="556" t="s">
        <v>1123</v>
      </c>
      <c r="M16" s="556" t="s">
        <v>1124</v>
      </c>
      <c r="N16" s="556" t="s">
        <v>1125</v>
      </c>
      <c r="O16" s="556" t="s">
        <v>1124</v>
      </c>
      <c r="P16" s="556" t="s">
        <v>1099</v>
      </c>
      <c r="Q16" s="520" t="s">
        <v>1126</v>
      </c>
      <c r="R16" s="520" t="s">
        <v>1127</v>
      </c>
      <c r="S16" s="520" t="s">
        <v>1128</v>
      </c>
      <c r="T16" s="520" t="s">
        <v>1129</v>
      </c>
      <c r="U16" s="520" t="s">
        <v>1130</v>
      </c>
      <c r="V16" s="59" t="s">
        <v>93</v>
      </c>
      <c r="W16" s="53">
        <f>+(W17*X16)</f>
        <v>0.125</v>
      </c>
      <c r="X16" s="65">
        <f t="shared" ref="X16:X21" si="1">SUM(Y16:AK16)</f>
        <v>1</v>
      </c>
      <c r="Y16" s="43"/>
      <c r="Z16" s="43"/>
      <c r="AA16" s="43"/>
      <c r="AB16" s="43"/>
      <c r="AC16" s="43"/>
      <c r="AD16" s="43">
        <f>75%/X17*AD17</f>
        <v>0.375</v>
      </c>
      <c r="AE16" s="43"/>
      <c r="AF16" s="43"/>
      <c r="AG16" s="44"/>
      <c r="AH16" s="44"/>
      <c r="AI16" s="44"/>
      <c r="AJ16" s="44">
        <v>0.625</v>
      </c>
      <c r="AK16" s="44"/>
      <c r="AL16" s="687" t="s">
        <v>91</v>
      </c>
      <c r="AM16" s="703" t="s">
        <v>1134</v>
      </c>
      <c r="AN16" s="687" t="s">
        <v>91</v>
      </c>
      <c r="AO16" s="677" t="s">
        <v>1135</v>
      </c>
    </row>
    <row r="17" spans="1:41" ht="61.4" customHeight="1" thickBot="1" x14ac:dyDescent="0.4">
      <c r="A17" s="427"/>
      <c r="B17" s="427"/>
      <c r="C17" s="427"/>
      <c r="D17" s="427"/>
      <c r="E17" s="427"/>
      <c r="F17" s="446"/>
      <c r="G17" s="557"/>
      <c r="H17" s="702"/>
      <c r="I17" s="557"/>
      <c r="J17" s="557"/>
      <c r="K17" s="557"/>
      <c r="L17" s="557"/>
      <c r="M17" s="557"/>
      <c r="N17" s="557"/>
      <c r="O17" s="557"/>
      <c r="P17" s="557"/>
      <c r="Q17" s="529"/>
      <c r="R17" s="529"/>
      <c r="S17" s="529"/>
      <c r="T17" s="529"/>
      <c r="U17" s="529"/>
      <c r="V17" s="59" t="s">
        <v>98</v>
      </c>
      <c r="W17" s="52">
        <f>100%/8</f>
        <v>0.125</v>
      </c>
      <c r="X17" s="65">
        <f t="shared" si="1"/>
        <v>1</v>
      </c>
      <c r="Y17" s="42"/>
      <c r="Z17" s="42"/>
      <c r="AA17" s="42"/>
      <c r="AB17" s="42"/>
      <c r="AC17" s="42"/>
      <c r="AD17" s="42">
        <v>0.5</v>
      </c>
      <c r="AE17" s="42"/>
      <c r="AF17" s="42"/>
      <c r="AG17" s="42"/>
      <c r="AH17" s="42"/>
      <c r="AI17" s="42"/>
      <c r="AJ17" s="42">
        <v>0.5</v>
      </c>
      <c r="AK17" s="42"/>
      <c r="AL17" s="688"/>
      <c r="AM17" s="589"/>
      <c r="AN17" s="688"/>
      <c r="AO17" s="678"/>
    </row>
    <row r="18" spans="1:41" ht="37.4" customHeight="1" thickBot="1" x14ac:dyDescent="0.4">
      <c r="A18" s="426">
        <v>3</v>
      </c>
      <c r="B18" s="426" t="s">
        <v>99</v>
      </c>
      <c r="C18" s="426" t="s">
        <v>129</v>
      </c>
      <c r="D18" s="426" t="s">
        <v>130</v>
      </c>
      <c r="E18" s="426" t="s">
        <v>131</v>
      </c>
      <c r="F18" s="446" t="s">
        <v>1118</v>
      </c>
      <c r="G18" s="556" t="s">
        <v>1119</v>
      </c>
      <c r="H18" s="701" t="s">
        <v>1136</v>
      </c>
      <c r="I18" s="556" t="s">
        <v>1121</v>
      </c>
      <c r="J18" s="556" t="s">
        <v>1122</v>
      </c>
      <c r="K18" s="556" t="s">
        <v>1122</v>
      </c>
      <c r="L18" s="556" t="s">
        <v>1123</v>
      </c>
      <c r="M18" s="556" t="s">
        <v>1124</v>
      </c>
      <c r="N18" s="556" t="s">
        <v>1125</v>
      </c>
      <c r="O18" s="556" t="s">
        <v>1124</v>
      </c>
      <c r="P18" s="556" t="s">
        <v>1099</v>
      </c>
      <c r="Q18" s="520" t="s">
        <v>1126</v>
      </c>
      <c r="R18" s="520" t="s">
        <v>1127</v>
      </c>
      <c r="S18" s="520" t="s">
        <v>1128</v>
      </c>
      <c r="T18" s="520" t="s">
        <v>1129</v>
      </c>
      <c r="U18" s="520" t="s">
        <v>1130</v>
      </c>
      <c r="V18" s="59" t="s">
        <v>93</v>
      </c>
      <c r="W18" s="53">
        <f>+(W19*X18)</f>
        <v>0.125</v>
      </c>
      <c r="X18" s="65">
        <f t="shared" si="1"/>
        <v>1</v>
      </c>
      <c r="Y18" s="43"/>
      <c r="Z18" s="43"/>
      <c r="AA18" s="43"/>
      <c r="AB18" s="43"/>
      <c r="AC18" s="43"/>
      <c r="AD18" s="43">
        <f>75%/X19*AD19</f>
        <v>0.375</v>
      </c>
      <c r="AE18" s="43"/>
      <c r="AF18" s="43"/>
      <c r="AG18" s="44"/>
      <c r="AH18" s="44"/>
      <c r="AI18" s="44"/>
      <c r="AJ18" s="44">
        <v>0.625</v>
      </c>
      <c r="AK18" s="44"/>
      <c r="AL18" s="687" t="s">
        <v>91</v>
      </c>
      <c r="AM18" s="703" t="s">
        <v>1137</v>
      </c>
      <c r="AN18" s="687" t="s">
        <v>91</v>
      </c>
      <c r="AO18" s="677" t="s">
        <v>1138</v>
      </c>
    </row>
    <row r="19" spans="1:41" ht="47.15" customHeight="1" thickBot="1" x14ac:dyDescent="0.4">
      <c r="A19" s="427"/>
      <c r="B19" s="427"/>
      <c r="C19" s="427"/>
      <c r="D19" s="427"/>
      <c r="E19" s="427"/>
      <c r="F19" s="446"/>
      <c r="G19" s="557"/>
      <c r="H19" s="702"/>
      <c r="I19" s="557"/>
      <c r="J19" s="557"/>
      <c r="K19" s="557"/>
      <c r="L19" s="557"/>
      <c r="M19" s="557"/>
      <c r="N19" s="557"/>
      <c r="O19" s="557"/>
      <c r="P19" s="557"/>
      <c r="Q19" s="529"/>
      <c r="R19" s="529"/>
      <c r="S19" s="529"/>
      <c r="T19" s="529"/>
      <c r="U19" s="529"/>
      <c r="V19" s="59" t="s">
        <v>98</v>
      </c>
      <c r="W19" s="52">
        <f>100%/8</f>
        <v>0.125</v>
      </c>
      <c r="X19" s="65">
        <f t="shared" si="1"/>
        <v>1</v>
      </c>
      <c r="Y19" s="42"/>
      <c r="Z19" s="42"/>
      <c r="AA19" s="42"/>
      <c r="AB19" s="42"/>
      <c r="AC19" s="42"/>
      <c r="AD19" s="42">
        <v>0.5</v>
      </c>
      <c r="AE19" s="42"/>
      <c r="AF19" s="42"/>
      <c r="AG19" s="42"/>
      <c r="AH19" s="42"/>
      <c r="AI19" s="42"/>
      <c r="AJ19" s="42">
        <v>0.5</v>
      </c>
      <c r="AK19" s="42"/>
      <c r="AL19" s="688"/>
      <c r="AM19" s="589"/>
      <c r="AN19" s="688"/>
      <c r="AO19" s="678"/>
    </row>
    <row r="20" spans="1:41" ht="44.15" customHeight="1" thickBot="1" x14ac:dyDescent="0.4">
      <c r="A20" s="426">
        <v>4</v>
      </c>
      <c r="B20" s="426" t="s">
        <v>99</v>
      </c>
      <c r="C20" s="426" t="s">
        <v>129</v>
      </c>
      <c r="D20" s="426" t="s">
        <v>130</v>
      </c>
      <c r="E20" s="426" t="s">
        <v>131</v>
      </c>
      <c r="F20" s="446" t="s">
        <v>1118</v>
      </c>
      <c r="G20" s="556" t="s">
        <v>1119</v>
      </c>
      <c r="H20" s="701" t="s">
        <v>1139</v>
      </c>
      <c r="I20" s="556" t="s">
        <v>1121</v>
      </c>
      <c r="J20" s="556" t="s">
        <v>1122</v>
      </c>
      <c r="K20" s="556" t="s">
        <v>1122</v>
      </c>
      <c r="L20" s="556" t="s">
        <v>1123</v>
      </c>
      <c r="M20" s="556" t="s">
        <v>1124</v>
      </c>
      <c r="N20" s="556" t="s">
        <v>1125</v>
      </c>
      <c r="O20" s="556" t="s">
        <v>1124</v>
      </c>
      <c r="P20" s="556" t="s">
        <v>1099</v>
      </c>
      <c r="Q20" s="520" t="s">
        <v>1126</v>
      </c>
      <c r="R20" s="520" t="s">
        <v>1127</v>
      </c>
      <c r="S20" s="520" t="s">
        <v>1128</v>
      </c>
      <c r="T20" s="520" t="s">
        <v>1129</v>
      </c>
      <c r="U20" s="520" t="s">
        <v>1130</v>
      </c>
      <c r="V20" s="59" t="s">
        <v>93</v>
      </c>
      <c r="W20" s="53">
        <f>+(W21*X20)</f>
        <v>0.125</v>
      </c>
      <c r="X20" s="65">
        <f t="shared" si="1"/>
        <v>1</v>
      </c>
      <c r="Y20" s="43"/>
      <c r="Z20" s="43"/>
      <c r="AA20" s="43"/>
      <c r="AB20" s="43"/>
      <c r="AC20" s="43"/>
      <c r="AD20" s="43">
        <f>75%/X21*AD21</f>
        <v>0.375</v>
      </c>
      <c r="AE20" s="43"/>
      <c r="AF20" s="43"/>
      <c r="AG20" s="44"/>
      <c r="AH20" s="44"/>
      <c r="AI20" s="44"/>
      <c r="AJ20" s="44">
        <v>0.625</v>
      </c>
      <c r="AK20" s="44"/>
      <c r="AL20" s="687" t="s">
        <v>91</v>
      </c>
      <c r="AM20" s="589" t="s">
        <v>1140</v>
      </c>
      <c r="AN20" s="687" t="s">
        <v>91</v>
      </c>
      <c r="AO20" s="677" t="s">
        <v>1141</v>
      </c>
    </row>
    <row r="21" spans="1:41" ht="95.15" customHeight="1" thickBot="1" x14ac:dyDescent="0.4">
      <c r="A21" s="427"/>
      <c r="B21" s="427"/>
      <c r="C21" s="427"/>
      <c r="D21" s="427"/>
      <c r="E21" s="427"/>
      <c r="F21" s="446"/>
      <c r="G21" s="557"/>
      <c r="H21" s="702"/>
      <c r="I21" s="557"/>
      <c r="J21" s="557"/>
      <c r="K21" s="557"/>
      <c r="L21" s="557"/>
      <c r="M21" s="557"/>
      <c r="N21" s="557"/>
      <c r="O21" s="557"/>
      <c r="P21" s="557"/>
      <c r="Q21" s="529"/>
      <c r="R21" s="529"/>
      <c r="S21" s="529"/>
      <c r="T21" s="529"/>
      <c r="U21" s="529"/>
      <c r="V21" s="59" t="s">
        <v>98</v>
      </c>
      <c r="W21" s="52">
        <f>100%/8</f>
        <v>0.125</v>
      </c>
      <c r="X21" s="65">
        <f t="shared" si="1"/>
        <v>1</v>
      </c>
      <c r="Y21" s="42"/>
      <c r="Z21" s="42"/>
      <c r="AA21" s="42"/>
      <c r="AB21" s="42"/>
      <c r="AC21" s="42"/>
      <c r="AD21" s="42">
        <v>0.5</v>
      </c>
      <c r="AE21" s="42"/>
      <c r="AF21" s="42"/>
      <c r="AG21" s="42"/>
      <c r="AH21" s="42"/>
      <c r="AI21" s="42"/>
      <c r="AJ21" s="42">
        <v>0.5</v>
      </c>
      <c r="AK21" s="42"/>
      <c r="AL21" s="688"/>
      <c r="AM21" s="590"/>
      <c r="AN21" s="688"/>
      <c r="AO21" s="678"/>
    </row>
    <row r="22" spans="1:41" ht="37.4" customHeight="1" thickBot="1" x14ac:dyDescent="0.4">
      <c r="A22" s="426">
        <v>5</v>
      </c>
      <c r="B22" s="426" t="s">
        <v>99</v>
      </c>
      <c r="C22" s="426" t="s">
        <v>129</v>
      </c>
      <c r="D22" s="426" t="s">
        <v>130</v>
      </c>
      <c r="E22" s="426" t="s">
        <v>131</v>
      </c>
      <c r="F22" s="424" t="s">
        <v>1118</v>
      </c>
      <c r="G22" s="556" t="s">
        <v>1142</v>
      </c>
      <c r="H22" s="701" t="s">
        <v>1143</v>
      </c>
      <c r="I22" s="556" t="s">
        <v>1144</v>
      </c>
      <c r="J22" s="556" t="s">
        <v>1145</v>
      </c>
      <c r="K22" s="556" t="s">
        <v>1122</v>
      </c>
      <c r="L22" s="556" t="s">
        <v>1146</v>
      </c>
      <c r="M22" s="556" t="s">
        <v>1147</v>
      </c>
      <c r="N22" s="556" t="s">
        <v>1125</v>
      </c>
      <c r="O22" s="556" t="s">
        <v>1147</v>
      </c>
      <c r="P22" s="704" t="s">
        <v>1099</v>
      </c>
      <c r="Q22" s="520" t="s">
        <v>1148</v>
      </c>
      <c r="R22" s="520" t="s">
        <v>1127</v>
      </c>
      <c r="S22" s="520" t="s">
        <v>1128</v>
      </c>
      <c r="T22" s="520" t="s">
        <v>1149</v>
      </c>
      <c r="U22" s="520" t="s">
        <v>1130</v>
      </c>
      <c r="V22" s="59" t="s">
        <v>93</v>
      </c>
      <c r="W22" s="53">
        <f>+(W23*X22)</f>
        <v>0.125</v>
      </c>
      <c r="X22" s="65">
        <f t="shared" si="0"/>
        <v>1</v>
      </c>
      <c r="Y22" s="45"/>
      <c r="Z22" s="45"/>
      <c r="AA22" s="45"/>
      <c r="AB22" s="43"/>
      <c r="AC22" s="43"/>
      <c r="AD22" s="43">
        <f>75%/X23*AD23</f>
        <v>0.375</v>
      </c>
      <c r="AE22" s="43"/>
      <c r="AF22" s="43"/>
      <c r="AG22" s="44"/>
      <c r="AH22" s="44"/>
      <c r="AI22" s="44"/>
      <c r="AJ22" s="44">
        <v>0.625</v>
      </c>
      <c r="AK22" s="44"/>
      <c r="AL22" s="687" t="s">
        <v>91</v>
      </c>
      <c r="AM22" s="589" t="s">
        <v>1150</v>
      </c>
      <c r="AN22" s="687" t="s">
        <v>91</v>
      </c>
      <c r="AO22" s="677" t="s">
        <v>1151</v>
      </c>
    </row>
    <row r="23" spans="1:41" ht="37.4" customHeight="1" thickBot="1" x14ac:dyDescent="0.4">
      <c r="A23" s="427"/>
      <c r="B23" s="427"/>
      <c r="C23" s="427"/>
      <c r="D23" s="427"/>
      <c r="E23" s="427"/>
      <c r="F23" s="425"/>
      <c r="G23" s="557"/>
      <c r="H23" s="702"/>
      <c r="I23" s="557"/>
      <c r="J23" s="557"/>
      <c r="K23" s="557"/>
      <c r="L23" s="557"/>
      <c r="M23" s="557"/>
      <c r="N23" s="557"/>
      <c r="O23" s="557"/>
      <c r="P23" s="705"/>
      <c r="Q23" s="529"/>
      <c r="R23" s="529"/>
      <c r="S23" s="529"/>
      <c r="T23" s="529"/>
      <c r="U23" s="529"/>
      <c r="V23" s="59" t="s">
        <v>98</v>
      </c>
      <c r="W23" s="52">
        <f>100%/8</f>
        <v>0.125</v>
      </c>
      <c r="X23" s="65">
        <v>1</v>
      </c>
      <c r="Y23" s="42"/>
      <c r="Z23" s="42"/>
      <c r="AA23" s="42"/>
      <c r="AB23" s="42"/>
      <c r="AC23" s="42"/>
      <c r="AD23" s="42">
        <v>0.5</v>
      </c>
      <c r="AE23" s="42"/>
      <c r="AF23" s="42"/>
      <c r="AG23" s="42"/>
      <c r="AH23" s="42"/>
      <c r="AI23" s="42"/>
      <c r="AJ23" s="42">
        <v>0.5</v>
      </c>
      <c r="AK23" s="42"/>
      <c r="AL23" s="688"/>
      <c r="AM23" s="590"/>
      <c r="AN23" s="688"/>
      <c r="AO23" s="678"/>
    </row>
    <row r="24" spans="1:41" ht="37.4" customHeight="1" thickBot="1" x14ac:dyDescent="0.4">
      <c r="A24" s="426">
        <v>6</v>
      </c>
      <c r="B24" s="426" t="s">
        <v>99</v>
      </c>
      <c r="C24" s="426" t="s">
        <v>129</v>
      </c>
      <c r="D24" s="426" t="s">
        <v>130</v>
      </c>
      <c r="E24" s="426" t="s">
        <v>131</v>
      </c>
      <c r="F24" s="424" t="s">
        <v>1118</v>
      </c>
      <c r="G24" s="556" t="s">
        <v>1142</v>
      </c>
      <c r="H24" s="701" t="s">
        <v>1152</v>
      </c>
      <c r="I24" s="556" t="s">
        <v>1153</v>
      </c>
      <c r="J24" s="556" t="s">
        <v>1154</v>
      </c>
      <c r="K24" s="556" t="s">
        <v>1122</v>
      </c>
      <c r="L24" s="556" t="s">
        <v>1146</v>
      </c>
      <c r="M24" s="556" t="s">
        <v>1147</v>
      </c>
      <c r="N24" s="556" t="s">
        <v>1125</v>
      </c>
      <c r="O24" s="556" t="s">
        <v>1147</v>
      </c>
      <c r="P24" s="704" t="s">
        <v>1099</v>
      </c>
      <c r="Q24" s="520" t="s">
        <v>1148</v>
      </c>
      <c r="R24" s="520" t="s">
        <v>1127</v>
      </c>
      <c r="S24" s="520" t="s">
        <v>1128</v>
      </c>
      <c r="T24" s="520" t="s">
        <v>1155</v>
      </c>
      <c r="U24" s="520" t="s">
        <v>1130</v>
      </c>
      <c r="V24" s="59" t="s">
        <v>93</v>
      </c>
      <c r="W24" s="53">
        <f>+(W25*X24)</f>
        <v>0.125</v>
      </c>
      <c r="X24" s="65">
        <f t="shared" si="0"/>
        <v>1</v>
      </c>
      <c r="Y24" s="58"/>
      <c r="Z24" s="58"/>
      <c r="AA24" s="58"/>
      <c r="AB24" s="43"/>
      <c r="AC24" s="43"/>
      <c r="AD24" s="43">
        <f>75%/X25*AD25</f>
        <v>0.375</v>
      </c>
      <c r="AE24" s="43"/>
      <c r="AF24" s="43"/>
      <c r="AG24" s="44"/>
      <c r="AH24" s="44"/>
      <c r="AI24" s="44"/>
      <c r="AJ24" s="44">
        <v>0.625</v>
      </c>
      <c r="AK24" s="44"/>
      <c r="AL24" s="687" t="s">
        <v>91</v>
      </c>
      <c r="AM24" s="706" t="s">
        <v>1156</v>
      </c>
      <c r="AN24" s="687" t="s">
        <v>91</v>
      </c>
      <c r="AO24" s="677" t="s">
        <v>1157</v>
      </c>
    </row>
    <row r="25" spans="1:41" ht="56.15" customHeight="1" thickBot="1" x14ac:dyDescent="0.4">
      <c r="A25" s="427"/>
      <c r="B25" s="427"/>
      <c r="C25" s="427"/>
      <c r="D25" s="427"/>
      <c r="E25" s="427"/>
      <c r="F25" s="425"/>
      <c r="G25" s="557"/>
      <c r="H25" s="702"/>
      <c r="I25" s="557"/>
      <c r="J25" s="557"/>
      <c r="K25" s="557"/>
      <c r="L25" s="557"/>
      <c r="M25" s="557"/>
      <c r="N25" s="557"/>
      <c r="O25" s="557"/>
      <c r="P25" s="705"/>
      <c r="Q25" s="529"/>
      <c r="R25" s="529"/>
      <c r="S25" s="529"/>
      <c r="T25" s="529"/>
      <c r="U25" s="529"/>
      <c r="V25" s="59" t="s">
        <v>98</v>
      </c>
      <c r="W25" s="52">
        <f>100%/8</f>
        <v>0.125</v>
      </c>
      <c r="X25" s="65">
        <f t="shared" si="0"/>
        <v>1</v>
      </c>
      <c r="Y25" s="42"/>
      <c r="Z25" s="42"/>
      <c r="AA25" s="42"/>
      <c r="AB25" s="42"/>
      <c r="AC25" s="42"/>
      <c r="AD25" s="42">
        <v>0.5</v>
      </c>
      <c r="AE25" s="42"/>
      <c r="AF25" s="42"/>
      <c r="AG25" s="42"/>
      <c r="AH25" s="42"/>
      <c r="AI25" s="42"/>
      <c r="AJ25" s="42">
        <v>0.5</v>
      </c>
      <c r="AK25" s="42"/>
      <c r="AL25" s="688"/>
      <c r="AM25" s="707"/>
      <c r="AN25" s="688"/>
      <c r="AO25" s="678"/>
    </row>
    <row r="26" spans="1:41" ht="36.9" customHeight="1" thickBot="1" x14ac:dyDescent="0.4">
      <c r="A26" s="426">
        <v>7</v>
      </c>
      <c r="B26" s="426" t="s">
        <v>99</v>
      </c>
      <c r="C26" s="426" t="s">
        <v>129</v>
      </c>
      <c r="D26" s="426" t="s">
        <v>130</v>
      </c>
      <c r="E26" s="426" t="s">
        <v>131</v>
      </c>
      <c r="F26" s="424" t="s">
        <v>1118</v>
      </c>
      <c r="G26" s="556" t="s">
        <v>1142</v>
      </c>
      <c r="H26" s="701" t="s">
        <v>1158</v>
      </c>
      <c r="I26" s="556" t="s">
        <v>1159</v>
      </c>
      <c r="J26" s="556" t="s">
        <v>1145</v>
      </c>
      <c r="K26" s="556" t="s">
        <v>1122</v>
      </c>
      <c r="L26" s="556" t="s">
        <v>1146</v>
      </c>
      <c r="M26" s="556" t="s">
        <v>1160</v>
      </c>
      <c r="N26" s="556" t="s">
        <v>1161</v>
      </c>
      <c r="O26" s="556" t="s">
        <v>1147</v>
      </c>
      <c r="P26" s="704" t="s">
        <v>1099</v>
      </c>
      <c r="Q26" s="520" t="s">
        <v>1148</v>
      </c>
      <c r="R26" s="520" t="s">
        <v>1127</v>
      </c>
      <c r="S26" s="520" t="s">
        <v>1128</v>
      </c>
      <c r="T26" s="520" t="s">
        <v>1149</v>
      </c>
      <c r="U26" s="520" t="s">
        <v>1130</v>
      </c>
      <c r="V26" s="59" t="s">
        <v>93</v>
      </c>
      <c r="W26" s="53">
        <f>+(W27*X26)</f>
        <v>0.125</v>
      </c>
      <c r="X26" s="65">
        <f t="shared" ref="X26:X33" si="2">SUM(Y26:AK26)</f>
        <v>1</v>
      </c>
      <c r="Y26" s="45"/>
      <c r="Z26" s="45"/>
      <c r="AA26" s="45"/>
      <c r="AB26" s="45"/>
      <c r="AC26" s="45"/>
      <c r="AD26" s="129">
        <f>75%/X27*AD27</f>
        <v>0.375</v>
      </c>
      <c r="AE26" s="45"/>
      <c r="AF26" s="45"/>
      <c r="AG26" s="45"/>
      <c r="AH26" s="45"/>
      <c r="AI26" s="45"/>
      <c r="AJ26" s="44">
        <v>0.625</v>
      </c>
      <c r="AK26" s="45"/>
      <c r="AL26" s="687" t="s">
        <v>91</v>
      </c>
      <c r="AM26" s="589" t="s">
        <v>1162</v>
      </c>
      <c r="AN26" s="589" t="s">
        <v>1162</v>
      </c>
      <c r="AO26" s="589" t="s">
        <v>1163</v>
      </c>
    </row>
    <row r="27" spans="1:41" ht="37.4" customHeight="1" thickBot="1" x14ac:dyDescent="0.4">
      <c r="A27" s="427"/>
      <c r="B27" s="427"/>
      <c r="C27" s="427"/>
      <c r="D27" s="427"/>
      <c r="E27" s="427"/>
      <c r="F27" s="425"/>
      <c r="G27" s="557"/>
      <c r="H27" s="702"/>
      <c r="I27" s="557"/>
      <c r="J27" s="557"/>
      <c r="K27" s="557"/>
      <c r="L27" s="557"/>
      <c r="M27" s="557"/>
      <c r="N27" s="557"/>
      <c r="O27" s="557"/>
      <c r="P27" s="705"/>
      <c r="Q27" s="529"/>
      <c r="R27" s="529"/>
      <c r="S27" s="529"/>
      <c r="T27" s="529"/>
      <c r="U27" s="529"/>
      <c r="V27" s="59" t="s">
        <v>98</v>
      </c>
      <c r="W27" s="52">
        <f>100%/8</f>
        <v>0.125</v>
      </c>
      <c r="X27" s="65">
        <f t="shared" si="2"/>
        <v>1</v>
      </c>
      <c r="Y27" s="42"/>
      <c r="Z27" s="42"/>
      <c r="AA27" s="42"/>
      <c r="AB27" s="42"/>
      <c r="AC27" s="42"/>
      <c r="AD27" s="42">
        <v>0.5</v>
      </c>
      <c r="AE27" s="42"/>
      <c r="AF27" s="42"/>
      <c r="AG27" s="42"/>
      <c r="AH27" s="42"/>
      <c r="AI27" s="42"/>
      <c r="AJ27" s="42">
        <v>0.5</v>
      </c>
      <c r="AK27" s="42"/>
      <c r="AL27" s="688"/>
      <c r="AM27" s="590"/>
      <c r="AN27" s="590"/>
      <c r="AO27" s="590"/>
    </row>
    <row r="28" spans="1:41" ht="36.9" customHeight="1" thickBot="1" x14ac:dyDescent="0.4">
      <c r="A28" s="426">
        <v>8</v>
      </c>
      <c r="B28" s="426" t="s">
        <v>99</v>
      </c>
      <c r="C28" s="426" t="s">
        <v>129</v>
      </c>
      <c r="D28" s="426" t="s">
        <v>130</v>
      </c>
      <c r="E28" s="426" t="s">
        <v>131</v>
      </c>
      <c r="F28" s="446" t="s">
        <v>1118</v>
      </c>
      <c r="G28" s="556" t="s">
        <v>1164</v>
      </c>
      <c r="H28" s="701" t="s">
        <v>1165</v>
      </c>
      <c r="I28" s="556" t="s">
        <v>1166</v>
      </c>
      <c r="J28" s="556" t="s">
        <v>1122</v>
      </c>
      <c r="K28" s="556" t="s">
        <v>1122</v>
      </c>
      <c r="L28" s="556" t="s">
        <v>1146</v>
      </c>
      <c r="M28" s="556" t="s">
        <v>1147</v>
      </c>
      <c r="N28" s="556" t="s">
        <v>1125</v>
      </c>
      <c r="O28" s="556" t="s">
        <v>1147</v>
      </c>
      <c r="P28" s="556" t="s">
        <v>1099</v>
      </c>
      <c r="Q28" s="520" t="s">
        <v>1167</v>
      </c>
      <c r="R28" s="520" t="s">
        <v>1127</v>
      </c>
      <c r="S28" s="520" t="s">
        <v>1128</v>
      </c>
      <c r="T28" s="520" t="s">
        <v>1155</v>
      </c>
      <c r="U28" s="520" t="s">
        <v>1130</v>
      </c>
      <c r="V28" s="59" t="s">
        <v>93</v>
      </c>
      <c r="W28" s="53">
        <f>+(W29*X28)</f>
        <v>0.125</v>
      </c>
      <c r="X28" s="65">
        <f t="shared" si="2"/>
        <v>1</v>
      </c>
      <c r="Y28" s="45"/>
      <c r="Z28" s="45"/>
      <c r="AA28" s="45"/>
      <c r="AB28" s="45"/>
      <c r="AC28" s="45"/>
      <c r="AD28" s="129">
        <f>75%/X29*AD29</f>
        <v>0.375</v>
      </c>
      <c r="AE28" s="45"/>
      <c r="AF28" s="45"/>
      <c r="AG28" s="45"/>
      <c r="AH28" s="45"/>
      <c r="AI28" s="45"/>
      <c r="AJ28" s="44">
        <v>0.625</v>
      </c>
      <c r="AK28" s="45"/>
      <c r="AL28" s="687" t="s">
        <v>91</v>
      </c>
      <c r="AM28" s="589" t="s">
        <v>1162</v>
      </c>
      <c r="AN28" s="589" t="s">
        <v>1162</v>
      </c>
      <c r="AO28" s="589" t="s">
        <v>1163</v>
      </c>
    </row>
    <row r="29" spans="1:41" ht="37.4" customHeight="1" thickBot="1" x14ac:dyDescent="0.4">
      <c r="A29" s="427"/>
      <c r="B29" s="427"/>
      <c r="C29" s="427"/>
      <c r="D29" s="427"/>
      <c r="E29" s="427"/>
      <c r="F29" s="446"/>
      <c r="G29" s="557"/>
      <c r="H29" s="702"/>
      <c r="I29" s="557"/>
      <c r="J29" s="557"/>
      <c r="K29" s="557"/>
      <c r="L29" s="557"/>
      <c r="M29" s="557"/>
      <c r="N29" s="557"/>
      <c r="O29" s="557"/>
      <c r="P29" s="557"/>
      <c r="Q29" s="529"/>
      <c r="R29" s="529"/>
      <c r="S29" s="529"/>
      <c r="T29" s="529"/>
      <c r="U29" s="529"/>
      <c r="V29" s="59" t="s">
        <v>98</v>
      </c>
      <c r="W29" s="52">
        <f>100%/8</f>
        <v>0.125</v>
      </c>
      <c r="X29" s="65">
        <f t="shared" si="2"/>
        <v>1</v>
      </c>
      <c r="Y29" s="42"/>
      <c r="Z29" s="42"/>
      <c r="AA29" s="42"/>
      <c r="AB29" s="42"/>
      <c r="AC29" s="42"/>
      <c r="AD29" s="42">
        <v>0.5</v>
      </c>
      <c r="AE29" s="42"/>
      <c r="AF29" s="42"/>
      <c r="AG29" s="42"/>
      <c r="AH29" s="42"/>
      <c r="AI29" s="42"/>
      <c r="AJ29" s="42">
        <v>0.5</v>
      </c>
      <c r="AK29" s="42"/>
      <c r="AL29" s="688"/>
      <c r="AM29" s="590"/>
      <c r="AN29" s="590"/>
      <c r="AO29" s="590"/>
    </row>
    <row r="30" spans="1:41" ht="36.9" customHeight="1" thickBot="1" x14ac:dyDescent="0.4">
      <c r="A30" s="426">
        <v>9</v>
      </c>
      <c r="B30" s="426" t="s">
        <v>99</v>
      </c>
      <c r="C30" s="426" t="s">
        <v>129</v>
      </c>
      <c r="D30" s="426" t="s">
        <v>130</v>
      </c>
      <c r="E30" s="426" t="s">
        <v>131</v>
      </c>
      <c r="F30" s="446" t="s">
        <v>1118</v>
      </c>
      <c r="G30" s="556" t="s">
        <v>1164</v>
      </c>
      <c r="H30" s="701" t="s">
        <v>1168</v>
      </c>
      <c r="I30" s="556" t="s">
        <v>1166</v>
      </c>
      <c r="J30" s="556" t="s">
        <v>1122</v>
      </c>
      <c r="K30" s="556" t="s">
        <v>1122</v>
      </c>
      <c r="L30" s="556" t="s">
        <v>1146</v>
      </c>
      <c r="M30" s="556" t="s">
        <v>1147</v>
      </c>
      <c r="N30" s="556" t="s">
        <v>1125</v>
      </c>
      <c r="O30" s="556" t="s">
        <v>1147</v>
      </c>
      <c r="P30" s="556" t="s">
        <v>1099</v>
      </c>
      <c r="Q30" s="520" t="s">
        <v>1167</v>
      </c>
      <c r="R30" s="520" t="s">
        <v>1127</v>
      </c>
      <c r="S30" s="520" t="s">
        <v>1128</v>
      </c>
      <c r="T30" s="520" t="s">
        <v>1149</v>
      </c>
      <c r="U30" s="520" t="s">
        <v>1130</v>
      </c>
      <c r="V30" s="59" t="s">
        <v>93</v>
      </c>
      <c r="W30" s="53">
        <f>+(W31*X30)</f>
        <v>0.125</v>
      </c>
      <c r="X30" s="65">
        <f t="shared" si="2"/>
        <v>1</v>
      </c>
      <c r="Y30" s="45"/>
      <c r="Z30" s="45"/>
      <c r="AA30" s="45"/>
      <c r="AB30" s="45"/>
      <c r="AC30" s="45"/>
      <c r="AD30" s="129">
        <f>75%/X31*AD31</f>
        <v>0.375</v>
      </c>
      <c r="AE30" s="45"/>
      <c r="AF30" s="45"/>
      <c r="AG30" s="45"/>
      <c r="AH30" s="45"/>
      <c r="AI30" s="45"/>
      <c r="AJ30" s="44">
        <v>0.625</v>
      </c>
      <c r="AK30" s="45"/>
      <c r="AL30" s="687" t="s">
        <v>91</v>
      </c>
      <c r="AM30" s="589" t="s">
        <v>1162</v>
      </c>
      <c r="AN30" s="589" t="s">
        <v>1162</v>
      </c>
      <c r="AO30" s="589" t="s">
        <v>1163</v>
      </c>
    </row>
    <row r="31" spans="1:41" ht="37.4" customHeight="1" thickBot="1" x14ac:dyDescent="0.4">
      <c r="A31" s="427"/>
      <c r="B31" s="427"/>
      <c r="C31" s="427"/>
      <c r="D31" s="427"/>
      <c r="E31" s="427"/>
      <c r="F31" s="446"/>
      <c r="G31" s="557"/>
      <c r="H31" s="702"/>
      <c r="I31" s="557"/>
      <c r="J31" s="557"/>
      <c r="K31" s="557"/>
      <c r="L31" s="557"/>
      <c r="M31" s="557"/>
      <c r="N31" s="557"/>
      <c r="O31" s="557"/>
      <c r="P31" s="557"/>
      <c r="Q31" s="529"/>
      <c r="R31" s="529"/>
      <c r="S31" s="529"/>
      <c r="T31" s="529"/>
      <c r="U31" s="529"/>
      <c r="V31" s="59" t="s">
        <v>98</v>
      </c>
      <c r="W31" s="52">
        <f>100%/8</f>
        <v>0.125</v>
      </c>
      <c r="X31" s="65">
        <f t="shared" si="2"/>
        <v>1</v>
      </c>
      <c r="Y31" s="42"/>
      <c r="Z31" s="42"/>
      <c r="AA31" s="42"/>
      <c r="AB31" s="42"/>
      <c r="AC31" s="42"/>
      <c r="AD31" s="42">
        <v>0.5</v>
      </c>
      <c r="AE31" s="42"/>
      <c r="AF31" s="42"/>
      <c r="AG31" s="42"/>
      <c r="AH31" s="42"/>
      <c r="AI31" s="42"/>
      <c r="AJ31" s="42">
        <v>0.5</v>
      </c>
      <c r="AK31" s="42"/>
      <c r="AL31" s="688"/>
      <c r="AM31" s="590"/>
      <c r="AN31" s="590"/>
      <c r="AO31" s="590"/>
    </row>
    <row r="32" spans="1:41" ht="36.9" customHeight="1" thickBot="1" x14ac:dyDescent="0.4">
      <c r="A32" s="426">
        <v>10</v>
      </c>
      <c r="B32" s="426" t="s">
        <v>99</v>
      </c>
      <c r="C32" s="426" t="s">
        <v>129</v>
      </c>
      <c r="D32" s="426" t="s">
        <v>130</v>
      </c>
      <c r="E32" s="426" t="s">
        <v>131</v>
      </c>
      <c r="F32" s="424" t="s">
        <v>1118</v>
      </c>
      <c r="G32" s="556" t="s">
        <v>1164</v>
      </c>
      <c r="H32" s="701" t="s">
        <v>1169</v>
      </c>
      <c r="I32" s="556" t="s">
        <v>1166</v>
      </c>
      <c r="J32" s="556" t="s">
        <v>1122</v>
      </c>
      <c r="K32" s="556" t="s">
        <v>1122</v>
      </c>
      <c r="L32" s="556" t="s">
        <v>1146</v>
      </c>
      <c r="M32" s="556" t="s">
        <v>1147</v>
      </c>
      <c r="N32" s="556" t="s">
        <v>1125</v>
      </c>
      <c r="O32" s="556" t="s">
        <v>1147</v>
      </c>
      <c r="P32" s="556" t="s">
        <v>1099</v>
      </c>
      <c r="Q32" s="520" t="s">
        <v>1167</v>
      </c>
      <c r="R32" s="520" t="s">
        <v>1127</v>
      </c>
      <c r="S32" s="520" t="s">
        <v>1128</v>
      </c>
      <c r="T32" s="520" t="s">
        <v>1149</v>
      </c>
      <c r="U32" s="520" t="s">
        <v>1130</v>
      </c>
      <c r="V32" s="59" t="s">
        <v>93</v>
      </c>
      <c r="W32" s="53">
        <f>+(W33*X32)</f>
        <v>0.125</v>
      </c>
      <c r="X32" s="65">
        <f t="shared" si="2"/>
        <v>1</v>
      </c>
      <c r="Y32" s="45"/>
      <c r="Z32" s="45"/>
      <c r="AA32" s="45"/>
      <c r="AB32" s="45"/>
      <c r="AC32" s="45"/>
      <c r="AD32" s="129">
        <f>75%/X33*AD33</f>
        <v>0.375</v>
      </c>
      <c r="AE32" s="45"/>
      <c r="AF32" s="45"/>
      <c r="AG32" s="45"/>
      <c r="AH32" s="45"/>
      <c r="AI32" s="45"/>
      <c r="AJ32" s="44">
        <v>0.625</v>
      </c>
      <c r="AK32" s="45"/>
      <c r="AL32" s="687" t="s">
        <v>91</v>
      </c>
      <c r="AM32" s="589" t="s">
        <v>1162</v>
      </c>
      <c r="AN32" s="589" t="s">
        <v>1162</v>
      </c>
      <c r="AO32" s="589" t="s">
        <v>1163</v>
      </c>
    </row>
    <row r="33" spans="1:41" ht="37.4" customHeight="1" thickBot="1" x14ac:dyDescent="0.4">
      <c r="A33" s="427"/>
      <c r="B33" s="427"/>
      <c r="C33" s="427"/>
      <c r="D33" s="427"/>
      <c r="E33" s="427"/>
      <c r="F33" s="425"/>
      <c r="G33" s="557"/>
      <c r="H33" s="702"/>
      <c r="I33" s="557"/>
      <c r="J33" s="557"/>
      <c r="K33" s="557"/>
      <c r="L33" s="557"/>
      <c r="M33" s="557"/>
      <c r="N33" s="557"/>
      <c r="O33" s="557"/>
      <c r="P33" s="557"/>
      <c r="Q33" s="529"/>
      <c r="R33" s="529"/>
      <c r="S33" s="529"/>
      <c r="T33" s="529"/>
      <c r="U33" s="529"/>
      <c r="V33" s="59" t="s">
        <v>98</v>
      </c>
      <c r="W33" s="52">
        <f>100%/8</f>
        <v>0.125</v>
      </c>
      <c r="X33" s="65">
        <f t="shared" si="2"/>
        <v>1</v>
      </c>
      <c r="Y33" s="42"/>
      <c r="Z33" s="42"/>
      <c r="AA33" s="42"/>
      <c r="AB33" s="42"/>
      <c r="AC33" s="42"/>
      <c r="AD33" s="42">
        <v>0.5</v>
      </c>
      <c r="AE33" s="42"/>
      <c r="AF33" s="42"/>
      <c r="AG33" s="42"/>
      <c r="AH33" s="42"/>
      <c r="AI33" s="42"/>
      <c r="AJ33" s="42">
        <v>0.5</v>
      </c>
      <c r="AK33" s="42"/>
      <c r="AL33" s="688"/>
      <c r="AM33" s="590"/>
      <c r="AN33" s="590"/>
      <c r="AO33" s="590"/>
    </row>
    <row r="34" spans="1:41" s="13" customFormat="1" ht="30" customHeight="1" x14ac:dyDescent="0.35">
      <c r="H34" s="593" t="s">
        <v>330</v>
      </c>
      <c r="I34" s="15" t="s">
        <v>157</v>
      </c>
      <c r="J34" s="23" t="e">
        <f>SUM(O34:AJ34)</f>
        <v>#REF!</v>
      </c>
      <c r="K34" s="34"/>
      <c r="L34" s="34"/>
      <c r="M34" s="34"/>
      <c r="N34" s="34"/>
      <c r="O34" s="34" t="e">
        <f>+(AC15*$W$15)+(AC17*$W$17)+(AC19*$W$19)+(AC21*$W$21)+(#REF!*$W$23)+(#REF!*$W$25)+(#REF!*#REF!)+(#REF!*#REF!)+(#REF!*#REF!)+(#REF!*#REF!)+(#REF!*#REF!)+(#REF!*#REF!)+(#REF!*#REF!)</f>
        <v>#REF!</v>
      </c>
      <c r="P34" s="34"/>
      <c r="Q34" s="34"/>
      <c r="R34" s="34"/>
      <c r="S34" s="34"/>
      <c r="T34" s="34"/>
      <c r="U34" s="34"/>
      <c r="V34" s="34" t="e">
        <f>+(AJ15*$W$15)+(AJ17*$W$17)+(AJ19*$W$19)+(AJ21*$W$21)+(#REF!*$W$23)+(#REF!*$W$25)+(#REF!*#REF!)+(#REF!*#REF!)+(#REF!*#REF!)+(#REF!*#REF!)+(#REF!*#REF!)+(#REF!*#REF!)+(#REF!*#REF!)</f>
        <v>#REF!</v>
      </c>
      <c r="W34" s="37" t="e">
        <f>+(#REF!*$W$15)+(#REF!*$W$17)+(#REF!*$W$19)+(#REF!*$W$21)+(#REF!*$W$23)+(#REF!*$W$25)+(#REF!*#REF!)+(#REF!*#REF!)+(#REF!*#REF!)+(#REF!*#REF!)+(#REF!*#REF!)+(#REF!*#REF!)+(#REF!*#REF!)</f>
        <v>#REF!</v>
      </c>
      <c r="X34" s="34" t="e">
        <f>+(#REF!*$W$15)+(#REF!*$W$17)+(#REF!*$W$19)+(#REF!*$W$21)+(#REF!*$W$23)+(#REF!*$W$25)+(#REF!*#REF!)+(#REF!*#REF!)+(#REF!*#REF!)+(#REF!*#REF!)+(#REF!*#REF!)+(#REF!*#REF!)+(#REF!*#REF!)</f>
        <v>#REF!</v>
      </c>
      <c r="Y34" s="34" t="e">
        <f>+(#REF!*$W$15)+(#REF!*$W$17)+(#REF!*$W$19)+(#REF!*$W$21)+(#REF!*$W$23)+(#REF!*$W$25)+(#REF!*#REF!)+(#REF!*#REF!)+(#REF!*#REF!)+(#REF!*#REF!)+(#REF!*#REF!)+(#REF!*#REF!)+(#REF!*#REF!)</f>
        <v>#REF!</v>
      </c>
      <c r="Z34" s="34" t="e">
        <f>+(#REF!*$W$15)+(#REF!*$W$17)+(#REF!*$W$19)+(#REF!*$W$21)+(#REF!*$W$23)+(#REF!*$W$25)+(#REF!*#REF!)+(#REF!*#REF!)+(#REF!*#REF!)+(#REF!*#REF!)+(#REF!*#REF!)+(#REF!*#REF!)+(#REF!*#REF!)</f>
        <v>#REF!</v>
      </c>
      <c r="AA34" s="34" t="e">
        <f>+(#REF!*$W$15)+(#REF!*$W$17)+(#REF!*$W$19)+(#REF!*$W$21)+(#REF!*$W$23)+(#REF!*$W$25)+(#REF!*#REF!)+(#REF!*#REF!)+(#REF!*#REF!)+(#REF!*#REF!)+(#REF!*#REF!)+(#REF!*#REF!)+(#REF!*#REF!)</f>
        <v>#REF!</v>
      </c>
      <c r="AB34" s="34" t="e">
        <f>+(#REF!*$W$15)+(#REF!*$W$17)+(#REF!*$W$19)+(#REF!*$W$21)+(#REF!*$W$23)+(#REF!*$W$25)+(#REF!*#REF!)+(#REF!*#REF!)+(#REF!*#REF!)+(#REF!*#REF!)+(#REF!*#REF!)+(#REF!*#REF!)+(#REF!*#REF!)</f>
        <v>#REF!</v>
      </c>
      <c r="AC34" s="34" t="e">
        <f>+(#REF!*$W$15)+(#REF!*$W$17)+(#REF!*$W$19)+(#REF!*$W$21)+(#REF!*$W$23)+(#REF!*$W$25)+(#REF!*#REF!)+(#REF!*#REF!)+(#REF!*#REF!)+(#REF!*#REF!)+(#REF!*#REF!)+(#REF!*#REF!)+(#REF!*#REF!)</f>
        <v>#REF!</v>
      </c>
      <c r="AD34" s="34" t="e">
        <f>+(#REF!*$W$15)+(#REF!*$W$17)+(#REF!*$W$19)+(#REF!*$W$21)+(#REF!*$W$23)+(#REF!*$W$25)+(#REF!*#REF!)+(#REF!*#REF!)+(#REF!*#REF!)+(#REF!*#REF!)+(#REF!*#REF!)+(#REF!*#REF!)+(#REF!*#REF!)</f>
        <v>#REF!</v>
      </c>
      <c r="AE34" s="34" t="e">
        <f>+(#REF!*$W$15)+(#REF!*$W$17)+(#REF!*$W$19)+(#REF!*$W$21)+(#REF!*$W$23)+(#REF!*$W$25)+(#REF!*#REF!)+(#REF!*#REF!)+(#REF!*#REF!)+(#REF!*#REF!)+(#REF!*#REF!)+(#REF!*#REF!)+(#REF!*#REF!)</f>
        <v>#REF!</v>
      </c>
      <c r="AF34" s="34" t="e">
        <f>+(#REF!*$W$15)+(#REF!*$W$17)+(#REF!*$W$19)+(#REF!*$W$21)+(#REF!*$W$23)+(#REF!*$W$25)+(#REF!*#REF!)+(#REF!*#REF!)+(#REF!*#REF!)+(#REF!*#REF!)+(#REF!*#REF!)+(#REF!*#REF!)+(#REF!*#REF!)</f>
        <v>#REF!</v>
      </c>
      <c r="AG34" s="34" t="e">
        <f>+(#REF!*$W$15)+(#REF!*$W$17)+(#REF!*$W$19)+(#REF!*$W$21)+(#REF!*$W$23)+(#REF!*$W$25)+(#REF!*#REF!)+(#REF!*#REF!)+(#REF!*#REF!)+(#REF!*#REF!)+(#REF!*#REF!)+(#REF!*#REF!)+(#REF!*#REF!)</f>
        <v>#REF!</v>
      </c>
      <c r="AH34" s="34" t="e">
        <f>+(#REF!*$W$15)+(#REF!*$W$17)+(#REF!*$W$19)+(#REF!*$W$21)+(#REF!*$W$23)+(#REF!*$W$25)+(#REF!*#REF!)+(#REF!*#REF!)+(#REF!*#REF!)+(#REF!*#REF!)+(#REF!*#REF!)+(#REF!*#REF!)+(#REF!*#REF!)</f>
        <v>#REF!</v>
      </c>
      <c r="AI34" s="37" t="e">
        <f>+(#REF!*$W$15)+(#REF!*$W$17)+(#REF!*$W$19)+(#REF!*$W$21)+(#REF!*$W$23)+(#REF!*$W$25)+(#REF!*#REF!)+(#REF!*#REF!)+(#REF!*#REF!)+(#REF!*#REF!)+(#REF!*#REF!)+(#REF!*#REF!)+(#REF!*#REF!)</f>
        <v>#REF!</v>
      </c>
      <c r="AJ34" s="34" t="e">
        <f>+(#REF!*$W$15)+(#REF!*$W$17)+(#REF!*$W$19)+(#REF!*$W$21)+(#REF!*$W$23)+(#REF!*$W$25)+(#REF!*#REF!)+(#REF!*#REF!)+(#REF!*#REF!)+(#REF!*#REF!)+(#REF!*#REF!)+(#REF!*#REF!)+(#REF!*#REF!)</f>
        <v>#REF!</v>
      </c>
      <c r="AK34" s="60"/>
    </row>
    <row r="35" spans="1:41" s="13" customFormat="1" ht="30" customHeight="1" x14ac:dyDescent="0.35">
      <c r="H35" s="594"/>
      <c r="I35" s="15" t="s">
        <v>158</v>
      </c>
      <c r="J35" s="16"/>
      <c r="K35" s="34"/>
      <c r="L35" s="34"/>
      <c r="M35" s="34"/>
      <c r="N35" s="34"/>
      <c r="O35" s="34"/>
      <c r="P35" s="34"/>
      <c r="Q35" s="34"/>
      <c r="R35" s="34"/>
      <c r="S35" s="34"/>
      <c r="T35" s="34"/>
      <c r="U35" s="34"/>
      <c r="V35" s="34" t="e">
        <f>SUM(V34:V34)</f>
        <v>#REF!</v>
      </c>
      <c r="W35" s="37"/>
      <c r="X35" s="34"/>
      <c r="Y35" s="34"/>
      <c r="Z35" s="34" t="e">
        <f>SUM(W34:Z34)</f>
        <v>#REF!</v>
      </c>
      <c r="AA35" s="34"/>
      <c r="AB35" s="34"/>
      <c r="AC35" s="34"/>
      <c r="AD35" s="34" t="e">
        <f>SUM(AA34:AD34)</f>
        <v>#REF!</v>
      </c>
      <c r="AE35" s="34"/>
      <c r="AF35" s="34"/>
      <c r="AG35" s="34"/>
      <c r="AH35" s="34" t="e">
        <f>SUM(AE34:AH34)</f>
        <v>#REF!</v>
      </c>
      <c r="AI35" s="37"/>
      <c r="AJ35" s="34"/>
      <c r="AK35" s="60"/>
    </row>
    <row r="36" spans="1:41" s="13" customFormat="1" ht="30" customHeight="1" x14ac:dyDescent="0.35">
      <c r="H36" s="594"/>
      <c r="I36" s="15" t="s">
        <v>159</v>
      </c>
      <c r="J36" s="14"/>
      <c r="K36" s="34"/>
      <c r="L36" s="34"/>
      <c r="M36" s="34"/>
      <c r="N36" s="34"/>
      <c r="O36" s="34"/>
      <c r="P36" s="34"/>
      <c r="Q36" s="34"/>
      <c r="R36" s="34"/>
      <c r="S36" s="34"/>
      <c r="T36" s="34"/>
      <c r="U36" s="34"/>
      <c r="V36" s="34" t="e">
        <f>+#REF!+V35</f>
        <v>#REF!</v>
      </c>
      <c r="W36" s="37"/>
      <c r="X36" s="34"/>
      <c r="Y36" s="34"/>
      <c r="Z36" s="26"/>
      <c r="AA36" s="27"/>
      <c r="AB36" s="27"/>
      <c r="AC36" s="27"/>
      <c r="AD36" s="27"/>
      <c r="AE36" s="27"/>
      <c r="AF36" s="27"/>
      <c r="AG36" s="27"/>
      <c r="AH36" s="27" t="e">
        <f>+Z35+AD35+AH35</f>
        <v>#REF!</v>
      </c>
      <c r="AI36" s="39"/>
      <c r="AJ36" s="27"/>
      <c r="AK36" s="61"/>
    </row>
    <row r="37" spans="1:41" s="13" customFormat="1" ht="30" customHeight="1" thickBot="1" x14ac:dyDescent="0.4">
      <c r="H37" s="595"/>
      <c r="I37" s="20" t="s">
        <v>160</v>
      </c>
      <c r="J37" s="19"/>
      <c r="K37" s="35"/>
      <c r="L37" s="35"/>
      <c r="M37" s="35"/>
      <c r="N37" s="35"/>
      <c r="O37" s="35"/>
      <c r="P37" s="35"/>
      <c r="Q37" s="35"/>
      <c r="R37" s="35"/>
      <c r="S37" s="35"/>
      <c r="T37" s="35"/>
      <c r="U37" s="35"/>
      <c r="V37" s="35"/>
      <c r="W37" s="38"/>
      <c r="X37" s="35"/>
      <c r="Y37" s="35"/>
      <c r="Z37" s="28"/>
      <c r="AA37" s="29"/>
      <c r="AB37" s="29"/>
      <c r="AC37" s="29"/>
      <c r="AD37" s="29"/>
      <c r="AE37" s="29"/>
      <c r="AF37" s="29"/>
      <c r="AG37" s="29"/>
      <c r="AH37" s="29" t="e">
        <f>+V36+AH36</f>
        <v>#REF!</v>
      </c>
      <c r="AI37" s="40"/>
      <c r="AJ37" s="41"/>
      <c r="AK37" s="61"/>
    </row>
    <row r="38" spans="1:41" ht="30" customHeight="1" x14ac:dyDescent="0.35">
      <c r="H38" s="24"/>
      <c r="I38" s="422" t="s">
        <v>161</v>
      </c>
      <c r="J38" s="422"/>
      <c r="K38" s="46"/>
      <c r="L38" s="46"/>
      <c r="M38" s="46"/>
      <c r="N38" s="46"/>
      <c r="O38" s="46" t="e">
        <f>+#REF!/O34</f>
        <v>#REF!</v>
      </c>
      <c r="P38" s="46"/>
      <c r="Q38" s="46"/>
      <c r="R38" s="46"/>
      <c r="S38" s="46"/>
      <c r="T38" s="46"/>
      <c r="U38" s="46"/>
      <c r="V38" s="47" t="e">
        <f>+(#REF!+#REF!+#REF!+#REF!+#REF!+#REF!+#REF!+#REF!)/(O34+#REF!+#REF!+#REF!+#REF!+#REF!+#REF!+V34)</f>
        <v>#REF!</v>
      </c>
      <c r="W38" s="48" t="e">
        <f>+(#REF!+#REF!+#REF!+#REF!+#REF!+#REF!+#REF!+#REF!+#REF!)/(O34+#REF!+#REF!+#REF!+#REF!+#REF!+#REF!+V34+W34)</f>
        <v>#REF!</v>
      </c>
      <c r="X38" s="46" t="e">
        <f>+(#REF!+#REF!+#REF!+#REF!+#REF!+#REF!+#REF!+#REF!+#REF!+#REF!)/(O34+#REF!+#REF!+#REF!+#REF!+#REF!+#REF!+V34+W34+X34)</f>
        <v>#REF!</v>
      </c>
      <c r="Y38" s="46" t="e">
        <f>+(#REF!+#REF!+#REF!+#REF!+#REF!+#REF!+#REF!+#REF!+#REF!+#REF!+#REF!)/(O34+#REF!+#REF!+#REF!+#REF!+#REF!+#REF!+V34+W34+X34+Y34)</f>
        <v>#REF!</v>
      </c>
      <c r="Z38" s="47" t="e">
        <f>+(#REF!+#REF!+#REF!+#REF!+#REF!+#REF!+#REF!+#REF!+#REF!+#REF!+#REF!+#REF!)/(O34+#REF!+#REF!+#REF!+#REF!+#REF!+#REF!+V34+W34+X34+Y34+Z34)</f>
        <v>#REF!</v>
      </c>
      <c r="AA38" s="46" t="e">
        <f>+(#REF!+#REF!+#REF!+#REF!+#REF!+#REF!+#REF!+#REF!+#REF!+#REF!+#REF!+#REF!+#REF!)/(O34+#REF!+#REF!+#REF!+#REF!+#REF!+#REF!+V34+W34+X34+Y34+Z34+AA34)</f>
        <v>#REF!</v>
      </c>
      <c r="AB38" s="46" t="e">
        <f>+(#REF!+#REF!+#REF!+#REF!+#REF!+#REF!+#REF!+#REF!+#REF!+#REF!+#REF!+#REF!+#REF!+#REF!)/(O34+#REF!+#REF!+#REF!+#REF!+#REF!+#REF!+V34+W34+X34+Y34+Z34+AA34+AB34)</f>
        <v>#REF!</v>
      </c>
      <c r="AC38" s="46" t="e">
        <f>+(#REF!+#REF!+#REF!+#REF!+#REF!+#REF!+#REF!+#REF!+#REF!+#REF!+#REF!+#REF!+#REF!+#REF!+#REF!)/(O34+#REF!+#REF!+#REF!+#REF!+#REF!+#REF!+V34+W34+X34+Y34+Z34+AA34+AB34+AC34)</f>
        <v>#REF!</v>
      </c>
      <c r="AD38" s="47" t="e">
        <f>+(#REF!+#REF!+#REF!+#REF!+#REF!+#REF!+#REF!+#REF!+#REF!+#REF!+#REF!+#REF!+#REF!+#REF!+#REF!+#REF!)/(O34+#REF!+#REF!+#REF!+#REF!+#REF!+#REF!+V34+W34+X34+Y34+Z34+AA34+AB34+AC34+AD34)</f>
        <v>#REF!</v>
      </c>
      <c r="AE38" s="46" t="e">
        <f>+(#REF!+#REF!+#REF!+#REF!+#REF!+#REF!+#REF!+#REF!+#REF!+#REF!+#REF!+#REF!+#REF!+#REF!+#REF!+#REF!+#REF!)/(O34+#REF!+#REF!+#REF!+#REF!+#REF!+#REF!+V34+W34+X34+Y34+Z34+AA34+AB34+AC34+AD34+AE34)</f>
        <v>#REF!</v>
      </c>
      <c r="AF38" s="46" t="e">
        <f>+(#REF!+#REF!+#REF!+#REF!+#REF!+#REF!+#REF!+#REF!+#REF!+#REF!+#REF!+#REF!+#REF!+#REF!+#REF!+#REF!+#REF!+#REF!)/(O34+#REF!+#REF!+#REF!+#REF!+#REF!+#REF!+V34+W34+X34+Y34+Z34+AA34+AB34+AC34+AD34+AE34+AF34)</f>
        <v>#REF!</v>
      </c>
      <c r="AG38" s="46" t="e">
        <f>+(#REF!+#REF!+#REF!+#REF!+#REF!+#REF!+#REF!+#REF!+#REF!+#REF!+#REF!+#REF!+#REF!+#REF!+#REF!+#REF!+#REF!+#REF!+#REF!)/(O34+#REF!+#REF!+#REF!+#REF!+#REF!+#REF!+V34+W34+X34+Y34+Z34+AA34+AB34+AC34+AD34+AE34+AF34+AG34)</f>
        <v>#REF!</v>
      </c>
      <c r="AH38" s="47" t="e">
        <f>+(#REF!+#REF!+#REF!+#REF!+#REF!+#REF!+#REF!+#REF!+#REF!+#REF!+#REF!+#REF!+#REF!+#REF!+#REF!+#REF!+#REF!+#REF!+#REF!+#REF!)/(O34+#REF!+#REF!+#REF!+#REF!+#REF!+#REF!+V34+W34+X34+Y34+Z34+AA34+AB34+AC34+AD34+AE34+AF34+AG34+AH34)</f>
        <v>#REF!</v>
      </c>
      <c r="AI38" s="48" t="e">
        <f>+(#REF!+#REF!+#REF!+#REF!+#REF!+#REF!+#REF!+#REF!+#REF!+#REF!+#REF!+#REF!+#REF!+#REF!+#REF!+#REF!+#REF!+#REF!+#REF!+#REF!+#REF!)/(O34+#REF!+#REF!+#REF!+#REF!+#REF!+#REF!+V34+W34+X34+Y34+Z34+AA34+AB34+AC34+AD34+AE34+AF34+AG34+AH34+AI34)</f>
        <v>#REF!</v>
      </c>
      <c r="AJ38" s="46" t="e">
        <f>+(#REF!+#REF!+#REF!+#REF!+#REF!+#REF!+#REF!+#REF!+#REF!+#REF!+#REF!+#REF!+#REF!+#REF!+#REF!+#REF!+#REF!+#REF!+#REF!+#REF!+#REF!+#REF!)/(O34+#REF!+#REF!+#REF!+#REF!+#REF!+#REF!+V34+W34+X34+Y34+Z34+AA34+AB34+AC34+AD34+AE34+AF34+AG34+AH34+AI34+AJ34)</f>
        <v>#REF!</v>
      </c>
      <c r="AK38" s="62"/>
    </row>
    <row r="39" spans="1:41" ht="30" customHeight="1" x14ac:dyDescent="0.35">
      <c r="H39" s="24"/>
      <c r="I39" s="423" t="s">
        <v>162</v>
      </c>
      <c r="J39" s="423"/>
      <c r="K39" s="47"/>
      <c r="L39" s="47"/>
      <c r="M39" s="47"/>
      <c r="N39" s="47"/>
      <c r="O39" s="47" t="e">
        <f>+#REF!/#REF!</f>
        <v>#REF!</v>
      </c>
      <c r="P39" s="47"/>
      <c r="Q39" s="47"/>
      <c r="R39" s="47"/>
      <c r="S39" s="47"/>
      <c r="T39" s="47"/>
      <c r="U39" s="47"/>
      <c r="V39" s="47" t="e">
        <f>+(#REF!+#REF!+#REF!+#REF!+#REF!+#REF!+#REF!+#REF!)/#REF!</f>
        <v>#REF!</v>
      </c>
      <c r="W39" s="49" t="e">
        <f>+(#REF!+#REF!+#REF!+#REF!+#REF!+#REF!+#REF!+#REF!+#REF!)/#REF!</f>
        <v>#REF!</v>
      </c>
      <c r="X39" s="47" t="e">
        <f>+(#REF!+#REF!+#REF!+#REF!+#REF!+#REF!+#REF!+#REF!+#REF!+#REF!)/#REF!</f>
        <v>#REF!</v>
      </c>
      <c r="Y39" s="47" t="e">
        <f>+(#REF!+#REF!+#REF!+#REF!+#REF!+#REF!+#REF!+#REF!+#REF!+#REF!+#REF!)/#REF!</f>
        <v>#REF!</v>
      </c>
      <c r="Z39" s="47" t="e">
        <f>+(#REF!+#REF!+#REF!+#REF!+#REF!+#REF!+#REF!+#REF!+#REF!+#REF!+#REF!+#REF!)/#REF!</f>
        <v>#REF!</v>
      </c>
      <c r="AA39" s="47" t="e">
        <f>+(#REF!+#REF!+#REF!+#REF!+#REF!+#REF!+#REF!+#REF!+#REF!+#REF!+#REF!+#REF!+#REF!)/#REF!</f>
        <v>#REF!</v>
      </c>
      <c r="AB39" s="47" t="e">
        <f>+(#REF!+#REF!+#REF!+#REF!+#REF!+#REF!+#REF!+#REF!+#REF!+#REF!+#REF!+#REF!+#REF!+#REF!)/#REF!</f>
        <v>#REF!</v>
      </c>
      <c r="AC39" s="47" t="e">
        <f>+(#REF!+#REF!+#REF!+#REF!+#REF!+#REF!+#REF!+#REF!+#REF!+#REF!+#REF!+#REF!+#REF!+#REF!+#REF!)/#REF!</f>
        <v>#REF!</v>
      </c>
      <c r="AD39" s="47" t="e">
        <f>+(#REF!+#REF!+#REF!+#REF!+#REF!+#REF!+#REF!+#REF!+#REF!+#REF!+#REF!+#REF!+#REF!+#REF!+#REF!+#REF!)/#REF!</f>
        <v>#REF!</v>
      </c>
      <c r="AE39" s="47" t="e">
        <f>+(#REF!+#REF!+#REF!+#REF!+#REF!+#REF!+#REF!+#REF!+#REF!+#REF!+#REF!+#REF!+#REF!+#REF!+#REF!+#REF!+#REF!)/#REF!</f>
        <v>#REF!</v>
      </c>
      <c r="AF39" s="47" t="e">
        <f>+(#REF!+#REF!+#REF!+#REF!+#REF!+#REF!+#REF!+#REF!+#REF!+#REF!+#REF!+#REF!+#REF!+#REF!+#REF!+#REF!+#REF!+#REF!)/#REF!</f>
        <v>#REF!</v>
      </c>
      <c r="AG39" s="47" t="e">
        <f>+(#REF!+#REF!+#REF!+#REF!+#REF!+#REF!+#REF!+#REF!+#REF!+#REF!+#REF!+#REF!+#REF!+#REF!+#REF!+#REF!+#REF!+#REF!+#REF!)/#REF!</f>
        <v>#REF!</v>
      </c>
      <c r="AH39" s="47" t="e">
        <f>+(#REF!+#REF!+#REF!+#REF!+#REF!+#REF!+#REF!+#REF!+#REF!+#REF!+#REF!+#REF!+#REF!+#REF!+#REF!+#REF!+#REF!+#REF!+#REF!+#REF!)/#REF!</f>
        <v>#REF!</v>
      </c>
      <c r="AI39" s="49" t="e">
        <f>+(#REF!+#REF!+#REF!+#REF!+#REF!+#REF!+#REF!+#REF!+#REF!+#REF!+#REF!+#REF!+#REF!+#REF!+#REF!+#REF!+#REF!+#REF!+#REF!+#REF!+#REF!)/#REF!</f>
        <v>#REF!</v>
      </c>
      <c r="AJ39" s="47" t="e">
        <f>+(#REF!+#REF!+#REF!+#REF!+#REF!+#REF!+#REF!+#REF!+#REF!+#REF!+#REF!+#REF!+#REF!+#REF!+#REF!+#REF!+#REF!+#REF!+#REF!+#REF!+#REF!+#REF!)/#REF!</f>
        <v>#REF!</v>
      </c>
      <c r="AK39" s="63"/>
    </row>
    <row r="40" spans="1:41" ht="30" customHeight="1" x14ac:dyDescent="0.35">
      <c r="I40" s="422" t="s">
        <v>163</v>
      </c>
      <c r="J40" s="422"/>
      <c r="K40" s="50"/>
      <c r="L40" s="50"/>
      <c r="M40" s="50"/>
      <c r="N40" s="50"/>
      <c r="O40" s="50"/>
      <c r="P40" s="50"/>
      <c r="Q40" s="50"/>
      <c r="R40" s="50"/>
      <c r="S40" s="50"/>
      <c r="T40" s="50"/>
      <c r="U40" s="50"/>
      <c r="V40" s="47" t="e">
        <f>+#REF!/V35</f>
        <v>#REF!</v>
      </c>
      <c r="W40" s="51"/>
      <c r="X40" s="50"/>
      <c r="Y40" s="50"/>
      <c r="Z40" s="47" t="e">
        <f>+#REF!/Z35</f>
        <v>#REF!</v>
      </c>
      <c r="AA40" s="50"/>
      <c r="AB40" s="50"/>
      <c r="AC40" s="50"/>
      <c r="AD40" s="47" t="e">
        <f>+#REF!/AD35</f>
        <v>#REF!</v>
      </c>
      <c r="AE40" s="50"/>
      <c r="AF40" s="50"/>
      <c r="AG40" s="50"/>
      <c r="AH40" s="47" t="e">
        <f>+#REF!/AH35</f>
        <v>#REF!</v>
      </c>
      <c r="AI40" s="51"/>
      <c r="AJ40" s="50"/>
      <c r="AK40" s="64"/>
    </row>
    <row r="41" spans="1:41" ht="30" customHeight="1" x14ac:dyDescent="0.35">
      <c r="I41" s="423" t="s">
        <v>164</v>
      </c>
      <c r="J41" s="423"/>
      <c r="K41" s="50"/>
      <c r="L41" s="50"/>
      <c r="M41" s="50"/>
      <c r="N41" s="50"/>
      <c r="O41" s="50"/>
      <c r="P41" s="50"/>
      <c r="Q41" s="50"/>
      <c r="R41" s="50"/>
      <c r="S41" s="50"/>
      <c r="T41" s="50"/>
      <c r="U41" s="50"/>
      <c r="V41" s="47" t="e">
        <f>+(#REF!+#REF!)/#REF!</f>
        <v>#REF!</v>
      </c>
      <c r="W41" s="51"/>
      <c r="X41" s="50"/>
      <c r="Y41" s="50"/>
      <c r="Z41" s="47" t="e">
        <f>+(#REF!+#REF!+#REF!)/#REF!</f>
        <v>#REF!</v>
      </c>
      <c r="AA41" s="50"/>
      <c r="AB41" s="50"/>
      <c r="AC41" s="50"/>
      <c r="AD41" s="47" t="e">
        <f>+(#REF!+#REF!+#REF!+#REF!)/#REF!</f>
        <v>#REF!</v>
      </c>
      <c r="AE41" s="50"/>
      <c r="AF41" s="50"/>
      <c r="AG41" s="50"/>
      <c r="AH41" s="47" t="e">
        <f>+(#REF!+#REF!+#REF!+#REF!+#REF!)/#REF!</f>
        <v>#REF!</v>
      </c>
      <c r="AI41" s="51"/>
      <c r="AJ41" s="50"/>
      <c r="AK41" s="64"/>
    </row>
    <row r="42" spans="1:41" ht="30" customHeight="1" x14ac:dyDescent="0.35">
      <c r="I42" s="422" t="s">
        <v>165</v>
      </c>
      <c r="J42" s="422"/>
      <c r="K42" s="50"/>
      <c r="L42" s="50"/>
      <c r="M42" s="50"/>
      <c r="N42" s="50"/>
      <c r="O42" s="50"/>
      <c r="P42" s="50"/>
      <c r="Q42" s="50"/>
      <c r="R42" s="50"/>
      <c r="S42" s="50"/>
      <c r="T42" s="50"/>
      <c r="U42" s="50"/>
      <c r="V42" s="47" t="e">
        <f>+(#REF!+#REF!)/(#REF!+V35)</f>
        <v>#REF!</v>
      </c>
      <c r="W42" s="51"/>
      <c r="X42" s="50"/>
      <c r="Y42" s="50"/>
      <c r="Z42" s="50"/>
      <c r="AA42" s="50"/>
      <c r="AB42" s="50"/>
      <c r="AC42" s="50"/>
      <c r="AD42" s="50"/>
      <c r="AE42" s="50"/>
      <c r="AF42" s="50"/>
      <c r="AG42" s="50"/>
      <c r="AH42" s="47" t="e">
        <f>+(#REF!+#REF!+#REF!+#REF!+#REF!)/(#REF!+V35+Z35+AD35+AH35)</f>
        <v>#REF!</v>
      </c>
      <c r="AI42" s="51"/>
      <c r="AJ42" s="50"/>
      <c r="AK42" s="64"/>
    </row>
    <row r="43" spans="1:41" ht="30" customHeight="1" x14ac:dyDescent="0.35">
      <c r="I43" s="422" t="s">
        <v>166</v>
      </c>
      <c r="J43" s="422"/>
      <c r="K43" s="50"/>
      <c r="L43" s="50"/>
      <c r="M43" s="50"/>
      <c r="N43" s="50"/>
      <c r="O43" s="50"/>
      <c r="P43" s="50"/>
      <c r="Q43" s="50"/>
      <c r="R43" s="50"/>
      <c r="S43" s="50"/>
      <c r="T43" s="50"/>
      <c r="U43" s="50"/>
      <c r="V43" s="47" t="e">
        <f>+(#REF!+#REF!)/#REF!</f>
        <v>#REF!</v>
      </c>
      <c r="W43" s="51"/>
      <c r="X43" s="50"/>
      <c r="Y43" s="50"/>
      <c r="Z43" s="50"/>
      <c r="AA43" s="50"/>
      <c r="AB43" s="50"/>
      <c r="AC43" s="50"/>
      <c r="AD43" s="50"/>
      <c r="AE43" s="50"/>
      <c r="AF43" s="50"/>
      <c r="AG43" s="50"/>
      <c r="AH43" s="47" t="e">
        <f>+(+#REF!+#REF!+#REF!+#REF!+#REF!)/#REF!</f>
        <v>#REF!</v>
      </c>
      <c r="AI43" s="51"/>
      <c r="AJ43" s="50"/>
      <c r="AK43" s="64"/>
    </row>
    <row r="45" spans="1:41" ht="35.15" customHeight="1" x14ac:dyDescent="0.35">
      <c r="H45" s="625" t="s">
        <v>331</v>
      </c>
      <c r="I45" s="625"/>
      <c r="J45" s="30" t="e">
        <f>+#REF!</f>
        <v>#REF!</v>
      </c>
      <c r="K45" s="32"/>
      <c r="L45" s="32"/>
      <c r="M45" s="32"/>
      <c r="N45" s="32"/>
      <c r="O45" s="32"/>
      <c r="P45" s="32"/>
      <c r="Q45" s="32"/>
      <c r="R45" s="32"/>
      <c r="S45" s="32"/>
      <c r="T45" s="32"/>
      <c r="U45" s="32"/>
    </row>
    <row r="46" spans="1:41" ht="35.15" customHeight="1" thickBot="1" x14ac:dyDescent="0.4">
      <c r="H46" s="625" t="s">
        <v>332</v>
      </c>
      <c r="I46" s="625"/>
      <c r="J46" s="25" t="e">
        <f>+#REF!</f>
        <v>#REF!</v>
      </c>
      <c r="K46" s="32"/>
      <c r="L46" s="32"/>
      <c r="M46" s="32"/>
      <c r="N46" s="32"/>
      <c r="O46" s="32"/>
      <c r="P46" s="32"/>
      <c r="Q46" s="32"/>
      <c r="R46" s="32"/>
      <c r="S46" s="32"/>
      <c r="T46" s="32"/>
      <c r="U46" s="32"/>
    </row>
    <row r="47" spans="1:41" ht="35.15" customHeight="1" thickBot="1" x14ac:dyDescent="0.4">
      <c r="H47" s="625" t="s">
        <v>333</v>
      </c>
      <c r="I47" s="625"/>
      <c r="J47" s="31" t="e">
        <f>+J45/J46</f>
        <v>#REF!</v>
      </c>
      <c r="K47" s="32"/>
      <c r="L47" s="32"/>
      <c r="M47" s="32"/>
      <c r="N47" s="32"/>
      <c r="O47" s="32"/>
      <c r="P47" s="32"/>
      <c r="Q47" s="32"/>
      <c r="R47" s="32"/>
      <c r="S47" s="32"/>
      <c r="T47" s="32"/>
      <c r="U47" s="32"/>
    </row>
    <row r="48" spans="1:41" ht="15" customHeight="1" x14ac:dyDescent="0.35">
      <c r="K48" s="32"/>
      <c r="L48" s="32"/>
      <c r="M48" s="32"/>
      <c r="N48" s="32"/>
      <c r="O48" s="32"/>
      <c r="P48" s="32"/>
      <c r="Q48" s="32"/>
      <c r="R48" s="32"/>
      <c r="S48" s="32"/>
      <c r="T48" s="32"/>
      <c r="U48" s="32"/>
    </row>
    <row r="49" spans="2:21" ht="15" customHeight="1" x14ac:dyDescent="0.35">
      <c r="K49" s="32"/>
      <c r="L49" s="32"/>
      <c r="M49" s="32"/>
      <c r="N49" s="32"/>
      <c r="O49" s="32"/>
      <c r="P49" s="32"/>
      <c r="Q49" s="32"/>
      <c r="R49" s="32"/>
      <c r="S49" s="32"/>
      <c r="T49" s="32"/>
      <c r="U49" s="32"/>
    </row>
    <row r="50" spans="2:21" ht="15" customHeight="1" x14ac:dyDescent="0.35">
      <c r="B50" s="413" t="s">
        <v>51</v>
      </c>
      <c r="C50" s="413" t="s">
        <v>52</v>
      </c>
      <c r="D50" s="413" t="s">
        <v>53</v>
      </c>
      <c r="E50" s="413" t="s">
        <v>54</v>
      </c>
      <c r="F50" s="413" t="s">
        <v>29</v>
      </c>
      <c r="G50" s="415" t="s">
        <v>55</v>
      </c>
      <c r="M50" s="415" t="s">
        <v>167</v>
      </c>
      <c r="N50" s="32"/>
      <c r="O50" s="32"/>
      <c r="P50" s="32"/>
      <c r="Q50" s="32"/>
      <c r="R50" s="32"/>
      <c r="S50" s="32"/>
      <c r="T50" s="32"/>
      <c r="U50" s="32"/>
    </row>
    <row r="51" spans="2:21" ht="15" customHeight="1" x14ac:dyDescent="0.35">
      <c r="B51" s="414"/>
      <c r="C51" s="414"/>
      <c r="D51" s="414"/>
      <c r="E51" s="414"/>
      <c r="F51" s="414"/>
      <c r="G51" s="414"/>
      <c r="M51" s="414"/>
    </row>
    <row r="52" spans="2:21" ht="15" customHeight="1" x14ac:dyDescent="0.35">
      <c r="B52" s="1" t="s">
        <v>99</v>
      </c>
      <c r="C52" s="13" t="s">
        <v>168</v>
      </c>
      <c r="D52" s="1" t="s">
        <v>130</v>
      </c>
      <c r="E52" s="1" t="s">
        <v>131</v>
      </c>
      <c r="F52" s="1" t="s">
        <v>169</v>
      </c>
      <c r="G52" s="1" t="s">
        <v>170</v>
      </c>
      <c r="M52" s="13" t="s">
        <v>171</v>
      </c>
    </row>
    <row r="53" spans="2:21" ht="15" customHeight="1" x14ac:dyDescent="0.35">
      <c r="B53" s="1" t="s">
        <v>116</v>
      </c>
      <c r="C53" s="13" t="s">
        <v>129</v>
      </c>
      <c r="D53" s="1" t="s">
        <v>172</v>
      </c>
      <c r="E53" s="1" t="s">
        <v>173</v>
      </c>
      <c r="F53" s="1" t="s">
        <v>174</v>
      </c>
      <c r="G53" s="1" t="s">
        <v>175</v>
      </c>
      <c r="M53" s="13" t="s">
        <v>92</v>
      </c>
    </row>
    <row r="54" spans="2:21" ht="15" customHeight="1" x14ac:dyDescent="0.35">
      <c r="B54" s="1" t="s">
        <v>83</v>
      </c>
      <c r="C54" s="13" t="s">
        <v>110</v>
      </c>
      <c r="D54" s="1" t="s">
        <v>85</v>
      </c>
      <c r="E54" s="1" t="s">
        <v>176</v>
      </c>
      <c r="F54" s="1" t="s">
        <v>177</v>
      </c>
      <c r="G54" s="1" t="s">
        <v>178</v>
      </c>
      <c r="M54" s="13" t="s">
        <v>179</v>
      </c>
    </row>
    <row r="55" spans="2:21" ht="15" customHeight="1" x14ac:dyDescent="0.35">
      <c r="B55" s="1" t="s">
        <v>109</v>
      </c>
      <c r="C55" s="13" t="s">
        <v>125</v>
      </c>
      <c r="D55" s="1" t="s">
        <v>180</v>
      </c>
      <c r="E55" s="1" t="s">
        <v>181</v>
      </c>
      <c r="F55" s="1" t="s">
        <v>182</v>
      </c>
      <c r="G55" s="1" t="s">
        <v>183</v>
      </c>
    </row>
    <row r="56" spans="2:21" ht="15" customHeight="1" x14ac:dyDescent="0.35">
      <c r="B56" s="1" t="s">
        <v>124</v>
      </c>
      <c r="C56" s="13" t="s">
        <v>142</v>
      </c>
      <c r="D56" s="1" t="s">
        <v>100</v>
      </c>
      <c r="E56" s="1" t="s">
        <v>184</v>
      </c>
      <c r="F56" s="1" t="s">
        <v>185</v>
      </c>
      <c r="G56" s="1" t="s">
        <v>186</v>
      </c>
    </row>
    <row r="57" spans="2:21" ht="15" customHeight="1" x14ac:dyDescent="0.35">
      <c r="B57" s="1" t="s">
        <v>187</v>
      </c>
      <c r="C57" s="13" t="s">
        <v>188</v>
      </c>
      <c r="D57" s="1" t="s">
        <v>111</v>
      </c>
      <c r="E57" s="1" t="s">
        <v>149</v>
      </c>
      <c r="F57" s="1" t="s">
        <v>189</v>
      </c>
      <c r="G57" s="1" t="s">
        <v>127</v>
      </c>
    </row>
    <row r="58" spans="2:21" ht="15" customHeight="1" x14ac:dyDescent="0.35">
      <c r="B58" s="1" t="s">
        <v>190</v>
      </c>
      <c r="C58" s="13" t="s">
        <v>191</v>
      </c>
      <c r="D58" s="1" t="s">
        <v>192</v>
      </c>
      <c r="E58" s="1" t="s">
        <v>193</v>
      </c>
      <c r="F58" s="1" t="s">
        <v>194</v>
      </c>
      <c r="G58" s="1" t="s">
        <v>195</v>
      </c>
    </row>
    <row r="59" spans="2:21" ht="15" customHeight="1" x14ac:dyDescent="0.35">
      <c r="B59" s="1" t="s">
        <v>196</v>
      </c>
      <c r="C59" s="13" t="s">
        <v>197</v>
      </c>
      <c r="E59" s="1" t="s">
        <v>126</v>
      </c>
      <c r="F59" s="1" t="s">
        <v>198</v>
      </c>
      <c r="G59" s="1" t="s">
        <v>150</v>
      </c>
    </row>
    <row r="60" spans="2:21" ht="15" customHeight="1" x14ac:dyDescent="0.35">
      <c r="C60" s="13" t="s">
        <v>117</v>
      </c>
      <c r="E60" s="1" t="s">
        <v>118</v>
      </c>
      <c r="F60" s="1" t="s">
        <v>199</v>
      </c>
      <c r="G60" s="1" t="s">
        <v>102</v>
      </c>
    </row>
    <row r="61" spans="2:21" ht="15" customHeight="1" x14ac:dyDescent="0.35">
      <c r="C61" s="13" t="s">
        <v>84</v>
      </c>
      <c r="E61" s="1" t="s">
        <v>200</v>
      </c>
      <c r="F61" s="1" t="s">
        <v>201</v>
      </c>
      <c r="G61" s="1" t="s">
        <v>132</v>
      </c>
    </row>
    <row r="62" spans="2:21" ht="15" customHeight="1" x14ac:dyDescent="0.35">
      <c r="E62" s="1" t="s">
        <v>202</v>
      </c>
      <c r="F62" s="1" t="s">
        <v>203</v>
      </c>
      <c r="G62" s="1" t="s">
        <v>144</v>
      </c>
    </row>
    <row r="63" spans="2:21" ht="15" customHeight="1" x14ac:dyDescent="0.35">
      <c r="E63" s="1" t="s">
        <v>204</v>
      </c>
      <c r="F63" s="1" t="s">
        <v>205</v>
      </c>
      <c r="G63" s="1" t="s">
        <v>206</v>
      </c>
    </row>
    <row r="64" spans="2:21" ht="15" customHeight="1" x14ac:dyDescent="0.35">
      <c r="E64" s="1" t="s">
        <v>86</v>
      </c>
      <c r="G64" s="1" t="s">
        <v>207</v>
      </c>
    </row>
    <row r="65" spans="5:7" ht="15" customHeight="1" x14ac:dyDescent="0.35">
      <c r="E65" s="1" t="s">
        <v>208</v>
      </c>
      <c r="G65" s="1" t="s">
        <v>209</v>
      </c>
    </row>
    <row r="66" spans="5:7" ht="15" customHeight="1" x14ac:dyDescent="0.35">
      <c r="E66" s="1" t="s">
        <v>101</v>
      </c>
      <c r="G66" s="1" t="s">
        <v>210</v>
      </c>
    </row>
    <row r="67" spans="5:7" ht="15" customHeight="1" x14ac:dyDescent="0.35">
      <c r="E67" s="1" t="s">
        <v>143</v>
      </c>
      <c r="G67" s="1" t="s">
        <v>211</v>
      </c>
    </row>
    <row r="68" spans="5:7" ht="15" customHeight="1" x14ac:dyDescent="0.35">
      <c r="E68" s="1" t="s">
        <v>212</v>
      </c>
      <c r="G68" s="1" t="s">
        <v>213</v>
      </c>
    </row>
    <row r="69" spans="5:7" ht="15" customHeight="1" x14ac:dyDescent="0.35">
      <c r="E69" s="1" t="s">
        <v>112</v>
      </c>
      <c r="G69" s="1" t="s">
        <v>214</v>
      </c>
    </row>
    <row r="70" spans="5:7" ht="15" customHeight="1" x14ac:dyDescent="0.35">
      <c r="E70" s="1" t="s">
        <v>215</v>
      </c>
      <c r="G70" s="1" t="s">
        <v>216</v>
      </c>
    </row>
    <row r="71" spans="5:7" ht="15" customHeight="1" x14ac:dyDescent="0.35">
      <c r="G71" s="1" t="s">
        <v>217</v>
      </c>
    </row>
    <row r="72" spans="5:7" ht="15" customHeight="1" x14ac:dyDescent="0.35">
      <c r="G72" s="1" t="s">
        <v>218</v>
      </c>
    </row>
    <row r="73" spans="5:7" ht="15" customHeight="1" x14ac:dyDescent="0.35">
      <c r="G73" s="1" t="s">
        <v>219</v>
      </c>
    </row>
    <row r="74" spans="5:7" ht="15" customHeight="1" x14ac:dyDescent="0.35">
      <c r="G74" s="1" t="s">
        <v>220</v>
      </c>
    </row>
    <row r="75" spans="5:7" ht="15" customHeight="1" x14ac:dyDescent="0.35">
      <c r="G75" s="1" t="s">
        <v>221</v>
      </c>
    </row>
    <row r="76" spans="5:7" ht="15" customHeight="1" x14ac:dyDescent="0.35">
      <c r="G76" s="1" t="s">
        <v>222</v>
      </c>
    </row>
    <row r="77" spans="5:7" ht="15" customHeight="1" x14ac:dyDescent="0.35">
      <c r="G77" s="1" t="s">
        <v>223</v>
      </c>
    </row>
    <row r="78" spans="5:7" ht="15" customHeight="1" x14ac:dyDescent="0.35">
      <c r="G78" s="1" t="s">
        <v>224</v>
      </c>
    </row>
    <row r="79" spans="5:7" ht="15" customHeight="1" x14ac:dyDescent="0.35">
      <c r="G79" s="1" t="s">
        <v>225</v>
      </c>
    </row>
    <row r="80" spans="5:7" ht="15" customHeight="1" x14ac:dyDescent="0.35">
      <c r="G80" s="1" t="s">
        <v>226</v>
      </c>
    </row>
    <row r="81" spans="7:7" ht="15" customHeight="1" x14ac:dyDescent="0.35">
      <c r="G81" s="1" t="s">
        <v>227</v>
      </c>
    </row>
    <row r="82" spans="7:7" ht="15" customHeight="1" x14ac:dyDescent="0.35">
      <c r="G82" s="1" t="s">
        <v>228</v>
      </c>
    </row>
    <row r="83" spans="7:7" ht="15" customHeight="1" x14ac:dyDescent="0.35">
      <c r="G83" s="1" t="s">
        <v>229</v>
      </c>
    </row>
    <row r="84" spans="7:7" ht="15" customHeight="1" x14ac:dyDescent="0.35">
      <c r="G84" s="1" t="s">
        <v>230</v>
      </c>
    </row>
    <row r="85" spans="7:7" ht="15" customHeight="1" x14ac:dyDescent="0.35">
      <c r="G85" s="1" t="s">
        <v>119</v>
      </c>
    </row>
    <row r="86" spans="7:7" ht="15" customHeight="1" x14ac:dyDescent="0.35">
      <c r="G86" s="1" t="s">
        <v>138</v>
      </c>
    </row>
    <row r="87" spans="7:7" ht="15" customHeight="1" x14ac:dyDescent="0.35">
      <c r="G87" s="1" t="s">
        <v>231</v>
      </c>
    </row>
    <row r="88" spans="7:7" ht="15" customHeight="1" x14ac:dyDescent="0.35">
      <c r="G88" s="1" t="s">
        <v>232</v>
      </c>
    </row>
    <row r="89" spans="7:7" ht="15" customHeight="1" x14ac:dyDescent="0.35">
      <c r="G89" s="1" t="s">
        <v>233</v>
      </c>
    </row>
    <row r="90" spans="7:7" ht="15" customHeight="1" x14ac:dyDescent="0.35">
      <c r="G90" s="1" t="s">
        <v>87</v>
      </c>
    </row>
    <row r="91" spans="7:7" ht="15" customHeight="1" x14ac:dyDescent="0.35">
      <c r="G91" s="1" t="s">
        <v>234</v>
      </c>
    </row>
    <row r="92" spans="7:7" ht="15" customHeight="1" x14ac:dyDescent="0.35">
      <c r="G92" s="1" t="s">
        <v>235</v>
      </c>
    </row>
    <row r="93" spans="7:7" ht="15" customHeight="1" x14ac:dyDescent="0.35">
      <c r="G93" s="1" t="s">
        <v>236</v>
      </c>
    </row>
    <row r="94" spans="7:7" ht="15" customHeight="1" x14ac:dyDescent="0.35">
      <c r="G94" s="1" t="s">
        <v>237</v>
      </c>
    </row>
    <row r="95" spans="7:7" ht="15" customHeight="1" x14ac:dyDescent="0.35">
      <c r="G95" s="1" t="s">
        <v>238</v>
      </c>
    </row>
    <row r="96" spans="7:7" ht="15" customHeight="1" x14ac:dyDescent="0.35">
      <c r="G96" s="1" t="s">
        <v>239</v>
      </c>
    </row>
    <row r="97" spans="7:7" ht="15" customHeight="1" x14ac:dyDescent="0.35">
      <c r="G97" s="1" t="s">
        <v>240</v>
      </c>
    </row>
    <row r="98" spans="7:7" ht="15" customHeight="1" x14ac:dyDescent="0.35">
      <c r="G98" s="1" t="s">
        <v>241</v>
      </c>
    </row>
    <row r="99" spans="7:7" ht="15" customHeight="1" x14ac:dyDescent="0.35">
      <c r="G99" s="1" t="s">
        <v>242</v>
      </c>
    </row>
    <row r="100" spans="7:7" ht="15" customHeight="1" x14ac:dyDescent="0.35">
      <c r="G100" s="1" t="s">
        <v>243</v>
      </c>
    </row>
    <row r="101" spans="7:7" ht="15" customHeight="1" x14ac:dyDescent="0.35">
      <c r="G101" s="1" t="s">
        <v>244</v>
      </c>
    </row>
    <row r="102" spans="7:7" ht="15" customHeight="1" x14ac:dyDescent="0.35">
      <c r="G102" s="1" t="s">
        <v>245</v>
      </c>
    </row>
    <row r="103" spans="7:7" ht="15" customHeight="1" x14ac:dyDescent="0.35">
      <c r="G103" s="1" t="s">
        <v>246</v>
      </c>
    </row>
    <row r="104" spans="7:7" ht="15" customHeight="1" x14ac:dyDescent="0.35">
      <c r="G104" s="1" t="s">
        <v>39</v>
      </c>
    </row>
    <row r="105" spans="7:7" ht="15" customHeight="1" x14ac:dyDescent="0.35">
      <c r="G105" s="1" t="s">
        <v>247</v>
      </c>
    </row>
    <row r="106" spans="7:7" ht="15" customHeight="1" x14ac:dyDescent="0.35">
      <c r="G106" s="1" t="s">
        <v>248</v>
      </c>
    </row>
    <row r="107" spans="7:7" ht="15" customHeight="1" x14ac:dyDescent="0.35">
      <c r="G107" s="1" t="s">
        <v>249</v>
      </c>
    </row>
    <row r="108" spans="7:7" ht="15" customHeight="1" x14ac:dyDescent="0.35">
      <c r="G108" s="1" t="s">
        <v>250</v>
      </c>
    </row>
    <row r="109" spans="7:7" ht="15" customHeight="1" x14ac:dyDescent="0.35">
      <c r="G109" s="1" t="s">
        <v>251</v>
      </c>
    </row>
    <row r="110" spans="7:7" ht="15" customHeight="1" x14ac:dyDescent="0.35">
      <c r="G110" s="1" t="s">
        <v>252</v>
      </c>
    </row>
    <row r="111" spans="7:7" ht="15" customHeight="1" x14ac:dyDescent="0.35">
      <c r="G111" s="1" t="s">
        <v>253</v>
      </c>
    </row>
  </sheetData>
  <sheetProtection formatCells="0" formatColumns="0" formatRows="0" insertColumns="0" insertRows="0" insertHyperlinks="0" deleteColumns="0" deleteRows="0" sort="0" autoFilter="0" pivotTables="0"/>
  <autoFilter ref="A13:AO13" xr:uid="{29F1F01A-C809-40FB-87B9-E571BFA038B5}"/>
  <mergeCells count="329">
    <mergeCell ref="AN26:AN27"/>
    <mergeCell ref="AO26:AO27"/>
    <mergeCell ref="AL28:AL29"/>
    <mergeCell ref="AM28:AM29"/>
    <mergeCell ref="AN28:AN29"/>
    <mergeCell ref="AO28:AO29"/>
    <mergeCell ref="A26:A27"/>
    <mergeCell ref="B26:B27"/>
    <mergeCell ref="C26:C27"/>
    <mergeCell ref="D26:D27"/>
    <mergeCell ref="E26:E27"/>
    <mergeCell ref="F26:F27"/>
    <mergeCell ref="G26:G27"/>
    <mergeCell ref="H26:H27"/>
    <mergeCell ref="I26:I27"/>
    <mergeCell ref="J26:J27"/>
    <mergeCell ref="K26:K27"/>
    <mergeCell ref="L26:L27"/>
    <mergeCell ref="M26:M27"/>
    <mergeCell ref="N26:N27"/>
    <mergeCell ref="O26:O27"/>
    <mergeCell ref="P26:P27"/>
    <mergeCell ref="J28:J29"/>
    <mergeCell ref="K28:K29"/>
    <mergeCell ref="L28:L29"/>
    <mergeCell ref="M28:M29"/>
    <mergeCell ref="N28:N29"/>
    <mergeCell ref="O28:O29"/>
    <mergeCell ref="P28:P29"/>
    <mergeCell ref="AL26:AL27"/>
    <mergeCell ref="AM26:AM27"/>
    <mergeCell ref="A28:A29"/>
    <mergeCell ref="B28:B29"/>
    <mergeCell ref="C28:C29"/>
    <mergeCell ref="D28:D29"/>
    <mergeCell ref="E28:E29"/>
    <mergeCell ref="F28:F29"/>
    <mergeCell ref="G28:G29"/>
    <mergeCell ref="H28:H29"/>
    <mergeCell ref="I28:I29"/>
    <mergeCell ref="AL32:AL33"/>
    <mergeCell ref="AM32:AM33"/>
    <mergeCell ref="AN32:AN33"/>
    <mergeCell ref="AO32:AO33"/>
    <mergeCell ref="A30:A31"/>
    <mergeCell ref="B30:B31"/>
    <mergeCell ref="C30:C31"/>
    <mergeCell ref="D30:D31"/>
    <mergeCell ref="E30:E31"/>
    <mergeCell ref="F30:F31"/>
    <mergeCell ref="G30:G31"/>
    <mergeCell ref="H30:H31"/>
    <mergeCell ref="I30:I31"/>
    <mergeCell ref="J30:J31"/>
    <mergeCell ref="K30:K31"/>
    <mergeCell ref="L30:L31"/>
    <mergeCell ref="M30:M31"/>
    <mergeCell ref="N30:N31"/>
    <mergeCell ref="O30:O31"/>
    <mergeCell ref="P30:P31"/>
    <mergeCell ref="AL30:AL31"/>
    <mergeCell ref="AM30:AM31"/>
    <mergeCell ref="AN30:AN31"/>
    <mergeCell ref="AO30:AO31"/>
    <mergeCell ref="J32:J33"/>
    <mergeCell ref="K32:K33"/>
    <mergeCell ref="L32:L33"/>
    <mergeCell ref="M32:M33"/>
    <mergeCell ref="N32:N33"/>
    <mergeCell ref="O32:O33"/>
    <mergeCell ref="P32:P33"/>
    <mergeCell ref="Q32:Q33"/>
    <mergeCell ref="R32:R33"/>
    <mergeCell ref="A32:A33"/>
    <mergeCell ref="B32:B33"/>
    <mergeCell ref="C32:C33"/>
    <mergeCell ref="D32:D33"/>
    <mergeCell ref="E32:E33"/>
    <mergeCell ref="F32:F33"/>
    <mergeCell ref="G32:G33"/>
    <mergeCell ref="H32:H33"/>
    <mergeCell ref="I32:I33"/>
    <mergeCell ref="P24:P25"/>
    <mergeCell ref="Q24:Q25"/>
    <mergeCell ref="R24:R25"/>
    <mergeCell ref="S24:S25"/>
    <mergeCell ref="T24:T25"/>
    <mergeCell ref="U24:U25"/>
    <mergeCell ref="U32:U33"/>
    <mergeCell ref="U30:U31"/>
    <mergeCell ref="U28:U29"/>
    <mergeCell ref="U26:U27"/>
    <mergeCell ref="Q30:Q31"/>
    <mergeCell ref="R30:R31"/>
    <mergeCell ref="S30:S31"/>
    <mergeCell ref="T30:T31"/>
    <mergeCell ref="S32:S33"/>
    <mergeCell ref="T32:T33"/>
    <mergeCell ref="Q28:Q29"/>
    <mergeCell ref="R28:R29"/>
    <mergeCell ref="S28:S29"/>
    <mergeCell ref="T28:T29"/>
    <mergeCell ref="Q26:Q27"/>
    <mergeCell ref="R26:R27"/>
    <mergeCell ref="S26:S27"/>
    <mergeCell ref="T26:T27"/>
    <mergeCell ref="S16:S17"/>
    <mergeCell ref="T16:T17"/>
    <mergeCell ref="U16:U17"/>
    <mergeCell ref="S6:T10"/>
    <mergeCell ref="U6:W10"/>
    <mergeCell ref="T18:T19"/>
    <mergeCell ref="U18:U19"/>
    <mergeCell ref="P20:P21"/>
    <mergeCell ref="Q20:Q21"/>
    <mergeCell ref="U20:U21"/>
    <mergeCell ref="P12:P13"/>
    <mergeCell ref="Q12:Q13"/>
    <mergeCell ref="R12:R13"/>
    <mergeCell ref="S12:S13"/>
    <mergeCell ref="T12:T13"/>
    <mergeCell ref="U12:U13"/>
    <mergeCell ref="P14:P15"/>
    <mergeCell ref="AN24:AN25"/>
    <mergeCell ref="AO24:AO25"/>
    <mergeCell ref="AN22:AN23"/>
    <mergeCell ref="AO22:AO23"/>
    <mergeCell ref="AN20:AN21"/>
    <mergeCell ref="AO20:AO21"/>
    <mergeCell ref="AN18:AN19"/>
    <mergeCell ref="AO18:AO19"/>
    <mergeCell ref="H45:I45"/>
    <mergeCell ref="O24:O25"/>
    <mergeCell ref="AL24:AL25"/>
    <mergeCell ref="AM24:AM25"/>
    <mergeCell ref="M24:M25"/>
    <mergeCell ref="N24:N25"/>
    <mergeCell ref="I24:I25"/>
    <mergeCell ref="J24:J25"/>
    <mergeCell ref="L24:L25"/>
    <mergeCell ref="I22:I23"/>
    <mergeCell ref="J22:J23"/>
    <mergeCell ref="K22:K23"/>
    <mergeCell ref="K24:K25"/>
    <mergeCell ref="O20:O21"/>
    <mergeCell ref="AL20:AL21"/>
    <mergeCell ref="AM20:AM21"/>
    <mergeCell ref="H46:I46"/>
    <mergeCell ref="H47:I47"/>
    <mergeCell ref="I38:J38"/>
    <mergeCell ref="I39:J39"/>
    <mergeCell ref="I40:J40"/>
    <mergeCell ref="I41:J41"/>
    <mergeCell ref="I42:J42"/>
    <mergeCell ref="I43:J43"/>
    <mergeCell ref="H34:H37"/>
    <mergeCell ref="A24:A25"/>
    <mergeCell ref="B24:B25"/>
    <mergeCell ref="C24:C25"/>
    <mergeCell ref="D24:D25"/>
    <mergeCell ref="E24:E25"/>
    <mergeCell ref="F24:F25"/>
    <mergeCell ref="G24:G25"/>
    <mergeCell ref="H24:H25"/>
    <mergeCell ref="F22:F23"/>
    <mergeCell ref="G22:G23"/>
    <mergeCell ref="H22:H23"/>
    <mergeCell ref="M20:M21"/>
    <mergeCell ref="N20:N21"/>
    <mergeCell ref="L22:L23"/>
    <mergeCell ref="M22:M23"/>
    <mergeCell ref="N22:N23"/>
    <mergeCell ref="O22:O23"/>
    <mergeCell ref="AL22:AL23"/>
    <mergeCell ref="AM22:AM23"/>
    <mergeCell ref="P22:P23"/>
    <mergeCell ref="Q22:Q23"/>
    <mergeCell ref="R22:R23"/>
    <mergeCell ref="S22:S23"/>
    <mergeCell ref="R20:R21"/>
    <mergeCell ref="S20:S21"/>
    <mergeCell ref="T20:T21"/>
    <mergeCell ref="T22:T23"/>
    <mergeCell ref="U22:U23"/>
    <mergeCell ref="O18:O19"/>
    <mergeCell ref="AL18:AL19"/>
    <mergeCell ref="AM18:AM19"/>
    <mergeCell ref="P18:P19"/>
    <mergeCell ref="Q18:Q19"/>
    <mergeCell ref="R18:R19"/>
    <mergeCell ref="S18:S19"/>
    <mergeCell ref="A22:A23"/>
    <mergeCell ref="B22:B23"/>
    <mergeCell ref="C22:C23"/>
    <mergeCell ref="D22:D23"/>
    <mergeCell ref="E22:E23"/>
    <mergeCell ref="I20:I21"/>
    <mergeCell ref="J20:J21"/>
    <mergeCell ref="K20:K21"/>
    <mergeCell ref="L20:L21"/>
    <mergeCell ref="A20:A21"/>
    <mergeCell ref="B20:B21"/>
    <mergeCell ref="C20:C21"/>
    <mergeCell ref="D20:D21"/>
    <mergeCell ref="E20:E21"/>
    <mergeCell ref="F20:F21"/>
    <mergeCell ref="G20:G21"/>
    <mergeCell ref="H20:H21"/>
    <mergeCell ref="AO16:AO17"/>
    <mergeCell ref="A18:A19"/>
    <mergeCell ref="B18:B19"/>
    <mergeCell ref="C18:C19"/>
    <mergeCell ref="D18:D19"/>
    <mergeCell ref="E18:E19"/>
    <mergeCell ref="I16:I17"/>
    <mergeCell ref="J16:J17"/>
    <mergeCell ref="K16:K17"/>
    <mergeCell ref="L16:L17"/>
    <mergeCell ref="M16:M17"/>
    <mergeCell ref="N16:N17"/>
    <mergeCell ref="F18:F19"/>
    <mergeCell ref="G18:G19"/>
    <mergeCell ref="H18:H19"/>
    <mergeCell ref="I18:I19"/>
    <mergeCell ref="J18:J19"/>
    <mergeCell ref="K18:K19"/>
    <mergeCell ref="O16:O17"/>
    <mergeCell ref="AL16:AL17"/>
    <mergeCell ref="AM16:AM17"/>
    <mergeCell ref="L18:L19"/>
    <mergeCell ref="M18:M19"/>
    <mergeCell ref="N18:N19"/>
    <mergeCell ref="AB12:AB13"/>
    <mergeCell ref="AC12:AC13"/>
    <mergeCell ref="AD12:AD13"/>
    <mergeCell ref="A16:A17"/>
    <mergeCell ref="B16:B17"/>
    <mergeCell ref="C16:C17"/>
    <mergeCell ref="D16:D17"/>
    <mergeCell ref="E16:E17"/>
    <mergeCell ref="F16:F17"/>
    <mergeCell ref="G16:G17"/>
    <mergeCell ref="H16:H17"/>
    <mergeCell ref="L14:L15"/>
    <mergeCell ref="F14:F15"/>
    <mergeCell ref="G14:G15"/>
    <mergeCell ref="H14:H15"/>
    <mergeCell ref="I14:I15"/>
    <mergeCell ref="A14:A15"/>
    <mergeCell ref="B14:B15"/>
    <mergeCell ref="C14:C15"/>
    <mergeCell ref="D14:D15"/>
    <mergeCell ref="E14:E15"/>
    <mergeCell ref="P16:P17"/>
    <mergeCell ref="Q16:Q17"/>
    <mergeCell ref="R16:R17"/>
    <mergeCell ref="M14:M15"/>
    <mergeCell ref="N14:N15"/>
    <mergeCell ref="O14:O15"/>
    <mergeCell ref="Q14:Q15"/>
    <mergeCell ref="R14:R15"/>
    <mergeCell ref="S14:S15"/>
    <mergeCell ref="T14:T15"/>
    <mergeCell ref="U14:U15"/>
    <mergeCell ref="A12:A13"/>
    <mergeCell ref="B12:B13"/>
    <mergeCell ref="C12:C13"/>
    <mergeCell ref="D12:D13"/>
    <mergeCell ref="E12:E13"/>
    <mergeCell ref="F12:F13"/>
    <mergeCell ref="A11:F11"/>
    <mergeCell ref="V11:AK11"/>
    <mergeCell ref="M12:M13"/>
    <mergeCell ref="N12:N13"/>
    <mergeCell ref="O12:O13"/>
    <mergeCell ref="V12:V13"/>
    <mergeCell ref="W12:W13"/>
    <mergeCell ref="X12:X13"/>
    <mergeCell ref="G12:G13"/>
    <mergeCell ref="H12:H13"/>
    <mergeCell ref="I12:I13"/>
    <mergeCell ref="J12:J13"/>
    <mergeCell ref="K12:K13"/>
    <mergeCell ref="L12:L13"/>
    <mergeCell ref="AK12:AK13"/>
    <mergeCell ref="AI12:AI13"/>
    <mergeCell ref="AJ12:AJ13"/>
    <mergeCell ref="AE12:AE13"/>
    <mergeCell ref="AF12:AF13"/>
    <mergeCell ref="AG12:AG13"/>
    <mergeCell ref="AH12:AH13"/>
    <mergeCell ref="Y12:Y13"/>
    <mergeCell ref="Z12:Z13"/>
    <mergeCell ref="AA12:AA13"/>
    <mergeCell ref="A1:C3"/>
    <mergeCell ref="D1:AO3"/>
    <mergeCell ref="A4:A5"/>
    <mergeCell ref="G4:G5"/>
    <mergeCell ref="A6:B10"/>
    <mergeCell ref="C6:D10"/>
    <mergeCell ref="E6:F10"/>
    <mergeCell ref="G6:G10"/>
    <mergeCell ref="H6:I10"/>
    <mergeCell ref="X6:AO10"/>
    <mergeCell ref="J6:J10"/>
    <mergeCell ref="B50:B51"/>
    <mergeCell ref="C50:C51"/>
    <mergeCell ref="D50:D51"/>
    <mergeCell ref="E50:E51"/>
    <mergeCell ref="F50:F51"/>
    <mergeCell ref="G50:G51"/>
    <mergeCell ref="M50:M51"/>
    <mergeCell ref="AL11:AO11"/>
    <mergeCell ref="P6:R10"/>
    <mergeCell ref="K6:L10"/>
    <mergeCell ref="M6:M10"/>
    <mergeCell ref="N6:O10"/>
    <mergeCell ref="G11:U11"/>
    <mergeCell ref="J14:J15"/>
    <mergeCell ref="K14:K15"/>
    <mergeCell ref="AL12:AL13"/>
    <mergeCell ref="AM12:AM13"/>
    <mergeCell ref="AN12:AN13"/>
    <mergeCell ref="AO12:AO13"/>
    <mergeCell ref="AN14:AN15"/>
    <mergeCell ref="AO14:AO15"/>
    <mergeCell ref="AL14:AL15"/>
    <mergeCell ref="AM14:AM15"/>
    <mergeCell ref="AN16:AN17"/>
  </mergeCells>
  <conditionalFormatting sqref="I4">
    <cfRule type="cellIs" dxfId="95" priority="16" operator="lessThanOrEqual">
      <formula>$C$4</formula>
    </cfRule>
  </conditionalFormatting>
  <conditionalFormatting sqref="J6">
    <cfRule type="cellIs" dxfId="94" priority="17" operator="greaterThanOrEqual">
      <formula>$C$5</formula>
    </cfRule>
    <cfRule type="cellIs" dxfId="93" priority="18" operator="lessThanOrEqual">
      <formula>$C$4</formula>
    </cfRule>
    <cfRule type="cellIs" dxfId="92" priority="19" operator="between">
      <formula>$C$5</formula>
      <formula>$C$4</formula>
    </cfRule>
  </conditionalFormatting>
  <conditionalFormatting sqref="P6">
    <cfRule type="cellIs" dxfId="91" priority="13" operator="greaterThanOrEqual">
      <formula>$I$5</formula>
    </cfRule>
    <cfRule type="cellIs" dxfId="90" priority="14" operator="lessThanOrEqual">
      <formula>$I$4</formula>
    </cfRule>
    <cfRule type="cellIs" dxfId="89" priority="15" operator="between">
      <formula>$I$5</formula>
      <formula>$I$4</formula>
    </cfRule>
  </conditionalFormatting>
  <conditionalFormatting sqref="U6">
    <cfRule type="cellIs" dxfId="88" priority="7" operator="greaterThanOrEqual">
      <formula>$I$5</formula>
    </cfRule>
    <cfRule type="cellIs" dxfId="87" priority="8" operator="lessThanOrEqual">
      <formula>$I$4</formula>
    </cfRule>
    <cfRule type="cellIs" dxfId="86" priority="9" operator="between">
      <formula>$I$5</formula>
      <formula>$I$4</formula>
    </cfRule>
  </conditionalFormatting>
  <conditionalFormatting sqref="X14:X33">
    <cfRule type="cellIs" dxfId="85" priority="10" operator="greaterThanOrEqual">
      <formula>$C$5</formula>
    </cfRule>
    <cfRule type="cellIs" dxfId="84" priority="11" operator="lessThanOrEqual">
      <formula>$C$4</formula>
    </cfRule>
    <cfRule type="cellIs" dxfId="83" priority="12" operator="between">
      <formula>$C$5</formula>
      <formula>$C$4</formula>
    </cfRule>
  </conditionalFormatting>
  <conditionalFormatting sqref="Z38:Z41 AD38:AD41 V38:V43 AH38:AH43 K39:U39 W39:Y39 AA39:AC39 AE39:AG39 AI39:AK39 J47">
    <cfRule type="cellIs" dxfId="82" priority="20" operator="greaterThanOrEqual">
      <formula>$D$9</formula>
    </cfRule>
    <cfRule type="cellIs" dxfId="81" priority="21" operator="lessThanOrEqual">
      <formula>$C$6</formula>
    </cfRule>
    <cfRule type="cellIs" dxfId="80" priority="22" operator="between">
      <formula>$C$6</formula>
      <formula>$D$9</formula>
    </cfRule>
  </conditionalFormatting>
  <dataValidations xWindow="1493" yWindow="747" count="8">
    <dataValidation type="decimal" allowBlank="1" showInputMessage="1" showErrorMessage="1" prompt="valor porcentual de la activida - Indique el peso porcentual de la actividad dentro del proyecto" sqref="W14 W22 W18 W16 W20 W24 W32 W30 W28 W26" xr:uid="{B9304C16-77DA-4127-BC59-6191F8ED3579}">
      <formula1>0</formula1>
      <formula2>1</formula2>
    </dataValidation>
    <dataValidation type="decimal" allowBlank="1" showInputMessage="1" showErrorMessage="1" prompt="campo calculado  - indica el % de avance  que aporta la activadad a todo el proyecto" sqref="W23 W21 W19 W15 W17 W33 W31 W29 W25 W27" xr:uid="{52304C28-041D-491F-82DC-6DAF366126DB}">
      <formula1>0</formula1>
      <formula2>1</formula2>
    </dataValidation>
    <dataValidation type="decimal" allowBlank="1" showInputMessage="1" showErrorMessage="1" prompt="% de avance en la actividad - indique el % programado de avance durante esta semana_x000a_" sqref="Y14:AA23 AB14:AK33 Y25:AA33" xr:uid="{CE2FFFDA-F91D-4E14-8947-4ED249C62EA2}">
      <formula1>0</formula1>
      <formula2>1</formula2>
    </dataValidation>
    <dataValidation allowBlank="1" showErrorMessage="1" sqref="X14:X33" xr:uid="{63CB21F1-C858-4BE2-9278-FC48220247D7}"/>
    <dataValidation type="list" allowBlank="1" showInputMessage="1" showErrorMessage="1" sqref="B14:B33" xr:uid="{479202AB-D950-4F86-B655-5D0F01EB61F4}">
      <formula1>$B$37:$B$44</formula1>
    </dataValidation>
    <dataValidation type="list" allowBlank="1" showInputMessage="1" showErrorMessage="1" sqref="C14:C33" xr:uid="{6D30EB07-36E8-45C8-9F6A-B17C7478C680}">
      <formula1>$C$37:$C$46</formula1>
    </dataValidation>
    <dataValidation type="list" allowBlank="1" showInputMessage="1" showErrorMessage="1" sqref="D14:D33" xr:uid="{7EEF27DD-7560-4E52-B1EB-FA77980521CB}">
      <formula1>$D$37:$D$43</formula1>
    </dataValidation>
    <dataValidation type="list" allowBlank="1" showInputMessage="1" showErrorMessage="1" sqref="E14:E33" xr:uid="{797EAC44-2F2F-45B8-A89D-1A6B50FFF2B3}">
      <formula1>$E$37:$E$55</formula1>
    </dataValidation>
  </dataValidations>
  <pageMargins left="0.7" right="0.7" top="0.75" bottom="0.75" header="0.3" footer="0.3"/>
  <pageSetup scale="10" orientation="portrait" r:id="rId1"/>
  <headerFooter>
    <oddFooter>&amp;C_x000D_&amp;1#&amp;"Calibri"&amp;10&amp;K008000 DOCUMENTO PÚBLICO</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49BB54355EBC0479588B58EF1646E9D" ma:contentTypeVersion="18" ma:contentTypeDescription="Crear nuevo documento." ma:contentTypeScope="" ma:versionID="0d560dc6ed618ae11e3d9bf21133c419">
  <xsd:schema xmlns:xsd="http://www.w3.org/2001/XMLSchema" xmlns:xs="http://www.w3.org/2001/XMLSchema" xmlns:p="http://schemas.microsoft.com/office/2006/metadata/properties" xmlns:ns2="c8f692e2-7f23-4b51-918d-31b649eae9bb" xmlns:ns3="e6cd777c-5c62-468f-8590-df061bf39fc1" targetNamespace="http://schemas.microsoft.com/office/2006/metadata/properties" ma:root="true" ma:fieldsID="d2d9106274783c0c8cc8cd40430cfd99" ns2:_="" ns3:_="">
    <xsd:import namespace="c8f692e2-7f23-4b51-918d-31b649eae9bb"/>
    <xsd:import namespace="e6cd777c-5c62-468f-8590-df061bf39f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f692e2-7f23-4b51-918d-31b649eae9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f29cd154-1d01-418b-abbd-4d33b5eb1c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6cd777c-5c62-468f-8590-df061bf39fc1"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2e088b56-7797-45fb-887d-01e35945cbb8}" ma:internalName="TaxCatchAll" ma:showField="CatchAllData" ma:web="e6cd777c-5c62-468f-8590-df061bf39fc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8f692e2-7f23-4b51-918d-31b649eae9bb">
      <Terms xmlns="http://schemas.microsoft.com/office/infopath/2007/PartnerControls"/>
    </lcf76f155ced4ddcb4097134ff3c332f>
    <TaxCatchAll xmlns="e6cd777c-5c62-468f-8590-df061bf39fc1" xsi:nil="true"/>
    <SharedWithUsers xmlns="e6cd777c-5c62-468f-8590-df061bf39fc1">
      <UserInfo>
        <DisplayName>NATALIA GOMEZ</DisplayName>
        <AccountId>10</AccountId>
        <AccountType/>
      </UserInfo>
      <UserInfo>
        <DisplayName>JASON ARMANDO REYES</DisplayName>
        <AccountId>18</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D6DEDE-25EF-4925-9AA3-6431143D3E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f692e2-7f23-4b51-918d-31b649eae9bb"/>
    <ds:schemaRef ds:uri="e6cd777c-5c62-468f-8590-df061bf39f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9943B97-CD7A-42ED-8C75-1A37F9160914}">
  <ds:schemaRefs>
    <ds:schemaRef ds:uri="http://purl.org/dc/dcmitype/"/>
    <ds:schemaRef ds:uri="http://schemas.microsoft.com/office/2006/metadata/properties"/>
    <ds:schemaRef ds:uri="http://purl.org/dc/elements/1.1/"/>
    <ds:schemaRef ds:uri="http://schemas.openxmlformats.org/package/2006/metadata/core-properties"/>
    <ds:schemaRef ds:uri="http://schemas.microsoft.com/office/2006/documentManagement/types"/>
    <ds:schemaRef ds:uri="http://www.w3.org/XML/1998/namespace"/>
    <ds:schemaRef ds:uri="e6cd777c-5c62-468f-8590-df061bf39fc1"/>
    <ds:schemaRef ds:uri="c8f692e2-7f23-4b51-918d-31b649eae9bb"/>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517C027B-CA08-4A2D-9F02-677C7EA941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14</vt:i4>
      </vt:variant>
    </vt:vector>
  </HeadingPairs>
  <TitlesOfParts>
    <vt:vector size="30" baseType="lpstr">
      <vt:lpstr>INICIO</vt:lpstr>
      <vt:lpstr>EJECUCIÓN</vt:lpstr>
      <vt:lpstr>TABLERO DE CONTROL</vt:lpstr>
      <vt:lpstr>02. SECTORIAL</vt:lpstr>
      <vt:lpstr>03. INSTITUCIONAL</vt:lpstr>
      <vt:lpstr>04. PINAR</vt:lpstr>
      <vt:lpstr>05. PAA</vt:lpstr>
      <vt:lpstr>06. PETH</vt:lpstr>
      <vt:lpstr>07. PIC</vt:lpstr>
      <vt:lpstr>08. PII</vt:lpstr>
      <vt:lpstr>09. PSST</vt:lpstr>
      <vt:lpstr>10 PTEP</vt:lpstr>
      <vt:lpstr>11.PETI</vt:lpstr>
      <vt:lpstr>12. PTRSPI</vt:lpstr>
      <vt:lpstr>Hoja1</vt:lpstr>
      <vt:lpstr>13.PSPI</vt:lpstr>
      <vt:lpstr>'03. INSTITUCIONAL'!Área_de_impresión</vt:lpstr>
      <vt:lpstr>'04. PINAR'!Área_de_impresión</vt:lpstr>
      <vt:lpstr>'05. PAA'!Área_de_impresión</vt:lpstr>
      <vt:lpstr>'06. PETH'!Área_de_impresión</vt:lpstr>
      <vt:lpstr>'07. PIC'!Área_de_impresión</vt:lpstr>
      <vt:lpstr>'08. PII'!Área_de_impresión</vt:lpstr>
      <vt:lpstr>'09. PSST'!Área_de_impresión</vt:lpstr>
      <vt:lpstr>'10 PTEP'!Área_de_impresión</vt:lpstr>
      <vt:lpstr>'11.PETI'!Área_de_impresión</vt:lpstr>
      <vt:lpstr>INICIO!Área_de_impresión</vt:lpstr>
      <vt:lpstr>'TABLERO DE CONTROL'!Área_de_impresión</vt:lpstr>
      <vt:lpstr>fuente</vt:lpstr>
      <vt:lpstr>inversión</vt:lpstr>
      <vt:lpstr>objetivo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Yaneth Diaz ariza</dc:creator>
  <cp:keywords/>
  <dc:description/>
  <cp:lastModifiedBy>JASON ARMANDO REYES</cp:lastModifiedBy>
  <cp:revision/>
  <dcterms:created xsi:type="dcterms:W3CDTF">2017-07-17T22:09:40Z</dcterms:created>
  <dcterms:modified xsi:type="dcterms:W3CDTF">2026-01-29T13:30:48Z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0x010100849BB54355EBC0479588B58EF1646E9D</vt:lpwstr>
  </property>
  <property fmtid="{D5CDD505-2E9C-101B-9397-08002B2CF9AE}" pid="3" name="MSIP_Label_4d7dcfcf-2f13-416d-bd85-85e5cda1e908_Enabled">
    <vt:lpwstr>true</vt:lpwstr>
  </property>
  <property fmtid="{D5CDD505-2E9C-101B-9397-08002B2CF9AE}" pid="4" name="MSIP_Label_4d7dcfcf-2f13-416d-bd85-85e5cda1e908_SetDate">
    <vt:lpwstr>2023-01-31T01:19:19Z</vt:lpwstr>
  </property>
  <property fmtid="{D5CDD505-2E9C-101B-9397-08002B2CF9AE}" pid="5" name="MSIP_Label_4d7dcfcf-2f13-416d-bd85-85e5cda1e908_Method">
    <vt:lpwstr>Privileged</vt:lpwstr>
  </property>
  <property fmtid="{D5CDD505-2E9C-101B-9397-08002B2CF9AE}" pid="6" name="MSIP_Label_4d7dcfcf-2f13-416d-bd85-85e5cda1e908_Name">
    <vt:lpwstr>Pública</vt:lpwstr>
  </property>
  <property fmtid="{D5CDD505-2E9C-101B-9397-08002B2CF9AE}" pid="7" name="MSIP_Label_4d7dcfcf-2f13-416d-bd85-85e5cda1e908_SiteId">
    <vt:lpwstr>73e84937-70de-4ceb-8f14-b8f9ab356f6e</vt:lpwstr>
  </property>
  <property fmtid="{D5CDD505-2E9C-101B-9397-08002B2CF9AE}" pid="8" name="MSIP_Label_4d7dcfcf-2f13-416d-bd85-85e5cda1e908_ActionId">
    <vt:lpwstr>c0ec5559-fd95-4dfc-98a7-4f38b6a791dd</vt:lpwstr>
  </property>
  <property fmtid="{D5CDD505-2E9C-101B-9397-08002B2CF9AE}" pid="9" name="MSIP_Label_4d7dcfcf-2f13-416d-bd85-85e5cda1e908_ContentBits">
    <vt:lpwstr>2</vt:lpwstr>
  </property>
  <property fmtid="{D5CDD505-2E9C-101B-9397-08002B2CF9AE}" pid="10" name="MediaServiceImageTags">
    <vt:lpwstr/>
  </property>
</Properties>
</file>