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CONTRATO3AOSBPO/Documentos compartidos/General/ANEXOS DEFINITIVOS INVITACIÓN ABIERTA 3 AÑOS/"/>
    </mc:Choice>
  </mc:AlternateContent>
  <xr:revisionPtr revIDLastSave="435" documentId="13_ncr:1_{1C029038-CD03-413C-92F1-1187E3302A8A}" xr6:coauthVersionLast="47" xr6:coauthVersionMax="47" xr10:uidLastSave="{02FE242E-138D-4E0E-A27F-C456A0CCB75A}"/>
  <bookViews>
    <workbookView xWindow="-110" yWindow="-110" windowWidth="19420" windowHeight="10420" tabRatio="767" firstSheet="8" activeTab="11" xr2:uid="{00000000-000D-0000-FFFF-FFFF00000000}"/>
  </bookViews>
  <sheets>
    <sheet name="Corr_Recibida" sheetId="1" r:id="rId1"/>
    <sheet name="Corr_Enviada" sheetId="3" r:id="rId2"/>
    <sheet name="Administración Archivo" sheetId="5" r:id="rId3"/>
    <sheet name="Consultas-Prestamos" sheetId="6" r:id="rId4"/>
    <sheet name="Transferencias" sheetId="8" r:id="rId5"/>
    <sheet name="Custodia_Bodegaje" sheetId="7" r:id="rId6"/>
    <sheet name="Archivo_Gestion" sheetId="9" r:id="rId7"/>
    <sheet name="Indem.AUT_GEN_PAT_VIDA" sheetId="10" r:id="rId8"/>
    <sheet name="Indem. SOAT_AP" sheetId="11" r:id="rId9"/>
    <sheet name="Facturación electrónica Soat AP" sheetId="17" r:id="rId10"/>
    <sheet name="Cant.x.amparo_Indem SOAT" sheetId="12" r:id="rId11"/>
    <sheet name="Cant.x.amparo_Indem AP" sheetId="13" r:id="rId12"/>
    <sheet name="Fondo Documental Acumulado" sheetId="14" r:id="rId13"/>
    <sheet name="Archivo medios Magneticos" sheetId="15" r:id="rId14"/>
    <sheet name="Fact Elec ad au gn nt " sheetId="16" r:id="rId15"/>
  </sheets>
  <definedNames>
    <definedName name="_xlnm._FilterDatabase" localSheetId="1" hidden="1">Corr_Enviada!$A$2:$M$27</definedName>
    <definedName name="_xlnm._FilterDatabase" localSheetId="0" hidden="1">Corr_Recibida!$Q$2:$AC$27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3" l="1"/>
  <c r="C24" i="13"/>
  <c r="D24" i="13"/>
  <c r="E24" i="13"/>
  <c r="E23" i="13"/>
  <c r="F23" i="13"/>
  <c r="D12" i="13"/>
  <c r="D11" i="13"/>
  <c r="D3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C64" i="7"/>
  <c r="D64" i="7"/>
  <c r="D65" i="7"/>
  <c r="N49" i="7"/>
  <c r="N50" i="7"/>
  <c r="N51" i="7"/>
  <c r="N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N39" i="7"/>
  <c r="N40" i="7"/>
  <c r="N41" i="7"/>
  <c r="N42" i="7"/>
  <c r="N43" i="7"/>
  <c r="J30" i="7"/>
  <c r="J31" i="7"/>
  <c r="J32" i="7"/>
  <c r="J33" i="7"/>
  <c r="B34" i="7"/>
  <c r="C34" i="7"/>
  <c r="D34" i="7"/>
  <c r="E34" i="7"/>
  <c r="F34" i="7"/>
  <c r="G34" i="7"/>
  <c r="H34" i="7"/>
  <c r="I34" i="7"/>
  <c r="J34" i="7"/>
  <c r="M21" i="7"/>
  <c r="M22" i="7"/>
  <c r="M23" i="7"/>
  <c r="M24" i="7"/>
  <c r="B25" i="7"/>
  <c r="C25" i="7"/>
  <c r="D25" i="7"/>
  <c r="E25" i="7"/>
  <c r="F25" i="7"/>
  <c r="G25" i="7"/>
  <c r="H25" i="7"/>
  <c r="I25" i="7"/>
  <c r="J25" i="7"/>
  <c r="K25" i="7"/>
  <c r="L25" i="7"/>
  <c r="M25" i="7"/>
  <c r="L4" i="7"/>
  <c r="M4" i="7"/>
  <c r="M8" i="7" s="1"/>
  <c r="N4" i="7"/>
  <c r="N8" i="7" s="1"/>
  <c r="O4" i="7"/>
  <c r="L5" i="7"/>
  <c r="M5" i="7"/>
  <c r="N5" i="7"/>
  <c r="O5" i="7"/>
  <c r="P5" i="7" s="1"/>
  <c r="L6" i="7"/>
  <c r="M6" i="7"/>
  <c r="N6" i="7"/>
  <c r="O6" i="7" s="1"/>
  <c r="P6" i="7" s="1"/>
  <c r="L7" i="7"/>
  <c r="M7" i="7"/>
  <c r="N7" i="7"/>
  <c r="O7" i="7"/>
  <c r="P7" i="7" s="1"/>
  <c r="B8" i="7"/>
  <c r="C8" i="7"/>
  <c r="D8" i="7"/>
  <c r="E8" i="7"/>
  <c r="F8" i="7"/>
  <c r="G8" i="7"/>
  <c r="H8" i="7"/>
  <c r="I8" i="7"/>
  <c r="J8" i="7"/>
  <c r="K8" i="7"/>
  <c r="L8" i="7"/>
  <c r="AC44" i="5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B28" i="6"/>
  <c r="Z28" i="6"/>
  <c r="U32" i="3"/>
  <c r="M27" i="1"/>
  <c r="D32" i="3"/>
  <c r="T32" i="3"/>
  <c r="S32" i="3"/>
  <c r="C32" i="3"/>
  <c r="AC74" i="10"/>
  <c r="AD74" i="10"/>
  <c r="AC75" i="10"/>
  <c r="AD75" i="10"/>
  <c r="AC76" i="10"/>
  <c r="AD76" i="10"/>
  <c r="AC77" i="10"/>
  <c r="AD77" i="10"/>
  <c r="AC78" i="10"/>
  <c r="AD78" i="10"/>
  <c r="AC79" i="10"/>
  <c r="AD79" i="10"/>
  <c r="AC80" i="10"/>
  <c r="AD80" i="10"/>
  <c r="AC81" i="10"/>
  <c r="AD81" i="10"/>
  <c r="AC82" i="10"/>
  <c r="AD82" i="10"/>
  <c r="AC83" i="10"/>
  <c r="AD83" i="10"/>
  <c r="AC84" i="10"/>
  <c r="AD84" i="10"/>
  <c r="AC85" i="10"/>
  <c r="AD85" i="10"/>
  <c r="AC86" i="10"/>
  <c r="AD86" i="10"/>
  <c r="AC87" i="10"/>
  <c r="AD87" i="10"/>
  <c r="AC88" i="10"/>
  <c r="AD88" i="10"/>
  <c r="AC89" i="10"/>
  <c r="AD89" i="10"/>
  <c r="AC90" i="10"/>
  <c r="AD90" i="10"/>
  <c r="AC91" i="10"/>
  <c r="AD91" i="10"/>
  <c r="AC92" i="10"/>
  <c r="AD92" i="10"/>
  <c r="AC93" i="10"/>
  <c r="AD93" i="10"/>
  <c r="AC94" i="10"/>
  <c r="AD94" i="10"/>
  <c r="AC95" i="10"/>
  <c r="AD95" i="10"/>
  <c r="AC96" i="10"/>
  <c r="AD96" i="10"/>
  <c r="AC97" i="10"/>
  <c r="AD97" i="10"/>
  <c r="AD73" i="10"/>
  <c r="AC73" i="10"/>
  <c r="Z98" i="10"/>
  <c r="AA98" i="10"/>
  <c r="AB98" i="10"/>
  <c r="AC44" i="10"/>
  <c r="AD44" i="10"/>
  <c r="AC45" i="10"/>
  <c r="AD45" i="10"/>
  <c r="AC46" i="10"/>
  <c r="AD46" i="10"/>
  <c r="AC47" i="10"/>
  <c r="AD47" i="10"/>
  <c r="AC48" i="10"/>
  <c r="AD48" i="10"/>
  <c r="AC49" i="10"/>
  <c r="AD49" i="10"/>
  <c r="AC50" i="10"/>
  <c r="AD50" i="10"/>
  <c r="AC51" i="10"/>
  <c r="AD51" i="10"/>
  <c r="AC52" i="10"/>
  <c r="AD52" i="10"/>
  <c r="AC53" i="10"/>
  <c r="AD53" i="10"/>
  <c r="AC54" i="10"/>
  <c r="AD54" i="10"/>
  <c r="AC55" i="10"/>
  <c r="AD55" i="10"/>
  <c r="AC56" i="10"/>
  <c r="AD56" i="10"/>
  <c r="AC57" i="10"/>
  <c r="AD57" i="10"/>
  <c r="AC58" i="10"/>
  <c r="AD58" i="10"/>
  <c r="AC59" i="10"/>
  <c r="AD59" i="10"/>
  <c r="AC60" i="10"/>
  <c r="AD60" i="10"/>
  <c r="AC61" i="10"/>
  <c r="AD61" i="10"/>
  <c r="AC62" i="10"/>
  <c r="AD62" i="10"/>
  <c r="AC63" i="10"/>
  <c r="AD63" i="10"/>
  <c r="AC64" i="10"/>
  <c r="AD64" i="10"/>
  <c r="AC65" i="10"/>
  <c r="AD65" i="10"/>
  <c r="AC66" i="10"/>
  <c r="AD66" i="10"/>
  <c r="AC67" i="10"/>
  <c r="AD67" i="10"/>
  <c r="AD43" i="10"/>
  <c r="AC43" i="10"/>
  <c r="AC14" i="10"/>
  <c r="AD14" i="10"/>
  <c r="AC15" i="10"/>
  <c r="AD15" i="10"/>
  <c r="AC16" i="10"/>
  <c r="AD16" i="10"/>
  <c r="AC17" i="10"/>
  <c r="AD17" i="10"/>
  <c r="AC18" i="10"/>
  <c r="AD18" i="10"/>
  <c r="AC19" i="10"/>
  <c r="AD19" i="10"/>
  <c r="AC20" i="10"/>
  <c r="AD20" i="10"/>
  <c r="AC21" i="10"/>
  <c r="AD21" i="10"/>
  <c r="AC22" i="10"/>
  <c r="AD22" i="10"/>
  <c r="AC23" i="10"/>
  <c r="AD23" i="10"/>
  <c r="AC24" i="10"/>
  <c r="AD24" i="10"/>
  <c r="AC25" i="10"/>
  <c r="AD25" i="10"/>
  <c r="AC26" i="10"/>
  <c r="AD26" i="10"/>
  <c r="AC27" i="10"/>
  <c r="AD27" i="10"/>
  <c r="AC28" i="10"/>
  <c r="AD28" i="10"/>
  <c r="AC29" i="10"/>
  <c r="AD29" i="10"/>
  <c r="AC30" i="10"/>
  <c r="AD30" i="10"/>
  <c r="AC31" i="10"/>
  <c r="AD31" i="10"/>
  <c r="AC32" i="10"/>
  <c r="AD32" i="10"/>
  <c r="AC33" i="10"/>
  <c r="AD33" i="10"/>
  <c r="AC34" i="10"/>
  <c r="AD34" i="10"/>
  <c r="AC35" i="10"/>
  <c r="AD35" i="10"/>
  <c r="AC36" i="10"/>
  <c r="AD36" i="10"/>
  <c r="AC37" i="10"/>
  <c r="AD37" i="10"/>
  <c r="AD13" i="10"/>
  <c r="AC13" i="10"/>
  <c r="Z38" i="10"/>
  <c r="AA38" i="10"/>
  <c r="AB38" i="10"/>
  <c r="T8" i="10"/>
  <c r="U8" i="10"/>
  <c r="V8" i="10"/>
  <c r="W8" i="10"/>
  <c r="X8" i="10"/>
  <c r="Y8" i="10"/>
  <c r="Z8" i="10"/>
  <c r="AA8" i="10"/>
  <c r="AB8" i="10"/>
  <c r="AC7" i="10"/>
  <c r="AC6" i="10"/>
  <c r="AC5" i="10"/>
  <c r="O8" i="7" l="1"/>
  <c r="P4" i="7"/>
  <c r="P8" i="7" s="1"/>
  <c r="Z38" i="6"/>
  <c r="P62" i="6"/>
  <c r="Q62" i="6"/>
  <c r="R62" i="6"/>
  <c r="S62" i="6"/>
  <c r="T62" i="6"/>
  <c r="U62" i="6"/>
  <c r="AC43" i="5"/>
  <c r="AC42" i="5"/>
  <c r="AC27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3" i="3"/>
  <c r="AB4" i="1"/>
  <c r="AC4" i="1" s="1"/>
  <c r="AB5" i="1"/>
  <c r="AC5" i="1" s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3" i="1"/>
  <c r="AC3" i="1" s="1"/>
  <c r="Y27" i="3"/>
  <c r="Z27" i="3"/>
  <c r="AA3" i="3"/>
  <c r="AA4" i="3"/>
  <c r="AA6" i="3"/>
  <c r="AA7" i="3"/>
  <c r="AA27" i="3" s="1"/>
  <c r="AA8" i="3"/>
  <c r="AA9" i="3"/>
  <c r="AA10" i="3"/>
  <c r="AA11" i="3"/>
  <c r="AA15" i="3"/>
  <c r="AA16" i="3"/>
  <c r="AA17" i="3"/>
  <c r="AA18" i="3"/>
  <c r="AA19" i="3"/>
  <c r="AA20" i="3"/>
  <c r="AA23" i="3"/>
  <c r="AA25" i="3"/>
  <c r="AA26" i="3"/>
  <c r="Y20" i="1"/>
  <c r="Y28" i="1"/>
  <c r="Z28" i="1" l="1"/>
  <c r="AA28" i="1"/>
  <c r="T39" i="5" l="1"/>
  <c r="U39" i="5" l="1"/>
  <c r="W39" i="5" l="1"/>
  <c r="V39" i="5"/>
  <c r="AB39" i="5"/>
  <c r="AA39" i="5"/>
  <c r="Y39" i="5"/>
  <c r="Z39" i="5"/>
  <c r="X39" i="5" l="1"/>
  <c r="K56" i="8" l="1"/>
  <c r="J56" i="8"/>
  <c r="I56" i="8"/>
  <c r="H56" i="8"/>
  <c r="G56" i="8"/>
  <c r="F56" i="8"/>
  <c r="E56" i="8"/>
  <c r="D56" i="8"/>
  <c r="C56" i="8"/>
  <c r="B56" i="8"/>
  <c r="M55" i="8"/>
  <c r="L55" i="8"/>
  <c r="M54" i="8"/>
  <c r="L54" i="8"/>
  <c r="M53" i="8"/>
  <c r="L53" i="8"/>
  <c r="L52" i="8"/>
  <c r="M51" i="8"/>
  <c r="L51" i="8"/>
  <c r="M50" i="8"/>
  <c r="L50" i="8"/>
  <c r="M49" i="8"/>
  <c r="L49" i="8"/>
  <c r="L48" i="8"/>
  <c r="M47" i="8"/>
  <c r="L47" i="8"/>
  <c r="M46" i="8"/>
  <c r="L46" i="8"/>
  <c r="M45" i="8"/>
  <c r="L45" i="8"/>
  <c r="M44" i="8"/>
  <c r="L44" i="8"/>
  <c r="L43" i="8"/>
  <c r="M42" i="8"/>
  <c r="L42" i="8"/>
  <c r="M41" i="8"/>
  <c r="L41" i="8"/>
  <c r="M40" i="8"/>
  <c r="L40" i="8"/>
  <c r="L39" i="8"/>
  <c r="M38" i="8"/>
  <c r="L38" i="8"/>
  <c r="M37" i="8"/>
  <c r="L37" i="8"/>
  <c r="M36" i="8"/>
  <c r="L36" i="8"/>
  <c r="M35" i="8"/>
  <c r="L35" i="8"/>
  <c r="L34" i="8"/>
  <c r="L33" i="8"/>
  <c r="M32" i="8"/>
  <c r="L32" i="8"/>
  <c r="M56" i="8" l="1"/>
  <c r="L56" i="8"/>
  <c r="Y62" i="6" l="1"/>
  <c r="X62" i="6"/>
  <c r="W62" i="6"/>
  <c r="V62" i="6"/>
  <c r="O62" i="6"/>
  <c r="N62" i="6"/>
  <c r="B67" i="6" s="1"/>
  <c r="M62" i="6"/>
  <c r="L62" i="6"/>
  <c r="K62" i="6"/>
  <c r="J62" i="6"/>
  <c r="I62" i="6"/>
  <c r="H62" i="6"/>
  <c r="G62" i="6"/>
  <c r="F62" i="6"/>
  <c r="E62" i="6"/>
  <c r="D62" i="6"/>
  <c r="C62" i="6"/>
  <c r="B62" i="6"/>
  <c r="AA61" i="6"/>
  <c r="Z61" i="6"/>
  <c r="AA60" i="6"/>
  <c r="Z60" i="6"/>
  <c r="AA59" i="6"/>
  <c r="Z59" i="6"/>
  <c r="AA58" i="6"/>
  <c r="Z58" i="6"/>
  <c r="AA57" i="6"/>
  <c r="Z57" i="6"/>
  <c r="AA56" i="6"/>
  <c r="Z56" i="6"/>
  <c r="AA55" i="6"/>
  <c r="Z55" i="6"/>
  <c r="AA54" i="6"/>
  <c r="Z54" i="6"/>
  <c r="AA53" i="6"/>
  <c r="Z53" i="6"/>
  <c r="AA52" i="6"/>
  <c r="Z52" i="6"/>
  <c r="AA51" i="6"/>
  <c r="Z51" i="6"/>
  <c r="AA50" i="6"/>
  <c r="Z50" i="6"/>
  <c r="AA49" i="6"/>
  <c r="Z49" i="6"/>
  <c r="AA48" i="6"/>
  <c r="Z48" i="6"/>
  <c r="AA47" i="6"/>
  <c r="Z47" i="6"/>
  <c r="AA46" i="6"/>
  <c r="Z46" i="6"/>
  <c r="AA45" i="6"/>
  <c r="Z45" i="6"/>
  <c r="AA44" i="6"/>
  <c r="Z44" i="6"/>
  <c r="AA43" i="6"/>
  <c r="Z43" i="6"/>
  <c r="AA42" i="6"/>
  <c r="Z42" i="6"/>
  <c r="AA41" i="6"/>
  <c r="Z41" i="6"/>
  <c r="AA40" i="6"/>
  <c r="Z40" i="6"/>
  <c r="AA39" i="6"/>
  <c r="Z39" i="6"/>
  <c r="AA38" i="6"/>
  <c r="AE38" i="5"/>
  <c r="AF38" i="5"/>
  <c r="E67" i="6" l="1"/>
  <c r="Z62" i="6"/>
  <c r="AA62" i="6"/>
  <c r="AD39" i="5"/>
  <c r="AC39" i="5"/>
  <c r="S39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AF9" i="5"/>
  <c r="AE9" i="5"/>
  <c r="AF8" i="5"/>
  <c r="AE8" i="5"/>
  <c r="AF7" i="5"/>
  <c r="AE7" i="5"/>
  <c r="AF6" i="5"/>
  <c r="AE6" i="5"/>
  <c r="AF5" i="5"/>
  <c r="AE5" i="5"/>
  <c r="AF4" i="5"/>
  <c r="AE4" i="5"/>
  <c r="AF3" i="5"/>
  <c r="AE3" i="5"/>
  <c r="V6" i="1"/>
  <c r="AB6" i="1" s="1"/>
  <c r="AC6" i="1" s="1"/>
  <c r="AB27" i="3" l="1"/>
  <c r="AF39" i="5"/>
  <c r="AE39" i="5"/>
  <c r="AB28" i="1" l="1"/>
  <c r="AC28" i="1"/>
  <c r="X27" i="3" l="1"/>
  <c r="W27" i="3"/>
  <c r="V27" i="3"/>
  <c r="U27" i="3"/>
  <c r="T27" i="3"/>
  <c r="S27" i="3"/>
  <c r="R27" i="3"/>
  <c r="X28" i="1" l="1"/>
  <c r="W28" i="1"/>
  <c r="V28" i="1"/>
  <c r="U28" i="1"/>
  <c r="T28" i="1"/>
  <c r="S28" i="1"/>
  <c r="R28" i="1"/>
  <c r="S33" i="1" l="1"/>
  <c r="R33" i="1"/>
  <c r="L35" i="11"/>
  <c r="G35" i="11"/>
  <c r="L34" i="11"/>
  <c r="G34" i="11"/>
  <c r="L33" i="11"/>
  <c r="G33" i="11"/>
  <c r="L32" i="11"/>
  <c r="G32" i="11"/>
  <c r="L31" i="11"/>
  <c r="G31" i="11"/>
  <c r="L30" i="11"/>
  <c r="G30" i="11"/>
  <c r="Y98" i="10"/>
  <c r="X98" i="10"/>
  <c r="W98" i="10"/>
  <c r="V98" i="10"/>
  <c r="U98" i="10"/>
  <c r="T98" i="10"/>
  <c r="S98" i="10"/>
  <c r="Y68" i="10"/>
  <c r="X68" i="10"/>
  <c r="W68" i="10"/>
  <c r="V68" i="10"/>
  <c r="U68" i="10"/>
  <c r="T68" i="10"/>
  <c r="S68" i="10"/>
  <c r="Y38" i="10"/>
  <c r="X38" i="10"/>
  <c r="W38" i="10"/>
  <c r="V38" i="10"/>
  <c r="U38" i="10"/>
  <c r="T38" i="10"/>
  <c r="S38" i="10"/>
  <c r="S8" i="10"/>
  <c r="G6" i="16"/>
  <c r="G7" i="16"/>
  <c r="G8" i="16"/>
  <c r="G9" i="16"/>
  <c r="G10" i="16"/>
  <c r="G11" i="16"/>
  <c r="G12" i="16"/>
  <c r="G13" i="16"/>
  <c r="F19" i="16" l="1"/>
  <c r="F17" i="16"/>
  <c r="F18" i="16"/>
  <c r="M32" i="11"/>
  <c r="O32" i="11" s="1"/>
  <c r="M31" i="11"/>
  <c r="O31" i="11" s="1"/>
  <c r="AD68" i="10"/>
  <c r="M30" i="11"/>
  <c r="N30" i="11" s="1"/>
  <c r="M35" i="11"/>
  <c r="N35" i="11" s="1"/>
  <c r="M34" i="11"/>
  <c r="N34" i="11" s="1"/>
  <c r="M33" i="11"/>
  <c r="O33" i="11" s="1"/>
  <c r="AC8" i="10"/>
  <c r="AC98" i="10"/>
  <c r="AC38" i="10"/>
  <c r="AD98" i="10"/>
  <c r="AD38" i="10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6" i="11"/>
  <c r="L7" i="11"/>
  <c r="M7" i="11" s="1"/>
  <c r="N7" i="11" s="1"/>
  <c r="L8" i="11"/>
  <c r="M8" i="11" s="1"/>
  <c r="O8" i="11" s="1"/>
  <c r="L9" i="11"/>
  <c r="L10" i="11"/>
  <c r="L11" i="11"/>
  <c r="L12" i="11"/>
  <c r="L13" i="11"/>
  <c r="M13" i="11" s="1"/>
  <c r="O13" i="11" s="1"/>
  <c r="L14" i="11"/>
  <c r="M14" i="11" s="1"/>
  <c r="O14" i="11" s="1"/>
  <c r="L15" i="11"/>
  <c r="L16" i="11"/>
  <c r="L17" i="11"/>
  <c r="L18" i="11"/>
  <c r="L19" i="11"/>
  <c r="M19" i="11" s="1"/>
  <c r="O19" i="11" s="1"/>
  <c r="L20" i="11"/>
  <c r="L21" i="11"/>
  <c r="L22" i="11"/>
  <c r="L23" i="11"/>
  <c r="L24" i="11"/>
  <c r="L25" i="11"/>
  <c r="M25" i="11" s="1"/>
  <c r="N25" i="11" s="1"/>
  <c r="L26" i="11"/>
  <c r="M26" i="11" s="1"/>
  <c r="O26" i="11" s="1"/>
  <c r="L27" i="11"/>
  <c r="M27" i="11" s="1"/>
  <c r="O27" i="11" s="1"/>
  <c r="L28" i="11"/>
  <c r="L29" i="11"/>
  <c r="L6" i="11"/>
  <c r="N32" i="11" l="1"/>
  <c r="O35" i="11"/>
  <c r="M29" i="11"/>
  <c r="O29" i="11" s="1"/>
  <c r="M21" i="11"/>
  <c r="O21" i="11" s="1"/>
  <c r="N31" i="11"/>
  <c r="M15" i="11"/>
  <c r="O15" i="11" s="1"/>
  <c r="M9" i="11"/>
  <c r="O9" i="11" s="1"/>
  <c r="M17" i="11"/>
  <c r="O17" i="11" s="1"/>
  <c r="M24" i="11"/>
  <c r="N24" i="11" s="1"/>
  <c r="M18" i="11"/>
  <c r="O18" i="11" s="1"/>
  <c r="M12" i="11"/>
  <c r="N12" i="11" s="1"/>
  <c r="O34" i="11"/>
  <c r="N33" i="11"/>
  <c r="O30" i="11"/>
  <c r="M23" i="11"/>
  <c r="O23" i="11" s="1"/>
  <c r="M11" i="11"/>
  <c r="O11" i="11" s="1"/>
  <c r="M20" i="11"/>
  <c r="O20" i="11" s="1"/>
  <c r="M28" i="11"/>
  <c r="O28" i="11" s="1"/>
  <c r="M22" i="11"/>
  <c r="O22" i="11" s="1"/>
  <c r="M16" i="11"/>
  <c r="O16" i="11" s="1"/>
  <c r="M10" i="11"/>
  <c r="O10" i="11" s="1"/>
  <c r="N19" i="11"/>
  <c r="O25" i="11"/>
  <c r="O7" i="11"/>
  <c r="N27" i="11"/>
  <c r="N13" i="11"/>
  <c r="N26" i="11"/>
  <c r="N14" i="11"/>
  <c r="N8" i="11"/>
  <c r="N21" i="11" l="1"/>
  <c r="N23" i="11"/>
  <c r="N29" i="11"/>
  <c r="N15" i="11"/>
  <c r="N9" i="11"/>
  <c r="N11" i="11"/>
  <c r="N17" i="11"/>
  <c r="N20" i="11"/>
  <c r="O12" i="11"/>
  <c r="O24" i="11"/>
  <c r="N28" i="11"/>
  <c r="N18" i="11"/>
  <c r="N16" i="11"/>
  <c r="N22" i="11"/>
  <c r="N10" i="11"/>
  <c r="B32" i="9" l="1"/>
  <c r="D8" i="12"/>
  <c r="C8" i="12"/>
  <c r="B8" i="12"/>
  <c r="E7" i="12"/>
  <c r="E6" i="12"/>
  <c r="E5" i="12"/>
  <c r="E4" i="12"/>
  <c r="M6" i="11"/>
  <c r="O6" i="11" l="1"/>
  <c r="F8" i="13"/>
  <c r="F14" i="13"/>
  <c r="F20" i="13"/>
  <c r="F9" i="13"/>
  <c r="F21" i="13"/>
  <c r="F17" i="13"/>
  <c r="F12" i="13"/>
  <c r="F19" i="13"/>
  <c r="F13" i="13"/>
  <c r="F7" i="13"/>
  <c r="F22" i="13"/>
  <c r="F16" i="13"/>
  <c r="F10" i="13"/>
  <c r="F4" i="13"/>
  <c r="F15" i="13"/>
  <c r="F5" i="13"/>
  <c r="F11" i="13"/>
  <c r="F6" i="13"/>
  <c r="F18" i="13"/>
  <c r="E8" i="12"/>
  <c r="F5" i="12" s="1"/>
  <c r="F3" i="13"/>
  <c r="N6" i="11"/>
  <c r="F6" i="12" l="1"/>
  <c r="F24" i="13"/>
  <c r="F7" i="12"/>
  <c r="F4" i="12"/>
  <c r="F8" i="12" s="1"/>
  <c r="N5" i="10" l="1"/>
  <c r="N6" i="10"/>
  <c r="N7" i="10"/>
  <c r="N8" i="10"/>
  <c r="N74" i="10"/>
  <c r="O74" i="10"/>
  <c r="N75" i="10"/>
  <c r="O75" i="10"/>
  <c r="N76" i="10"/>
  <c r="O76" i="10"/>
  <c r="N77" i="10"/>
  <c r="O77" i="10"/>
  <c r="N78" i="10"/>
  <c r="O78" i="10"/>
  <c r="N79" i="10"/>
  <c r="O79" i="10"/>
  <c r="N80" i="10"/>
  <c r="O80" i="10"/>
  <c r="N81" i="10"/>
  <c r="O81" i="10"/>
  <c r="N82" i="10"/>
  <c r="O82" i="10"/>
  <c r="N83" i="10"/>
  <c r="O83" i="10"/>
  <c r="N84" i="10"/>
  <c r="O84" i="10"/>
  <c r="N85" i="10"/>
  <c r="O85" i="10"/>
  <c r="N86" i="10"/>
  <c r="O86" i="10"/>
  <c r="N87" i="10"/>
  <c r="O87" i="10"/>
  <c r="N88" i="10"/>
  <c r="O88" i="10"/>
  <c r="N89" i="10"/>
  <c r="O89" i="10"/>
  <c r="N90" i="10"/>
  <c r="O90" i="10"/>
  <c r="N91" i="10"/>
  <c r="O91" i="10"/>
  <c r="N92" i="10"/>
  <c r="O92" i="10"/>
  <c r="N93" i="10"/>
  <c r="O93" i="10"/>
  <c r="N94" i="10"/>
  <c r="O94" i="10"/>
  <c r="N95" i="10"/>
  <c r="O95" i="10"/>
  <c r="N96" i="10"/>
  <c r="O96" i="10"/>
  <c r="N97" i="10"/>
  <c r="O97" i="10"/>
  <c r="O73" i="10"/>
  <c r="N73" i="10"/>
  <c r="N44" i="10"/>
  <c r="O44" i="10"/>
  <c r="N45" i="10"/>
  <c r="O45" i="10"/>
  <c r="N46" i="10"/>
  <c r="O46" i="10"/>
  <c r="N47" i="10"/>
  <c r="O47" i="10"/>
  <c r="N48" i="10"/>
  <c r="O48" i="10"/>
  <c r="N49" i="10"/>
  <c r="O49" i="10"/>
  <c r="N50" i="10"/>
  <c r="O50" i="10"/>
  <c r="N51" i="10"/>
  <c r="O51" i="10"/>
  <c r="N52" i="10"/>
  <c r="O52" i="10"/>
  <c r="N53" i="10"/>
  <c r="O53" i="10"/>
  <c r="N54" i="10"/>
  <c r="O54" i="10"/>
  <c r="N55" i="10"/>
  <c r="O55" i="10"/>
  <c r="N56" i="10"/>
  <c r="O56" i="10"/>
  <c r="N57" i="10"/>
  <c r="O57" i="10"/>
  <c r="N58" i="10"/>
  <c r="O58" i="10"/>
  <c r="N59" i="10"/>
  <c r="O59" i="10"/>
  <c r="N60" i="10"/>
  <c r="O60" i="10"/>
  <c r="N61" i="10"/>
  <c r="O61" i="10"/>
  <c r="N62" i="10"/>
  <c r="O62" i="10"/>
  <c r="N63" i="10"/>
  <c r="O63" i="10"/>
  <c r="N64" i="10"/>
  <c r="O64" i="10"/>
  <c r="N65" i="10"/>
  <c r="O65" i="10"/>
  <c r="N66" i="10"/>
  <c r="O66" i="10"/>
  <c r="N67" i="10"/>
  <c r="O67" i="10"/>
  <c r="O43" i="10"/>
  <c r="N4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N23" i="10"/>
  <c r="O23" i="10"/>
  <c r="N24" i="10"/>
  <c r="O24" i="10"/>
  <c r="N25" i="10"/>
  <c r="O25" i="10"/>
  <c r="N26" i="10"/>
  <c r="O26" i="10"/>
  <c r="N27" i="10"/>
  <c r="O27" i="10"/>
  <c r="N28" i="10"/>
  <c r="O28" i="10"/>
  <c r="N29" i="10"/>
  <c r="O29" i="10"/>
  <c r="N30" i="10"/>
  <c r="O30" i="10"/>
  <c r="N31" i="10"/>
  <c r="O31" i="10"/>
  <c r="N32" i="10"/>
  <c r="O32" i="10"/>
  <c r="N33" i="10"/>
  <c r="O33" i="10"/>
  <c r="N34" i="10"/>
  <c r="O34" i="10"/>
  <c r="N35" i="10"/>
  <c r="O35" i="10"/>
  <c r="N36" i="10"/>
  <c r="O36" i="10"/>
  <c r="N37" i="10"/>
  <c r="O37" i="10"/>
  <c r="O13" i="10"/>
  <c r="N13" i="10"/>
  <c r="D32" i="9"/>
  <c r="C32" i="9"/>
  <c r="Z27" i="6"/>
  <c r="AA27" i="6"/>
  <c r="N98" i="10" l="1"/>
  <c r="N68" i="10"/>
  <c r="O68" i="10"/>
  <c r="N38" i="10"/>
  <c r="O38" i="10"/>
  <c r="O98" i="10"/>
  <c r="AA4" i="6" l="1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9" i="5" l="1"/>
  <c r="O39" i="5"/>
  <c r="M3" i="8"/>
  <c r="M27" i="8" s="1"/>
  <c r="M6" i="8"/>
  <c r="M7" i="8"/>
  <c r="M8" i="8"/>
  <c r="M9" i="8"/>
  <c r="M11" i="8"/>
  <c r="M12" i="8"/>
  <c r="M13" i="8"/>
  <c r="M15" i="8"/>
  <c r="M16" i="8"/>
  <c r="M17" i="8"/>
  <c r="M18" i="8"/>
  <c r="M20" i="8"/>
  <c r="M21" i="8"/>
  <c r="M22" i="8"/>
  <c r="M24" i="8"/>
  <c r="M25" i="8"/>
  <c r="M26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C27" i="8"/>
  <c r="D27" i="8"/>
  <c r="E27" i="8"/>
  <c r="F27" i="8"/>
  <c r="G27" i="8"/>
  <c r="H27" i="8"/>
  <c r="I27" i="8"/>
  <c r="J27" i="8"/>
  <c r="K27" i="8"/>
  <c r="B27" i="8"/>
  <c r="L27" i="8" l="1"/>
  <c r="AA28" i="6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M39" i="5" l="1"/>
  <c r="B39" i="5"/>
  <c r="C39" i="5"/>
  <c r="D39" i="5"/>
  <c r="E39" i="5"/>
  <c r="F39" i="5"/>
  <c r="G39" i="5"/>
  <c r="H39" i="5"/>
  <c r="I39" i="5"/>
  <c r="J39" i="5"/>
  <c r="K39" i="5"/>
  <c r="L39" i="5"/>
  <c r="M27" i="3" l="1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C28" i="1"/>
  <c r="D28" i="1"/>
  <c r="E28" i="1"/>
  <c r="F28" i="1"/>
  <c r="G28" i="1"/>
  <c r="H28" i="1"/>
  <c r="I28" i="1"/>
  <c r="J28" i="1"/>
  <c r="K28" i="1"/>
  <c r="L28" i="1"/>
  <c r="M28" i="1"/>
  <c r="B28" i="1"/>
  <c r="T33" i="1" l="1"/>
  <c r="O28" i="1"/>
  <c r="B33" i="1"/>
  <c r="O27" i="3"/>
  <c r="C33" i="1"/>
  <c r="N28" i="1"/>
  <c r="N27" i="3"/>
  <c r="AC68" i="10" l="1"/>
  <c r="AB68" i="10" l="1"/>
  <c r="AA68" i="10"/>
  <c r="Z68" i="10"/>
</calcChain>
</file>

<file path=xl/sharedStrings.xml><?xml version="1.0" encoding="utf-8"?>
<sst xmlns="http://schemas.openxmlformats.org/spreadsheetml/2006/main" count="1009" uniqueCount="207">
  <si>
    <t>CORR_Recibida - 2021</t>
  </si>
  <si>
    <t>CORR_Recibida - 2022</t>
  </si>
  <si>
    <t>Sucursal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</si>
  <si>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</si>
  <si>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</si>
  <si>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</si>
  <si>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</si>
  <si>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</si>
  <si>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</si>
  <si>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</si>
  <si>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</si>
  <si>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</si>
  <si>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</si>
  <si>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</si>
  <si>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</si>
  <si>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Sucursal</t>
  </si>
  <si>
    <t>Promedio Sucursal</t>
  </si>
  <si>
    <t>Arauca</t>
  </si>
  <si>
    <t>Armenia</t>
  </si>
  <si>
    <t>Bogota - (Casa Matriz, Estatal y C.S. Masivos)</t>
  </si>
  <si>
    <t>Bogota - CE - Corporativo</t>
  </si>
  <si>
    <t>Bucaramanga</t>
  </si>
  <si>
    <t>Buenaventura</t>
  </si>
  <si>
    <t>Cali</t>
  </si>
  <si>
    <t>Cartagena</t>
  </si>
  <si>
    <t>Cúcuta</t>
  </si>
  <si>
    <t>Florencia</t>
  </si>
  <si>
    <t>Ibague</t>
  </si>
  <si>
    <t>Manizales</t>
  </si>
  <si>
    <t>Medellin</t>
  </si>
  <si>
    <t>Mocoa</t>
  </si>
  <si>
    <t>Monteria</t>
  </si>
  <si>
    <t>Neiva</t>
  </si>
  <si>
    <t>Pasto</t>
  </si>
  <si>
    <t>Pereira</t>
  </si>
  <si>
    <t>Popayán</t>
  </si>
  <si>
    <t>Quibdo</t>
  </si>
  <si>
    <t>Riohacha</t>
  </si>
  <si>
    <t>Sincelejo</t>
  </si>
  <si>
    <t>Tunja</t>
  </si>
  <si>
    <t>Villavicencio</t>
  </si>
  <si>
    <t>Yopal</t>
  </si>
  <si>
    <t>TOTAL MES</t>
  </si>
  <si>
    <t>Minimo</t>
  </si>
  <si>
    <t>Maximo</t>
  </si>
  <si>
    <t>CORR_Enviada - 2021</t>
  </si>
  <si>
    <t>CORR_Enviada - 2022</t>
  </si>
  <si>
    <t>Archivo - 2021</t>
  </si>
  <si>
    <t>Archivo - 2022</t>
  </si>
  <si>
    <t xml:space="preserve">Total Sucursal </t>
  </si>
  <si>
    <t>Bogotá - CAD Automóviles</t>
  </si>
  <si>
    <t>Bogotá - CAD Historias Laborales</t>
  </si>
  <si>
    <t>Bogotá - CAD Jurídica</t>
  </si>
  <si>
    <t>Bogotá - CEC</t>
  </si>
  <si>
    <t>Bogotá - Centro de Acopio</t>
  </si>
  <si>
    <t>Bogotá - SOAT Personas Jurídicas</t>
  </si>
  <si>
    <t>Bogotá - CSM</t>
  </si>
  <si>
    <t>Bogotá - Estatal</t>
  </si>
  <si>
    <t>Bogotá - Contabilidad AZ</t>
  </si>
  <si>
    <t>Bogotá - Contabilidad - Onbase</t>
  </si>
  <si>
    <t>Ibagué</t>
  </si>
  <si>
    <t>Medellín</t>
  </si>
  <si>
    <t>Montería</t>
  </si>
  <si>
    <t>Quibdó</t>
  </si>
  <si>
    <t>Sarlaft</t>
  </si>
  <si>
    <t>Sarlaft Digital</t>
  </si>
  <si>
    <t>Virtual Barranquilla</t>
  </si>
  <si>
    <t>Promedio</t>
  </si>
  <si>
    <t>Consultas y Prestamos  - 2021</t>
  </si>
  <si>
    <t>Consultas1</t>
  </si>
  <si>
    <t>Consultas2</t>
  </si>
  <si>
    <t>Consultas3</t>
  </si>
  <si>
    <t>Consultas4</t>
  </si>
  <si>
    <t>Consultas5</t>
  </si>
  <si>
    <t>Consultas6</t>
  </si>
  <si>
    <t>Consultas7</t>
  </si>
  <si>
    <t>Consultas8</t>
  </si>
  <si>
    <t>Consultas9</t>
  </si>
  <si>
    <t>Consultas10</t>
  </si>
  <si>
    <t>Consultas11</t>
  </si>
  <si>
    <t>Consultas12</t>
  </si>
  <si>
    <t>Total Consultas</t>
  </si>
  <si>
    <t>Total Prestamos</t>
  </si>
  <si>
    <t>Bogotá</t>
  </si>
  <si>
    <t>Consultas y Prestamos  - 2022</t>
  </si>
  <si>
    <t>Transferencias Documentales - 2021</t>
  </si>
  <si>
    <t>Barranquilla</t>
  </si>
  <si>
    <t>Bogota Casa Matriz</t>
  </si>
  <si>
    <t>Bogota Centro de Acopio</t>
  </si>
  <si>
    <t>Casa Matriz</t>
  </si>
  <si>
    <t>Centro de Acopio</t>
  </si>
  <si>
    <t>TOTAL</t>
  </si>
  <si>
    <t>Transferencias Documentales - 2022</t>
  </si>
  <si>
    <t>Custodia y Bodegaje - 2021</t>
  </si>
  <si>
    <t>Ingreso Bodega 2017</t>
  </si>
  <si>
    <t>Totales Custodia 2017 - 2021</t>
  </si>
  <si>
    <t>Ubicación Bodega</t>
  </si>
  <si>
    <t>Total 2017</t>
  </si>
  <si>
    <t>Total 2018</t>
  </si>
  <si>
    <t>Total 2019</t>
  </si>
  <si>
    <t>Total 2020</t>
  </si>
  <si>
    <t>Total 2021</t>
  </si>
  <si>
    <t>Bogota</t>
  </si>
  <si>
    <t>Total general</t>
  </si>
  <si>
    <t>Ingreso Bodega 2018</t>
  </si>
  <si>
    <t>Total</t>
  </si>
  <si>
    <t xml:space="preserve">Ingreso Bodega 2019 </t>
  </si>
  <si>
    <t>Ingreso Bodega 2020</t>
  </si>
  <si>
    <t xml:space="preserve">Ingreso Bodega 2021 </t>
  </si>
  <si>
    <t>Distribución Cajas X-200 y X-300</t>
  </si>
  <si>
    <t>Ciudad</t>
  </si>
  <si>
    <t>Bodega</t>
  </si>
  <si>
    <t>Cajas X-200</t>
  </si>
  <si>
    <t>Cajas X-300</t>
  </si>
  <si>
    <t>Inactivo</t>
  </si>
  <si>
    <r>
      <rPr>
        <b/>
        <sz val="12"/>
        <color theme="1"/>
        <rFont val="Calibri Light"/>
        <family val="2"/>
        <scheme val="major"/>
      </rPr>
      <t>Nota.</t>
    </r>
    <r>
      <rPr>
        <sz val="12"/>
        <color theme="1"/>
        <rFont val="Calibri Light"/>
        <family val="2"/>
        <scheme val="major"/>
      </rPr>
      <t xml:space="preserve"> Desde el año 2019 solo se transfieren cajas referencia X-200</t>
    </r>
  </si>
  <si>
    <t>Archivo de Gestión - 2021</t>
  </si>
  <si>
    <t>Unidad de Conservación</t>
  </si>
  <si>
    <t>Carpetas</t>
  </si>
  <si>
    <t>AZ</t>
  </si>
  <si>
    <t xml:space="preserve">Bogotá - Contabilidad </t>
  </si>
  <si>
    <t>VOLÚMENES 2021</t>
  </si>
  <si>
    <t>PROCESO / MES</t>
  </si>
  <si>
    <t>ENERO</t>
  </si>
  <si>
    <t xml:space="preserve">FEBRERO 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</si>
  <si>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</si>
  <si>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</si>
  <si>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</si>
  <si>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</si>
  <si>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</si>
  <si>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</si>
  <si>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</si>
  <si>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</si>
  <si>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</si>
  <si>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</si>
  <si>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Autos</t>
  </si>
  <si>
    <t>Generales, patrimoniales y vida</t>
  </si>
  <si>
    <t>SOAT-AP personas naturales</t>
  </si>
  <si>
    <t>Mes</t>
  </si>
  <si>
    <t>SOAT</t>
  </si>
  <si>
    <t>AP</t>
  </si>
  <si>
    <t>Total SOAT-AP</t>
  </si>
  <si>
    <t>% SOAT</t>
  </si>
  <si>
    <t>% AP</t>
  </si>
  <si>
    <t>C</t>
  </si>
  <si>
    <t>N</t>
  </si>
  <si>
    <t>R</t>
  </si>
  <si>
    <t>A</t>
  </si>
  <si>
    <t>Gestión</t>
  </si>
  <si>
    <t>recibidas</t>
  </si>
  <si>
    <t>Amparo - SOAT</t>
  </si>
  <si>
    <t>%</t>
  </si>
  <si>
    <t>Gastos Medicos, Quirurgicos, Farmaceuticos y Hospi</t>
  </si>
  <si>
    <t>Gastos de Transporte y Movilizacion de Victimas</t>
  </si>
  <si>
    <t>Incapacidad Permanente</t>
  </si>
  <si>
    <t>Muerte de la Victima</t>
  </si>
  <si>
    <t>Amparos - AP</t>
  </si>
  <si>
    <t>GASTOS MEDICOS POR ACCIDENTE</t>
  </si>
  <si>
    <t>MUERTE ACCIDENTAL - AP</t>
  </si>
  <si>
    <t>GASTOS DE TRASLADO</t>
  </si>
  <si>
    <t>AUXILIO FUNERARIO</t>
  </si>
  <si>
    <t>MUERTE NATURAL</t>
  </si>
  <si>
    <t>MUERTE POR CUALQUIER CAUSA</t>
  </si>
  <si>
    <t>GASTOS FUNERARIOS</t>
  </si>
  <si>
    <t>SUBSIDIO EDUCATIVO POR DESEMPLEO DE LOS PADRES Y E</t>
  </si>
  <si>
    <t>RENTA DIARIA POR INCAPACIDAD TEMPORAL</t>
  </si>
  <si>
    <t>INCAPACIDAD TOTAL Y PERMANENTE</t>
  </si>
  <si>
    <t>REHABILITACION INTEGRAL</t>
  </si>
  <si>
    <t>AUXILIO EDUCATIVO COLEGIOS</t>
  </si>
  <si>
    <t>ENFERMEDADES AMPARADAS</t>
  </si>
  <si>
    <t>BONO CANASTA POR FALLECIMIENTO</t>
  </si>
  <si>
    <t>ENFERMEDADES GRAVES</t>
  </si>
  <si>
    <t>DESMEMBRACION, INVALIDEZ PERMANENTE - AP</t>
  </si>
  <si>
    <t>ADICIONALES AL BASICO</t>
  </si>
  <si>
    <t>AUXILIO FUNERARIO (MUERTE ACCIDENTAL)</t>
  </si>
  <si>
    <t>AUXILIO FUNERARIO (MUERTE NATURAL)</t>
  </si>
  <si>
    <t>RIESGOS BIOLOGICOS</t>
  </si>
  <si>
    <t>Mes/año</t>
  </si>
  <si>
    <t>Cantidad Ejecutada
(m. Lineales)</t>
  </si>
  <si>
    <t>Meta total</t>
  </si>
  <si>
    <t>Tipo de medio</t>
  </si>
  <si>
    <t>Cantidad</t>
  </si>
  <si>
    <t>CD / DVD</t>
  </si>
  <si>
    <t>Cintas</t>
  </si>
  <si>
    <t xml:space="preserve">I-FACTURA </t>
  </si>
  <si>
    <t xml:space="preserve">MES </t>
  </si>
  <si>
    <t>VOLÚMENES  A OCTUBRE 2022</t>
  </si>
  <si>
    <t>Prestamos atendidos</t>
  </si>
  <si>
    <t>Prestamos atendidos2</t>
  </si>
  <si>
    <t>Prestamos atendidos3</t>
  </si>
  <si>
    <t>Prestamos atendidos4</t>
  </si>
  <si>
    <t>Prestamos atendidos5</t>
  </si>
  <si>
    <t>Prestamos atendidos6</t>
  </si>
  <si>
    <t>Prestamos atendidos7</t>
  </si>
  <si>
    <t>Prestamos atendidos8</t>
  </si>
  <si>
    <t>Prestamos atendidos9</t>
  </si>
  <si>
    <t>Prestamos atendidos10</t>
  </si>
  <si>
    <t>Prestamos atendidos11</t>
  </si>
  <si>
    <t>Prestamos atendidos12</t>
  </si>
  <si>
    <t xml:space="preserve"> Indenmizaciones Autos, Generales ,naturales u algún otro ramo </t>
  </si>
  <si>
    <t>Administrativo</t>
  </si>
  <si>
    <t>mínimo</t>
  </si>
  <si>
    <t>máximo</t>
  </si>
  <si>
    <t>Ingreso Bodega 2022</t>
  </si>
  <si>
    <t>Total 2022</t>
  </si>
  <si>
    <t> </t>
  </si>
  <si>
    <t>AUXILIO POR MATERNIDAD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</si>
</sst>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mmm/yyyy"/>
    <numFmt numFmtId="167" formatCode="&quot;$&quot;\ 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8"/>
      <name val="Calibri"/>
      <family val="2"/>
      <scheme val="minor"/>
    </font>
    <font>
      <b/>
      <sz val="11"/>
      <color theme="0"/>
      <name val="Calibri Light"/>
      <family val="2"/>
    </font>
    <font>
      <b/>
      <sz val="12"/>
      <color theme="1"/>
      <name val="Calibri Light"/>
      <family val="2"/>
    </font>
    <font>
      <b/>
      <sz val="11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 tint="4.9989318521683403E-2"/>
      <name val="Calibri Light"/>
      <family val="2"/>
    </font>
    <font>
      <b/>
      <sz val="11"/>
      <color theme="1" tint="4.9989318521683403E-2"/>
      <name val="Calibri Light"/>
      <family val="2"/>
      <scheme val="major"/>
    </font>
    <font>
      <sz val="11"/>
      <color theme="1" tint="4.9989318521683403E-2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scheme val="major"/>
    </font>
    <font>
      <b/>
      <sz val="11"/>
      <color theme="0"/>
      <name val="Calibri Light"/>
      <scheme val="major"/>
    </font>
    <font>
      <b/>
      <sz val="11"/>
      <color theme="9" tint="-0.499984740745262"/>
      <name val="Calibri"/>
      <family val="2"/>
      <scheme val="minor"/>
    </font>
    <font>
      <b/>
      <sz val="11"/>
      <color theme="1" tint="4.9989318521683403E-2"/>
      <name val="Calibri Light"/>
      <scheme val="major"/>
    </font>
    <font>
      <b/>
      <sz val="9"/>
      <color theme="1"/>
      <name val="Calibri"/>
      <family val="2"/>
      <scheme val="minor"/>
    </font>
    <font>
      <b/>
      <sz val="12"/>
      <color theme="1"/>
      <name val="Calibri Light"/>
    </font>
    <font>
      <b/>
      <sz val="12"/>
      <color theme="1"/>
      <name val="Calibri Light"/>
      <scheme val="major"/>
    </font>
    <font>
      <b/>
      <sz val="11"/>
      <color theme="1"/>
      <name val="Calibri Light"/>
      <scheme val="major"/>
    </font>
    <font>
      <sz val="12"/>
      <color theme="1"/>
      <name val="Calibri Light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5BB3D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theme="6" tint="-0.249977111117893"/>
      </patternFill>
    </fill>
    <fill>
      <patternFill patternType="solid">
        <fgColor theme="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rgb="FF8EA9DB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thin">
        <color theme="4" tint="0.79998168889431442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 style="thin">
        <color theme="9" tint="0.39997558519241921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thin">
        <color theme="9" tint="0.39997558519241921"/>
      </top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 style="thin">
        <color theme="9" tint="0.39997558519241921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 style="thin">
        <color theme="9" tint="0.39997558519241921"/>
      </top>
      <bottom style="medium">
        <color theme="9" tint="-0.249977111117893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theme="4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/>
      <right/>
      <top style="thin">
        <color rgb="FF375623"/>
      </top>
      <bottom style="thin">
        <color rgb="FF375623"/>
      </bottom>
      <diagonal/>
    </border>
    <border>
      <left/>
      <right/>
      <top/>
      <bottom style="thin">
        <color rgb="FF37562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0.39994506668294322"/>
      </left>
      <right style="thin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thin">
        <color theme="9" tint="0.39994506668294322"/>
      </bottom>
      <diagonal/>
    </border>
    <border>
      <left style="double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double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theme="9" tint="0.39994506668294322"/>
      </left>
      <right style="double">
        <color theme="9" tint="0.39994506668294322"/>
      </right>
      <top style="thin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9" tint="-0.249977111117893"/>
      </left>
      <right/>
      <top style="thin">
        <color theme="4" tint="0.79998168889431442"/>
      </top>
      <bottom/>
      <diagonal/>
    </border>
    <border>
      <left/>
      <right/>
      <top/>
      <bottom style="thin">
        <color theme="6" tint="0.7999816888943144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229">
    <xf numFmtId="0" fontId="0" fillId="0" borderId="0" xfId="0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4" fillId="3" borderId="1" xfId="0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1" fontId="4" fillId="3" borderId="0" xfId="0" applyNumberFormat="1" applyFont="1" applyFill="1" applyAlignment="1">
      <alignment horizontal="left"/>
    </xf>
    <xf numFmtId="1" fontId="4" fillId="3" borderId="2" xfId="0" applyNumberFormat="1" applyFont="1" applyFill="1" applyBorder="1" applyAlignment="1">
      <alignment horizontal="left"/>
    </xf>
    <xf numFmtId="3" fontId="0" fillId="0" borderId="0" xfId="0" applyNumberFormat="1"/>
    <xf numFmtId="3" fontId="4" fillId="3" borderId="2" xfId="0" applyNumberFormat="1" applyFont="1" applyFill="1" applyBorder="1" applyAlignment="1">
      <alignment horizontal="left"/>
    </xf>
    <xf numFmtId="0" fontId="7" fillId="0" borderId="0" xfId="0" applyFont="1"/>
    <xf numFmtId="0" fontId="7" fillId="0" borderId="1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/>
    </xf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0" fontId="8" fillId="0" borderId="16" xfId="0" applyFont="1" applyBorder="1"/>
    <xf numFmtId="0" fontId="8" fillId="0" borderId="12" xfId="0" applyFont="1" applyBorder="1"/>
    <xf numFmtId="0" fontId="8" fillId="0" borderId="17" xfId="0" applyFont="1" applyBorder="1"/>
    <xf numFmtId="0" fontId="8" fillId="0" borderId="14" xfId="0" applyFont="1" applyBorder="1"/>
    <xf numFmtId="3" fontId="6" fillId="3" borderId="18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0" fontId="8" fillId="0" borderId="20" xfId="0" applyFont="1" applyBorder="1"/>
    <xf numFmtId="3" fontId="6" fillId="3" borderId="21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8" fillId="0" borderId="0" xfId="0" applyNumberFormat="1" applyFont="1"/>
    <xf numFmtId="0" fontId="6" fillId="4" borderId="4" xfId="0" applyFont="1" applyFill="1" applyBorder="1"/>
    <xf numFmtId="1" fontId="6" fillId="3" borderId="2" xfId="0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10" fillId="3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7" fillId="3" borderId="2" xfId="0" applyNumberFormat="1" applyFont="1" applyFill="1" applyBorder="1" applyAlignment="1">
      <alignment horizontal="center"/>
    </xf>
    <xf numFmtId="0" fontId="11" fillId="0" borderId="0" xfId="0" applyFont="1"/>
    <xf numFmtId="3" fontId="10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0" fillId="4" borderId="5" xfId="0" applyFont="1" applyFill="1" applyBorder="1"/>
    <xf numFmtId="0" fontId="7" fillId="5" borderId="7" xfId="0" applyFont="1" applyFill="1" applyBorder="1"/>
    <xf numFmtId="0" fontId="7" fillId="0" borderId="7" xfId="0" applyFont="1" applyBorder="1"/>
    <xf numFmtId="3" fontId="7" fillId="0" borderId="0" xfId="0" applyNumberFormat="1" applyFont="1" applyAlignment="1">
      <alignment horizontal="center" vertical="center"/>
    </xf>
    <xf numFmtId="0" fontId="14" fillId="0" borderId="0" xfId="0" applyFont="1"/>
    <xf numFmtId="0" fontId="19" fillId="8" borderId="27" xfId="0" applyFont="1" applyFill="1" applyBorder="1"/>
    <xf numFmtId="0" fontId="19" fillId="8" borderId="28" xfId="0" applyFont="1" applyFill="1" applyBorder="1"/>
    <xf numFmtId="164" fontId="19" fillId="8" borderId="28" xfId="1" applyNumberFormat="1" applyFont="1" applyFill="1" applyBorder="1"/>
    <xf numFmtId="164" fontId="0" fillId="0" borderId="0" xfId="1" applyNumberFormat="1" applyFont="1"/>
    <xf numFmtId="0" fontId="18" fillId="10" borderId="29" xfId="0" applyFont="1" applyFill="1" applyBorder="1" applyAlignment="1">
      <alignment horizontal="center"/>
    </xf>
    <xf numFmtId="17" fontId="20" fillId="0" borderId="29" xfId="0" applyNumberFormat="1" applyFont="1" applyBorder="1" applyAlignment="1">
      <alignment horizontal="left" indent="1"/>
    </xf>
    <xf numFmtId="3" fontId="0" fillId="0" borderId="29" xfId="0" applyNumberFormat="1" applyBorder="1"/>
    <xf numFmtId="10" fontId="0" fillId="0" borderId="29" xfId="2" applyNumberFormat="1" applyFont="1" applyBorder="1"/>
    <xf numFmtId="0" fontId="16" fillId="11" borderId="30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165" fontId="16" fillId="11" borderId="31" xfId="0" applyNumberFormat="1" applyFont="1" applyFill="1" applyBorder="1" applyAlignment="1">
      <alignment horizontal="center"/>
    </xf>
    <xf numFmtId="165" fontId="16" fillId="11" borderId="32" xfId="0" applyNumberFormat="1" applyFont="1" applyFill="1" applyBorder="1" applyAlignment="1">
      <alignment horizontal="center"/>
    </xf>
    <xf numFmtId="0" fontId="0" fillId="0" borderId="33" xfId="0" applyBorder="1" applyAlignment="1">
      <alignment horizontal="left"/>
    </xf>
    <xf numFmtId="165" fontId="0" fillId="0" borderId="34" xfId="0" applyNumberFormat="1" applyBorder="1"/>
    <xf numFmtId="10" fontId="0" fillId="0" borderId="35" xfId="2" applyNumberFormat="1" applyFont="1" applyBorder="1"/>
    <xf numFmtId="0" fontId="17" fillId="0" borderId="36" xfId="0" applyFont="1" applyBorder="1" applyAlignment="1">
      <alignment horizontal="left"/>
    </xf>
    <xf numFmtId="165" fontId="17" fillId="0" borderId="37" xfId="0" applyNumberFormat="1" applyFont="1" applyBorder="1"/>
    <xf numFmtId="10" fontId="17" fillId="0" borderId="38" xfId="2" applyNumberFormat="1" applyFont="1" applyBorder="1"/>
    <xf numFmtId="165" fontId="0" fillId="0" borderId="34" xfId="0" applyNumberFormat="1" applyBorder="1" applyAlignment="1">
      <alignment horizontal="center"/>
    </xf>
    <xf numFmtId="0" fontId="0" fillId="0" borderId="34" xfId="0" applyBorder="1"/>
    <xf numFmtId="166" fontId="16" fillId="4" borderId="2" xfId="0" applyNumberFormat="1" applyFont="1" applyFill="1" applyBorder="1" applyAlignment="1">
      <alignment horizontal="center" vertical="center" wrapText="1"/>
    </xf>
    <xf numFmtId="3" fontId="16" fillId="4" borderId="7" xfId="0" applyNumberFormat="1" applyFont="1" applyFill="1" applyBorder="1" applyAlignment="1">
      <alignment horizontal="center" vertical="center" wrapText="1"/>
    </xf>
    <xf numFmtId="166" fontId="0" fillId="5" borderId="2" xfId="0" applyNumberFormat="1" applyFill="1" applyBorder="1"/>
    <xf numFmtId="3" fontId="0" fillId="5" borderId="7" xfId="0" applyNumberFormat="1" applyFill="1" applyBorder="1"/>
    <xf numFmtId="166" fontId="0" fillId="0" borderId="2" xfId="0" applyNumberFormat="1" applyBorder="1"/>
    <xf numFmtId="3" fontId="0" fillId="0" borderId="7" xfId="0" applyNumberFormat="1" applyBorder="1"/>
    <xf numFmtId="41" fontId="0" fillId="0" borderId="39" xfId="3" applyFont="1" applyBorder="1"/>
    <xf numFmtId="0" fontId="16" fillId="12" borderId="39" xfId="0" applyFont="1" applyFill="1" applyBorder="1" applyAlignment="1">
      <alignment horizontal="center" vertical="center"/>
    </xf>
    <xf numFmtId="41" fontId="0" fillId="0" borderId="0" xfId="3" applyFont="1"/>
    <xf numFmtId="0" fontId="21" fillId="0" borderId="0" xfId="0" applyFont="1"/>
    <xf numFmtId="3" fontId="4" fillId="3" borderId="24" xfId="0" applyNumberFormat="1" applyFont="1" applyFill="1" applyBorder="1" applyAlignment="1">
      <alignment horizontal="left" vertical="center"/>
    </xf>
    <xf numFmtId="3" fontId="4" fillId="3" borderId="25" xfId="0" applyNumberFormat="1" applyFont="1" applyFill="1" applyBorder="1" applyAlignment="1">
      <alignment horizontal="left" vertical="center"/>
    </xf>
    <xf numFmtId="3" fontId="9" fillId="3" borderId="25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vertical="center"/>
    </xf>
    <xf numFmtId="1" fontId="1" fillId="5" borderId="7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3" fontId="1" fillId="0" borderId="7" xfId="0" applyNumberFormat="1" applyFont="1" applyBorder="1" applyAlignment="1">
      <alignment vertical="center"/>
    </xf>
    <xf numFmtId="1" fontId="1" fillId="0" borderId="7" xfId="0" applyNumberFormat="1" applyFont="1" applyBorder="1" applyAlignment="1">
      <alignment vertical="center"/>
    </xf>
    <xf numFmtId="0" fontId="2" fillId="5" borderId="2" xfId="0" applyFont="1" applyFill="1" applyBorder="1" applyAlignment="1">
      <alignment horizontal="left" wrapText="1"/>
    </xf>
    <xf numFmtId="3" fontId="6" fillId="3" borderId="7" xfId="0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2" fillId="13" borderId="43" xfId="0" applyFont="1" applyFill="1" applyBorder="1" applyAlignment="1">
      <alignment horizontal="center" vertical="center" wrapText="1"/>
    </xf>
    <xf numFmtId="0" fontId="22" fillId="13" borderId="44" xfId="0" applyFont="1" applyFill="1" applyBorder="1" applyAlignment="1">
      <alignment horizontal="center" vertical="center" wrapText="1"/>
    </xf>
    <xf numFmtId="17" fontId="23" fillId="0" borderId="39" xfId="0" applyNumberFormat="1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17" fontId="0" fillId="0" borderId="39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1" fontId="0" fillId="0" borderId="0" xfId="2" applyNumberFormat="1" applyFont="1"/>
    <xf numFmtId="3" fontId="4" fillId="3" borderId="39" xfId="0" applyNumberFormat="1" applyFont="1" applyFill="1" applyBorder="1" applyAlignment="1">
      <alignment horizontal="left" vertical="center"/>
    </xf>
    <xf numFmtId="3" fontId="9" fillId="3" borderId="39" xfId="0" applyNumberFormat="1" applyFont="1" applyFill="1" applyBorder="1" applyAlignment="1">
      <alignment horizontal="left" vertical="center"/>
    </xf>
    <xf numFmtId="0" fontId="2" fillId="14" borderId="39" xfId="0" applyFont="1" applyFill="1" applyBorder="1" applyAlignment="1">
      <alignment horizontal="left"/>
    </xf>
    <xf numFmtId="3" fontId="1" fillId="14" borderId="39" xfId="0" applyNumberFormat="1" applyFont="1" applyFill="1" applyBorder="1" applyAlignment="1">
      <alignment vertical="center"/>
    </xf>
    <xf numFmtId="0" fontId="1" fillId="14" borderId="39" xfId="0" applyFont="1" applyFill="1" applyBorder="1" applyAlignment="1">
      <alignment vertical="center"/>
    </xf>
    <xf numFmtId="3" fontId="2" fillId="5" borderId="39" xfId="0" applyNumberFormat="1" applyFont="1" applyFill="1" applyBorder="1" applyAlignment="1">
      <alignment vertical="center"/>
    </xf>
    <xf numFmtId="0" fontId="2" fillId="0" borderId="39" xfId="0" applyFont="1" applyBorder="1" applyAlignment="1">
      <alignment horizontal="left"/>
    </xf>
    <xf numFmtId="3" fontId="1" fillId="0" borderId="39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3" fontId="1" fillId="15" borderId="39" xfId="0" applyNumberFormat="1" applyFont="1" applyFill="1" applyBorder="1" applyAlignment="1">
      <alignment vertical="center"/>
    </xf>
    <xf numFmtId="0" fontId="2" fillId="14" borderId="39" xfId="0" applyFont="1" applyFill="1" applyBorder="1" applyAlignment="1">
      <alignment horizontal="left" wrapText="1"/>
    </xf>
    <xf numFmtId="0" fontId="1" fillId="15" borderId="39" xfId="0" applyFont="1" applyFill="1" applyBorder="1" applyAlignment="1">
      <alignment vertical="center"/>
    </xf>
    <xf numFmtId="1" fontId="4" fillId="3" borderId="39" xfId="0" applyNumberFormat="1" applyFont="1" applyFill="1" applyBorder="1" applyAlignment="1">
      <alignment horizontal="left"/>
    </xf>
    <xf numFmtId="3" fontId="10" fillId="3" borderId="39" xfId="0" applyNumberFormat="1" applyFont="1" applyFill="1" applyBorder="1" applyAlignment="1">
      <alignment horizontal="center" vertical="center"/>
    </xf>
    <xf numFmtId="3" fontId="4" fillId="3" borderId="45" xfId="0" applyNumberFormat="1" applyFont="1" applyFill="1" applyBorder="1" applyAlignment="1">
      <alignment horizontal="left" vertical="center"/>
    </xf>
    <xf numFmtId="3" fontId="4" fillId="3" borderId="44" xfId="0" applyNumberFormat="1" applyFont="1" applyFill="1" applyBorder="1" applyAlignment="1">
      <alignment horizontal="left" vertical="center"/>
    </xf>
    <xf numFmtId="3" fontId="9" fillId="3" borderId="44" xfId="0" applyNumberFormat="1" applyFont="1" applyFill="1" applyBorder="1" applyAlignment="1">
      <alignment horizontal="left" vertical="center"/>
    </xf>
    <xf numFmtId="3" fontId="9" fillId="3" borderId="46" xfId="0" applyNumberFormat="1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/>
    </xf>
    <xf numFmtId="3" fontId="2" fillId="0" borderId="39" xfId="0" applyNumberFormat="1" applyFont="1" applyBorder="1" applyAlignment="1">
      <alignment vertical="center"/>
    </xf>
    <xf numFmtId="3" fontId="2" fillId="0" borderId="42" xfId="0" applyNumberFormat="1" applyFont="1" applyBorder="1" applyAlignment="1">
      <alignment vertical="center"/>
    </xf>
    <xf numFmtId="0" fontId="2" fillId="0" borderId="40" xfId="0" applyFont="1" applyBorder="1" applyAlignment="1">
      <alignment horizontal="left" wrapText="1"/>
    </xf>
    <xf numFmtId="1" fontId="4" fillId="3" borderId="47" xfId="0" applyNumberFormat="1" applyFont="1" applyFill="1" applyBorder="1" applyAlignment="1">
      <alignment horizontal="left"/>
    </xf>
    <xf numFmtId="3" fontId="10" fillId="3" borderId="43" xfId="0" applyNumberFormat="1" applyFont="1" applyFill="1" applyBorder="1" applyAlignment="1">
      <alignment horizontal="center" vertical="center"/>
    </xf>
    <xf numFmtId="3" fontId="10" fillId="3" borderId="48" xfId="0" applyNumberFormat="1" applyFon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/>
    </xf>
    <xf numFmtId="3" fontId="7" fillId="3" borderId="43" xfId="0" applyNumberFormat="1" applyFont="1" applyFill="1" applyBorder="1" applyAlignment="1">
      <alignment vertical="center"/>
    </xf>
    <xf numFmtId="3" fontId="7" fillId="3" borderId="48" xfId="0" applyNumberFormat="1" applyFont="1" applyFill="1" applyBorder="1" applyAlignment="1">
      <alignment vertical="center"/>
    </xf>
    <xf numFmtId="3" fontId="6" fillId="16" borderId="43" xfId="0" applyNumberFormat="1" applyFont="1" applyFill="1" applyBorder="1" applyAlignment="1">
      <alignment vertical="center"/>
    </xf>
    <xf numFmtId="3" fontId="6" fillId="16" borderId="0" xfId="0" applyNumberFormat="1" applyFont="1" applyFill="1" applyAlignment="1">
      <alignment vertical="center"/>
    </xf>
    <xf numFmtId="3" fontId="8" fillId="15" borderId="0" xfId="0" applyNumberFormat="1" applyFont="1" applyFill="1"/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15" borderId="0" xfId="0" applyFill="1"/>
    <xf numFmtId="0" fontId="18" fillId="16" borderId="29" xfId="0" applyFont="1" applyFill="1" applyBorder="1" applyAlignment="1">
      <alignment horizontal="center"/>
    </xf>
    <xf numFmtId="0" fontId="24" fillId="0" borderId="0" xfId="0" applyFont="1"/>
    <xf numFmtId="3" fontId="6" fillId="17" borderId="39" xfId="0" applyNumberFormat="1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vertical="center"/>
    </xf>
    <xf numFmtId="3" fontId="2" fillId="0" borderId="39" xfId="0" applyNumberFormat="1" applyFont="1" applyFill="1" applyBorder="1" applyAlignment="1">
      <alignment vertical="center"/>
    </xf>
    <xf numFmtId="0" fontId="25" fillId="0" borderId="0" xfId="0" applyFont="1"/>
    <xf numFmtId="0" fontId="24" fillId="0" borderId="0" xfId="0" applyFont="1" applyFill="1"/>
    <xf numFmtId="3" fontId="24" fillId="0" borderId="0" xfId="0" applyNumberFormat="1" applyFont="1" applyFill="1"/>
    <xf numFmtId="17" fontId="0" fillId="0" borderId="0" xfId="0" applyNumberFormat="1" applyBorder="1" applyAlignment="1">
      <alignment horizontal="center"/>
    </xf>
    <xf numFmtId="41" fontId="0" fillId="0" borderId="0" xfId="3" applyFont="1" applyBorder="1"/>
    <xf numFmtId="9" fontId="0" fillId="0" borderId="0" xfId="2" applyFont="1"/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8" fillId="9" borderId="29" xfId="0" applyFont="1" applyFill="1" applyBorder="1" applyAlignment="1">
      <alignment horizontal="center"/>
    </xf>
    <xf numFmtId="0" fontId="18" fillId="16" borderId="29" xfId="0" applyFont="1" applyFill="1" applyBorder="1" applyAlignment="1">
      <alignment horizontal="center"/>
    </xf>
    <xf numFmtId="0" fontId="18" fillId="10" borderId="29" xfId="0" applyFont="1" applyFill="1" applyBorder="1" applyAlignment="1">
      <alignment horizontal="center"/>
    </xf>
    <xf numFmtId="167" fontId="16" fillId="12" borderId="42" xfId="0" applyNumberFormat="1" applyFont="1" applyFill="1" applyBorder="1" applyAlignment="1">
      <alignment horizontal="center" vertical="center"/>
    </xf>
    <xf numFmtId="167" fontId="16" fillId="12" borderId="41" xfId="0" applyNumberFormat="1" applyFont="1" applyFill="1" applyBorder="1" applyAlignment="1">
      <alignment horizontal="center" vertical="center"/>
    </xf>
    <xf numFmtId="167" fontId="16" fillId="12" borderId="40" xfId="0" applyNumberFormat="1" applyFont="1" applyFill="1" applyBorder="1" applyAlignment="1">
      <alignment horizontal="center" vertical="center"/>
    </xf>
    <xf numFmtId="3" fontId="6" fillId="17" borderId="43" xfId="0" applyNumberFormat="1" applyFont="1" applyFill="1" applyBorder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0" fillId="0" borderId="0" xfId="0" applyFill="1"/>
    <xf numFmtId="3" fontId="25" fillId="0" borderId="0" xfId="0" applyNumberFormat="1" applyFont="1"/>
    <xf numFmtId="3" fontId="6" fillId="17" borderId="0" xfId="0" applyNumberFormat="1" applyFont="1" applyFill="1" applyAlignment="1">
      <alignment vertical="center"/>
    </xf>
    <xf numFmtId="3" fontId="0" fillId="0" borderId="0" xfId="0" applyNumberFormat="1" applyFill="1"/>
    <xf numFmtId="0" fontId="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Fill="1"/>
    <xf numFmtId="3" fontId="6" fillId="16" borderId="2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  <xf numFmtId="0" fontId="28" fillId="0" borderId="0" xfId="0" applyFont="1"/>
    <xf numFmtId="3" fontId="0" fillId="0" borderId="49" xfId="0" applyNumberFormat="1" applyBorder="1"/>
    <xf numFmtId="3" fontId="27" fillId="3" borderId="18" xfId="0" applyNumberFormat="1" applyFont="1" applyFill="1" applyBorder="1" applyAlignment="1">
      <alignment horizontal="center" vertical="center"/>
    </xf>
    <xf numFmtId="3" fontId="26" fillId="0" borderId="0" xfId="0" applyNumberFormat="1" applyFont="1"/>
    <xf numFmtId="0" fontId="26" fillId="0" borderId="0" xfId="0" applyFont="1"/>
    <xf numFmtId="0" fontId="26" fillId="0" borderId="17" xfId="0" applyFont="1" applyBorder="1"/>
    <xf numFmtId="0" fontId="26" fillId="0" borderId="14" xfId="0" applyFont="1" applyBorder="1"/>
    <xf numFmtId="3" fontId="29" fillId="0" borderId="0" xfId="0" applyNumberFormat="1" applyFont="1"/>
    <xf numFmtId="0" fontId="0" fillId="0" borderId="50" xfId="0" applyBorder="1" applyAlignment="1">
      <alignment horizontal="left"/>
    </xf>
    <xf numFmtId="3" fontId="26" fillId="0" borderId="51" xfId="0" applyNumberFormat="1" applyFont="1" applyBorder="1"/>
    <xf numFmtId="3" fontId="26" fillId="0" borderId="0" xfId="0" applyNumberFormat="1" applyFont="1" applyBorder="1"/>
    <xf numFmtId="0" fontId="26" fillId="0" borderId="0" xfId="0" applyFont="1" applyBorder="1"/>
    <xf numFmtId="3" fontId="29" fillId="0" borderId="0" xfId="0" applyNumberFormat="1" applyFont="1" applyBorder="1"/>
    <xf numFmtId="0" fontId="30" fillId="0" borderId="0" xfId="0" applyFont="1"/>
    <xf numFmtId="3" fontId="30" fillId="0" borderId="0" xfId="0" applyNumberFormat="1" applyFont="1"/>
    <xf numFmtId="0" fontId="16" fillId="12" borderId="39" xfId="0" applyFont="1" applyFill="1" applyBorder="1" applyAlignment="1">
      <alignment horizontal="center" vertical="center" wrapText="1"/>
    </xf>
    <xf numFmtId="0" fontId="17" fillId="14" borderId="39" xfId="0" applyFont="1" applyFill="1" applyBorder="1"/>
    <xf numFmtId="41" fontId="17" fillId="14" borderId="39" xfId="0" applyNumberFormat="1" applyFont="1" applyFill="1" applyBorder="1"/>
    <xf numFmtId="41" fontId="0" fillId="0" borderId="0" xfId="0" applyNumberFormat="1"/>
    <xf numFmtId="0" fontId="31" fillId="2" borderId="0" xfId="0" applyFont="1" applyFill="1" applyAlignment="1">
      <alignment horizontal="left" vertical="center"/>
    </xf>
    <xf numFmtId="0" fontId="27" fillId="4" borderId="4" xfId="0" applyFont="1" applyFill="1" applyBorder="1"/>
    <xf numFmtId="0" fontId="29" fillId="6" borderId="4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" fontId="27" fillId="3" borderId="2" xfId="0" applyNumberFormat="1" applyFont="1" applyFill="1" applyBorder="1" applyAlignment="1">
      <alignment horizontal="left"/>
    </xf>
    <xf numFmtId="3" fontId="27" fillId="3" borderId="2" xfId="0" applyNumberFormat="1" applyFont="1" applyFill="1" applyBorder="1" applyAlignment="1">
      <alignment horizontal="center" vertical="center"/>
    </xf>
    <xf numFmtId="3" fontId="29" fillId="7" borderId="2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29" fillId="4" borderId="4" xfId="0" applyFont="1" applyFill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29" fillId="3" borderId="2" xfId="0" applyNumberFormat="1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3" borderId="2" xfId="0" applyNumberFormat="1" applyFont="1" applyFill="1" applyBorder="1" applyAlignment="1">
      <alignment horizontal="center"/>
    </xf>
    <xf numFmtId="1" fontId="27" fillId="3" borderId="8" xfId="0" applyNumberFormat="1" applyFont="1" applyFill="1" applyBorder="1" applyAlignment="1">
      <alignment horizontal="left"/>
    </xf>
    <xf numFmtId="3" fontId="27" fillId="3" borderId="8" xfId="0" applyNumberFormat="1" applyFont="1" applyFill="1" applyBorder="1" applyAlignment="1">
      <alignment horizontal="center" vertical="center"/>
    </xf>
    <xf numFmtId="3" fontId="29" fillId="3" borderId="8" xfId="0" applyNumberFormat="1" applyFont="1" applyFill="1" applyBorder="1" applyAlignment="1">
      <alignment horizontal="center" vertical="center"/>
    </xf>
    <xf numFmtId="0" fontId="26" fillId="5" borderId="23" xfId="0" applyFont="1" applyFill="1" applyBorder="1"/>
    <xf numFmtId="3" fontId="26" fillId="5" borderId="7" xfId="0" applyNumberFormat="1" applyFont="1" applyFill="1" applyBorder="1"/>
    <xf numFmtId="0" fontId="26" fillId="0" borderId="23" xfId="0" applyFont="1" applyBorder="1"/>
    <xf numFmtId="3" fontId="26" fillId="0" borderId="23" xfId="0" applyNumberFormat="1" applyFont="1" applyBorder="1"/>
    <xf numFmtId="3" fontId="26" fillId="5" borderId="23" xfId="0" applyNumberFormat="1" applyFont="1" applyFill="1" applyBorder="1"/>
    <xf numFmtId="0" fontId="33" fillId="5" borderId="22" xfId="0" applyFont="1" applyFill="1" applyBorder="1"/>
    <xf numFmtId="3" fontId="33" fillId="5" borderId="22" xfId="0" applyNumberFormat="1" applyFont="1" applyFill="1" applyBorder="1"/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34" fillId="0" borderId="0" xfId="0" applyFont="1"/>
    <xf numFmtId="0" fontId="29" fillId="0" borderId="0" xfId="0" applyFont="1"/>
    <xf numFmtId="43" fontId="0" fillId="0" borderId="0" xfId="1" applyFont="1"/>
    <xf numFmtId="0" fontId="0" fillId="0" borderId="52" xfId="0" applyBorder="1"/>
    <xf numFmtId="43" fontId="0" fillId="0" borderId="52" xfId="1" applyFont="1" applyBorder="1"/>
    <xf numFmtId="43" fontId="0" fillId="0" borderId="0" xfId="0" applyNumberFormat="1"/>
    <xf numFmtId="165" fontId="0" fillId="0" borderId="53" xfId="0" applyNumberFormat="1" applyBorder="1"/>
    <xf numFmtId="0" fontId="0" fillId="0" borderId="53" xfId="0" applyBorder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315"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 style="medium">
          <color theme="9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 style="medium">
          <color theme="9" tint="-0.24997711111789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  <border diagonalUp="0" diagonalDown="0" outline="0">
        <left style="medium">
          <color theme="9" tint="-0.249977111117893"/>
        </left>
        <right/>
        <top style="thin">
          <color theme="4" tint="0.79998168889431442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border outline="0">
        <left style="thin">
          <color theme="9" tint="0.39997558519241921"/>
        </left>
        <top style="thin">
          <color theme="9" tint="0.3999755851924192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alignment horizontal="left" vertical="bottom" textRotation="0" wrapText="0" indent="0" justifyLastLine="0" shrinkToFit="0" readingOrder="0"/>
    </dxf>
    <dxf>
      <border outline="0">
        <top style="thin">
          <color theme="9" tint="0.39997558519241921"/>
        </top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alignment horizontal="left" vertical="bottom" textRotation="0" wrapText="0" indent="0" justifyLastLine="0" shrinkToFit="0" readingOrder="0"/>
    </dxf>
    <dxf>
      <border outline="0">
        <top style="thin">
          <color theme="9" tint="0.39997558519241921"/>
        </top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major"/>
      </font>
      <fill>
        <patternFill patternType="solid">
          <fgColor theme="9"/>
          <bgColor theme="9"/>
        </patternFill>
      </fill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>
        <left/>
        <right style="medium">
          <color theme="9" tint="-0.249977111117893"/>
        </right>
        <vertical/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border diagonalUp="0" diagonalDown="0">
        <left style="medium">
          <color theme="9" tint="-0.249977111117893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  <border diagonalUp="0" diagonalDown="0">
        <left style="medium">
          <color theme="9" tint="-0.249977111117893"/>
        </left>
        <right/>
        <top style="thin">
          <color theme="4" tint="0.79998168889431442"/>
        </top>
        <bottom style="thin">
          <color theme="4" tint="0.79998168889431442"/>
        </bottom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border diagonalUp="0" diagonalDown="0">
        <left/>
        <right style="medium">
          <color theme="9" tint="-0.249977111117893"/>
        </right>
        <vertical/>
      </border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border diagonalUp="0" diagonalDown="0">
        <left style="medium">
          <color theme="9" tint="-0.249977111117893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Calibri Light"/>
        <scheme val="major"/>
      </font>
      <numFmt numFmtId="3" formatCode="#,##0"/>
      <border diagonalUp="0" diagonalDown="0">
        <left style="medium">
          <color theme="9" tint="-0.249977111117893"/>
        </left>
        <right/>
        <top style="thin">
          <color theme="4" tint="0.79998168889431442"/>
        </top>
        <bottom style="thin">
          <color theme="4" tint="0.79998168889431442"/>
        </bottom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none"/>
      </font>
      <numFmt numFmtId="3" formatCode="#,##0"/>
      <fill>
        <patternFill patternType="solid">
          <fgColor indexed="64"/>
          <bgColor rgb="FF85BB3D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none"/>
      </font>
      <numFmt numFmtId="3" formatCode="#,##0"/>
      <fill>
        <patternFill patternType="solid">
          <fgColor indexed="64"/>
          <bgColor rgb="FF85BB3D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scheme val="none"/>
      </font>
      <numFmt numFmtId="3" formatCode="#,##0"/>
      <fill>
        <patternFill patternType="solid">
          <fgColor indexed="64"/>
          <bgColor rgb="FF85BB3D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O28" totalsRowShown="0" headerRowDxfId="314" dataDxfId="312" headerRowBorderDxfId="313" tableBorderDxfId="311" totalsRowBorderDxfId="310">
  <autoFilter ref="A2:O28" xr:uid="{00000000-0009-0000-0100-000001000000}"/>
  <sortState xmlns:xlrd2="http://schemas.microsoft.com/office/spreadsheetml/2017/richdata2" ref="A3:M27">
    <sortCondition ref="A2:A27"/>
  </sortState>
  <tableColumns count="15">
    <tableColumn id="1" xr3:uid="{00000000-0010-0000-0000-000001000000}" name="Sucursal" dataDxfId="309"/>
    <tableColumn id="2" xr3:uid="{00000000-0010-0000-0000-000002000000}" name="Enero" dataDxfId="308"/>
    <tableColumn id="3" xr3:uid="{00000000-0010-0000-0000-000003000000}" name="Febrero" dataDxfId="307"/>
    <tableColumn id="4" xr3:uid="{00000000-0010-0000-0000-000004000000}" name="Marzo" dataDxfId="306"/>
    <tableColumn id="5" xr3:uid="{00000000-0010-0000-0000-000005000000}" name="Abril" dataDxfId="305"/>
    <tableColumn id="6" xr3:uid="{00000000-0010-0000-0000-000006000000}" name="Mayo" dataDxfId="304"/>
    <tableColumn id="7" xr3:uid="{00000000-0010-0000-0000-000007000000}" name="Junio" dataDxfId="303"/>
    <tableColumn id="8" xr3:uid="{00000000-0010-0000-0000-000008000000}" name="Julio" dataDxfId="302"/>
    <tableColumn id="9" xr3:uid="{00000000-0010-0000-0000-000009000000}" name="Agosto" dataDxfId="301"/>
    <tableColumn id="10" xr3:uid="{00000000-0010-0000-0000-00000A000000}" name="Septiembre" dataDxfId="300"/>
    <tableColumn id="11" xr3:uid="{00000000-0010-0000-0000-00000B000000}" name="Octubre" dataDxfId="299"/>
    <tableColumn id="12" xr3:uid="{00000000-0010-0000-0000-00000C000000}" name="Noviembre" dataDxfId="298"/>
    <tableColumn id="13" xr3:uid="{00000000-0010-0000-0000-00000D000000}" name="Diciembre" dataDxfId="297"/>
    <tableColumn id="14" xr3:uid="{00000000-0010-0000-0000-00000E000000}" name="Total Sucursal" dataDxfId="296">
      <calculatedColumnFormula>SUM(Tabla1[[#This Row],[Enero]:[Diciembre]])</calculatedColumnFormula>
    </tableColumn>
    <tableColumn id="15" xr3:uid="{00000000-0010-0000-0000-00000F000000}" name="Promedio Sucursal" dataDxfId="295">
      <calculatedColumnFormula>AVERAGE(Tabla1[[#This Row],[Enero]:[Diciembre]])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A036CE-5205-43CD-BCE2-D699E7646D96}" name="Tabla518" displayName="Tabla518" ref="A3:P9" totalsRowShown="0" headerRowDxfId="26" dataDxfId="24" headerRowBorderDxfId="25">
  <tableColumns count="16">
    <tableColumn id="1" xr3:uid="{05820E58-5D5C-4635-80D9-57A47C7854C1}" name="Ubicación Bodega" dataDxfId="23"/>
    <tableColumn id="2" xr3:uid="{A643524F-8603-4CEF-B02A-7C02BD9E7A39}" name="Abril" dataDxfId="22"/>
    <tableColumn id="3" xr3:uid="{AC07103D-4A4B-4279-B9C9-F87C6A24B47E}" name="Mayo" dataDxfId="21"/>
    <tableColumn id="4" xr3:uid="{FAAE7DA8-553A-4367-8CDC-A39210394EAB}" name="Junio" dataDxfId="20"/>
    <tableColumn id="5" xr3:uid="{FA824ACD-145B-4CA8-97F7-3B7AD768C821}" name="Julio" dataDxfId="19"/>
    <tableColumn id="6" xr3:uid="{DFBA6032-05E6-4F70-B7C8-CD253E5E889F}" name="Agosto" dataDxfId="18"/>
    <tableColumn id="7" xr3:uid="{6C61F184-FC73-409B-BB16-97D6909E21A6}" name="Septiembre" dataDxfId="17"/>
    <tableColumn id="8" xr3:uid="{ECF47A34-46EF-44FA-8817-E90553BF889D}" name="Octubre" dataDxfId="16"/>
    <tableColumn id="9" xr3:uid="{0FEBB0DE-96E8-4A79-8DDB-2F36E228013A}" name="Noviembre" dataDxfId="15"/>
    <tableColumn id="10" xr3:uid="{E0F479DA-DA72-4634-ACBA-FB77AB4B11BC}" name="Diciembre" dataDxfId="14"/>
    <tableColumn id="11" xr3:uid="{534553BD-FD4E-4E6C-9B70-FD0AF098FB4E}" name="Total 2017" dataDxfId="13"/>
    <tableColumn id="12" xr3:uid="{44E335E3-AB7B-4BAF-8E83-70301B1FA7E8}" name="Total 2018" dataDxfId="12"/>
    <tableColumn id="13" xr3:uid="{D7B9971D-D134-42EC-AF50-8926BB7E0406}" name="Total 2019" dataDxfId="11"/>
    <tableColumn id="14" xr3:uid="{5383A471-23DA-454D-B157-F2495DDBCC2C}" name="Total 2020" dataDxfId="10"/>
    <tableColumn id="15" xr3:uid="{29304816-5AE7-42AA-8AA4-AC860EE2EDAC}" name="Total 2021" dataDxfId="9"/>
    <tableColumn id="16" xr3:uid="{65C9BDB0-681B-4E51-9BDC-0CB24B83F0EE}" name="Total 2022" dataDxfId="8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792B73-4E3E-423B-A5DD-20093A9B0423}" name="Tabla619" displayName="Tabla619" ref="A11:J16" totalsRowShown="0" headerRowDxfId="104" dataDxfId="102" headerRowBorderDxfId="103">
  <autoFilter ref="A11:J16" xr:uid="{61792B73-4E3E-423B-A5DD-20093A9B0423}"/>
  <tableColumns count="10">
    <tableColumn id="1" xr3:uid="{2C985DB2-7DAC-40E9-BBAA-CFD7FEC99275}" name="Ubicación Bodega" dataDxfId="101"/>
    <tableColumn id="2" xr3:uid="{36A2845F-1144-4F29-BABC-DCF8B08094D7}" name="Enero" dataDxfId="100"/>
    <tableColumn id="3" xr3:uid="{A33C1A3E-176C-46CA-8BB2-41233E6D54D9}" name="Febrero" dataDxfId="99"/>
    <tableColumn id="4" xr3:uid="{CD7F28C6-B97D-4293-BCAB-94E70DD7DB0E}" name="Abril" dataDxfId="98"/>
    <tableColumn id="5" xr3:uid="{FC4A99B5-B8F3-4948-B28B-DC981527B5A1}" name="Junio" dataDxfId="97"/>
    <tableColumn id="6" xr3:uid="{99DA773B-FAED-41AF-9C29-54077F51D1D5}" name="Agosto" dataDxfId="96"/>
    <tableColumn id="7" xr3:uid="{83757590-6334-4A06-A336-3C22D60F432B}" name="Octubre" dataDxfId="95"/>
    <tableColumn id="8" xr3:uid="{441CB793-08E5-489B-8106-D21B3CFC64E4}" name="Noviembre" dataDxfId="94"/>
    <tableColumn id="9" xr3:uid="{B591A632-8B1C-4BE2-8D9C-8604A41108B9}" name="Diciembre" dataDxfId="93"/>
    <tableColumn id="10" xr3:uid="{D85E1E40-F31F-484A-88C6-06FD70BBF0AF}" name="Total" dataDxfId="92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321EC43-8690-49C1-BBB1-DAFEA2A2E74F}" name="Tabla720" displayName="Tabla720" ref="A20:M25" totalsRowShown="0" headerRowDxfId="91" dataDxfId="89" headerRowBorderDxfId="90">
  <autoFilter ref="A20:M25" xr:uid="{8321EC43-8690-49C1-BBB1-DAFEA2A2E74F}"/>
  <tableColumns count="13">
    <tableColumn id="1" xr3:uid="{DBA12C14-BAF5-4020-BB6E-16946A4D93E7}" name="Ubicación Bodega" dataDxfId="88"/>
    <tableColumn id="2" xr3:uid="{87FE9381-04AE-43DE-A09B-4A678D72DB18}" name="Febrero" dataDxfId="87"/>
    <tableColumn id="3" xr3:uid="{E63902D9-569D-4B14-84C5-87E7A81D58DB}" name="Marzo" dataDxfId="86"/>
    <tableColumn id="4" xr3:uid="{44A546D6-44E3-419D-9FD9-94537157683A}" name="Abril" dataDxfId="85"/>
    <tableColumn id="5" xr3:uid="{C68CBE78-E649-4E5B-88C9-FEB4F01F51AB}" name="Mayo" dataDxfId="84"/>
    <tableColumn id="6" xr3:uid="{0CD0190C-E490-4F36-93BD-DB11AC1301AA}" name="Junio" dataDxfId="83"/>
    <tableColumn id="7" xr3:uid="{9C8BF492-A97D-4AB3-8F57-BD53AD8DC81C}" name="Julio" dataDxfId="82"/>
    <tableColumn id="8" xr3:uid="{535FCDED-2D93-4536-8BAC-A844308424B1}" name="Agosto" dataDxfId="81"/>
    <tableColumn id="9" xr3:uid="{38B8A07D-AA66-4072-B9C6-39A9BB63A674}" name="Septiembre" dataDxfId="80"/>
    <tableColumn id="10" xr3:uid="{F2971DD5-3C90-470F-9C14-7F49EF199F00}" name="Octubre" dataDxfId="79"/>
    <tableColumn id="11" xr3:uid="{DE4D5B9B-64B4-418A-95CA-9EB68028FAA0}" name="Noviembre" dataDxfId="78"/>
    <tableColumn id="12" xr3:uid="{AC226A11-F509-46EA-AEE4-D35C74293926}" name="Diciembre" dataDxfId="77"/>
    <tableColumn id="13" xr3:uid="{E144628E-EAC0-4820-853F-A6AF06D2015C}" name="Total" dataDxfId="76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ED6A772-1908-452F-9152-82DB710174C7}" name="Tabla821" displayName="Tabla821" ref="A29:J34" totalsRowShown="0" headerRowDxfId="75" dataDxfId="73" headerRowBorderDxfId="74">
  <autoFilter ref="A29:J34" xr:uid="{BED6A772-1908-452F-9152-82DB710174C7}"/>
  <tableColumns count="10">
    <tableColumn id="1" xr3:uid="{A666672A-45DA-4EE5-917F-B38AC747B54C}" name="Ubicación Bodega" dataDxfId="72"/>
    <tableColumn id="2" xr3:uid="{E95C4728-E178-48EB-8FE2-EC85ECCBE9E3}" name="Enero" dataDxfId="71"/>
    <tableColumn id="3" xr3:uid="{E2DDED2E-B83B-4453-AF3C-49DD52D14FF8}" name="Marzo" dataDxfId="70"/>
    <tableColumn id="4" xr3:uid="{55D5BFE0-A5F8-4F89-8B77-03B1277B46B2}" name="Mayo" dataDxfId="69"/>
    <tableColumn id="5" xr3:uid="{694ED26D-D175-44B4-834C-63CD0B7213DA}" name="Junio" dataDxfId="68"/>
    <tableColumn id="6" xr3:uid="{E46D2BB5-BEEC-44AF-82DD-2D3004147D23}" name="Julio" dataDxfId="67"/>
    <tableColumn id="7" xr3:uid="{BEE386DC-720D-4A93-9E21-8CC516C03872}" name="Septiembre" dataDxfId="66"/>
    <tableColumn id="8" xr3:uid="{6043782B-E8ED-40DA-A955-2A78580C12C4}" name="Octubre" dataDxfId="65"/>
    <tableColumn id="9" xr3:uid="{89E36341-B78A-4A66-963F-D00E469CAC67}" name="Noviembre" dataDxfId="64"/>
    <tableColumn id="10" xr3:uid="{66027175-C30E-4992-AA7E-5445A8049159}" name="Total" dataDxfId="63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10AE298-B507-451B-8656-169BD0AC352A}" name="Tabla922" displayName="Tabla922" ref="A38:N43" totalsRowShown="0" headerRowDxfId="62" dataDxfId="60" headerRowBorderDxfId="61" tableBorderDxfId="59">
  <autoFilter ref="A38:N43" xr:uid="{910AE298-B507-451B-8656-169BD0AC352A}"/>
  <tableColumns count="14">
    <tableColumn id="1" xr3:uid="{4498025A-3855-4897-9F62-0B11DE1036A5}" name="Ubicación Bodega" dataDxfId="58"/>
    <tableColumn id="2" xr3:uid="{5EFE319C-1CDC-4968-9924-783B66338AAA}" name="Enero" dataDxfId="57"/>
    <tableColumn id="3" xr3:uid="{562A7581-354D-4C24-B626-E6F04A4756B7}" name="Febrero" dataDxfId="56"/>
    <tableColumn id="4" xr3:uid="{3674CEF6-26F1-42D4-9838-802F757D6E38}" name="Marzo" dataDxfId="55"/>
    <tableColumn id="5" xr3:uid="{BC4684D0-EF9D-4135-9281-E95395D46E67}" name="Abril" dataDxfId="54"/>
    <tableColumn id="6" xr3:uid="{4C2B6817-F735-41AE-BA45-D629B45E7EA2}" name="Mayo" dataDxfId="53"/>
    <tableColumn id="7" xr3:uid="{59A4194F-8B49-4BB0-9D19-694CBFDD6665}" name="Junio" dataDxfId="52"/>
    <tableColumn id="8" xr3:uid="{89537D8B-7928-444D-BA25-8F2D3AA37847}" name="Julio" dataDxfId="51"/>
    <tableColumn id="9" xr3:uid="{FA307DD6-2913-4282-A7B5-E6C895BD8B44}" name="Agosto" dataDxfId="50"/>
    <tableColumn id="10" xr3:uid="{AC40EFA4-9306-4814-81A4-CCFD207A6533}" name="Septiembre" dataDxfId="49"/>
    <tableColumn id="11" xr3:uid="{F79F6948-68F5-42E0-B779-D50DFFC2620C}" name="Octubre" dataDxfId="48"/>
    <tableColumn id="12" xr3:uid="{5D37C49B-6299-4519-B40F-2ACA3574CC5E}" name="Noviembre" dataDxfId="47"/>
    <tableColumn id="13" xr3:uid="{545E7A79-2C57-4BA8-8778-77F96330A41F}" name="Diciembre" dataDxfId="46"/>
    <tableColumn id="14" xr3:uid="{3F13173C-9623-47A1-90D1-BCA68C123523}" name="Total" dataDxfId="45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5256BFD-C5F4-492A-BF44-FCBCF057C7C3}" name="Tabla98" displayName="Tabla98" ref="A48:N53" totalsRowShown="0" headerRowDxfId="44" dataDxfId="42" headerRowBorderDxfId="43" tableBorderDxfId="41">
  <autoFilter ref="A48:N53" xr:uid="{E5256BFD-C5F4-492A-BF44-FCBCF057C7C3}"/>
  <tableColumns count="14">
    <tableColumn id="1" xr3:uid="{A5D5819A-AE88-4C1D-B3DB-EE3798588853}" name="Ubicación Bodega" dataDxfId="40"/>
    <tableColumn id="2" xr3:uid="{DA13EB22-7D52-42C1-BCDD-25A5C1828700}" name="Enero" dataDxfId="39">
      <calculatedColumnFormula>SUBTOTAL(109,B45:B48)</calculatedColumnFormula>
    </tableColumn>
    <tableColumn id="3" xr3:uid="{FAD81376-33EA-478F-848B-AB8695680694}" name="Febrero" dataDxfId="38"/>
    <tableColumn id="4" xr3:uid="{8E4D836D-B578-4BCA-BB17-F4647AB43BE1}" name="Marzo" dataDxfId="37"/>
    <tableColumn id="5" xr3:uid="{CACB177F-8731-45A7-AC65-71D7DED0E2B8}" name="Abril" dataDxfId="36"/>
    <tableColumn id="6" xr3:uid="{E31414D9-4D31-4CE7-94DB-00DF027C67B5}" name="Mayo" dataDxfId="35"/>
    <tableColumn id="7" xr3:uid="{25EF3B23-0E29-4B0C-AF2F-2E70BAAB57E4}" name="Junio" dataDxfId="34"/>
    <tableColumn id="8" xr3:uid="{32DB7741-6CD2-461A-A838-17D53898E8EE}" name="Julio" dataDxfId="33"/>
    <tableColumn id="9" xr3:uid="{0BF093B5-AFA6-4AAB-9166-9FE8BF1874E4}" name="Agosto" dataDxfId="32"/>
    <tableColumn id="10" xr3:uid="{21DA0B7B-901C-455D-BC29-0654CD11B48C}" name="Septiembre" dataDxfId="31"/>
    <tableColumn id="11" xr3:uid="{105D2A98-E64C-4B2F-BEC6-9F9BC2558B52}" name="Octubre" dataDxfId="30"/>
    <tableColumn id="12" xr3:uid="{79CEFD2A-C211-4676-A616-C3715C4285F4}" name="Noviembre" dataDxfId="29"/>
    <tableColumn id="13" xr3:uid="{744A59B5-99F1-404C-A017-E9EB6ADB55D6}" name="Diciembre" dataDxfId="28"/>
    <tableColumn id="14" xr3:uid="{343AEFAC-C211-41E1-A75F-D9AE697064E5}" name="Total" dataDxfId="27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8CE9B0D-FD21-4107-91A7-AADBF1FFBA97}" name="Tabla1223" displayName="Tabla1223" ref="A59:D65" totalsRowShown="0" headerRowDxfId="7" dataDxfId="5" headerRowBorderDxfId="6" tableBorderDxfId="4">
  <autoFilter ref="A59:D65" xr:uid="{18CE9B0D-FD21-4107-91A7-AADBF1FFBA97}"/>
  <tableColumns count="4">
    <tableColumn id="1" xr3:uid="{E317A8FC-0257-4006-BEF9-C8FEA1821F3B}" name="Ciudad" dataDxfId="3"/>
    <tableColumn id="2" xr3:uid="{9704BEB1-0C1A-47DF-96B8-1E9A5C365A49}" name="Bodega" dataDxfId="2"/>
    <tableColumn id="3" xr3:uid="{09167EBF-A336-499F-AD02-BBF113F55227}" name="Cajas X-200" dataDxfId="1"/>
    <tableColumn id="4" xr3:uid="{F935597E-6F2D-4BF0-B365-A63283D15D89}" name="Cajas X-300" dataDxfId="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la11" displayName="Tabla11" ref="A3:D31" totalsRowShown="0" headerRowDxfId="139" dataDxfId="137" headerRowBorderDxfId="138" tableBorderDxfId="136">
  <autoFilter ref="A3:D31" xr:uid="{00000000-0009-0000-0100-00000B000000}"/>
  <tableColumns count="4">
    <tableColumn id="1" xr3:uid="{00000000-0010-0000-0F00-000001000000}" name="Sucursal" dataDxfId="135"/>
    <tableColumn id="2" xr3:uid="{00000000-0010-0000-0F00-000002000000}" name="Carpetas" dataDxfId="134"/>
    <tableColumn id="3" xr3:uid="{00000000-0010-0000-0F00-000003000000}" name="AZ" dataDxfId="133"/>
    <tableColumn id="4" xr3:uid="{00000000-0010-0000-0F00-000004000000}" name="Cajas X-200" dataDxfId="13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:O27" totalsRowShown="0" headerRowDxfId="294" dataDxfId="292" headerRowBorderDxfId="293">
  <autoFilter ref="A2:O27" xr:uid="{00000000-0009-0000-0100-000002000000}"/>
  <sortState xmlns:xlrd2="http://schemas.microsoft.com/office/spreadsheetml/2017/richdata2" ref="A3:M26">
    <sortCondition ref="A2:A26"/>
  </sortState>
  <tableColumns count="15">
    <tableColumn id="1" xr3:uid="{00000000-0010-0000-0100-000001000000}" name="Sucursal" dataDxfId="291"/>
    <tableColumn id="2" xr3:uid="{00000000-0010-0000-0100-000002000000}" name="Enero" dataDxfId="290"/>
    <tableColumn id="3" xr3:uid="{00000000-0010-0000-0100-000003000000}" name="Febrero" dataDxfId="289"/>
    <tableColumn id="4" xr3:uid="{00000000-0010-0000-0100-000004000000}" name="Marzo" dataDxfId="288"/>
    <tableColumn id="5" xr3:uid="{00000000-0010-0000-0100-000005000000}" name="Abril" dataDxfId="287"/>
    <tableColumn id="6" xr3:uid="{00000000-0010-0000-0100-000006000000}" name="Mayo" dataDxfId="286"/>
    <tableColumn id="7" xr3:uid="{00000000-0010-0000-0100-000007000000}" name="Junio" dataDxfId="285"/>
    <tableColumn id="8" xr3:uid="{00000000-0010-0000-0100-000008000000}" name="Julio" dataDxfId="284"/>
    <tableColumn id="9" xr3:uid="{00000000-0010-0000-0100-000009000000}" name="Agosto" dataDxfId="283"/>
    <tableColumn id="10" xr3:uid="{00000000-0010-0000-0100-00000A000000}" name="Septiembre" dataDxfId="282"/>
    <tableColumn id="11" xr3:uid="{00000000-0010-0000-0100-00000B000000}" name="Octubre" dataDxfId="281"/>
    <tableColumn id="12" xr3:uid="{00000000-0010-0000-0100-00000C000000}" name="Noviembre" dataDxfId="280"/>
    <tableColumn id="13" xr3:uid="{00000000-0010-0000-0100-00000D000000}" name="Diciembre" dataDxfId="279"/>
    <tableColumn id="14" xr3:uid="{00000000-0010-0000-0100-00000E000000}" name="Total Sucursal" dataDxfId="278">
      <calculatedColumnFormula>SUM(Tabla13[[#This Row],[Enero]:[Diciembre]])</calculatedColumnFormula>
    </tableColumn>
    <tableColumn id="15" xr3:uid="{00000000-0010-0000-0100-00000F000000}" name="Promedio Sucursal" dataDxfId="277">
      <calculatedColumnFormula>AVERAGE(Tabla13[[#This Row],[Enero]:[Diciembre]])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bla15" displayName="Tabla15" ref="Q2:AC27" totalsRowShown="0" headerRowDxfId="276" headerRowBorderDxfId="275" tableBorderDxfId="274" totalsRowBorderDxfId="273">
  <autoFilter ref="Q2:AC27" xr:uid="{00000000-0009-0000-0100-00000F000000}"/>
  <tableColumns count="13">
    <tableColumn id="1" xr3:uid="{00000000-0010-0000-0200-000001000000}" name="Sucursal" dataDxfId="272"/>
    <tableColumn id="2" xr3:uid="{00000000-0010-0000-0200-000002000000}" name="Enero" dataDxfId="271"/>
    <tableColumn id="3" xr3:uid="{00000000-0010-0000-0200-000003000000}" name="Febrero" dataDxfId="270"/>
    <tableColumn id="4" xr3:uid="{00000000-0010-0000-0200-000004000000}" name="Marzo" dataDxfId="269"/>
    <tableColumn id="5" xr3:uid="{00000000-0010-0000-0200-000005000000}" name="Abril" dataDxfId="268"/>
    <tableColumn id="6" xr3:uid="{00000000-0010-0000-0200-000006000000}" name="Mayo" dataDxfId="267"/>
    <tableColumn id="7" xr3:uid="{00000000-0010-0000-0200-000007000000}" name="Junio" dataDxfId="266"/>
    <tableColumn id="8" xr3:uid="{00000000-0010-0000-0200-000008000000}" name="Julio" dataDxfId="265"/>
    <tableColumn id="11" xr3:uid="{CB86D752-1980-493D-B23D-1534155CE2CB}" name="Agosto" dataDxfId="264"/>
    <tableColumn id="12" xr3:uid="{AAE88E22-81CA-4CF5-B979-36CF990AD8C6}" name="Septiembre" dataDxfId="263"/>
    <tableColumn id="13" xr3:uid="{294E3D41-0FF1-487A-AB78-541CD9622497}" name="Octubre" dataDxfId="262">
      <calculatedColumnFormula>+Tabla15[[#This Row],[Julio]]-3</calculatedColumnFormula>
    </tableColumn>
    <tableColumn id="9" xr3:uid="{00000000-0010-0000-0200-000009000000}" name="Total Sucursal" dataDxfId="261"/>
    <tableColumn id="10" xr3:uid="{00000000-0010-0000-0200-00000A000000}" name="Promedio Sucursal" dataDxfId="26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2:O37" totalsRowShown="0">
  <autoFilter ref="A2:O37" xr:uid="{00000000-0009-0000-0100-000003000000}"/>
  <tableColumns count="15">
    <tableColumn id="1" xr3:uid="{00000000-0010-0000-0300-000001000000}" name="Sucursal" dataDxfId="259"/>
    <tableColumn id="2" xr3:uid="{00000000-0010-0000-0300-000002000000}" name="Enero" dataDxfId="258"/>
    <tableColumn id="3" xr3:uid="{00000000-0010-0000-0300-000003000000}" name="Febrero" dataDxfId="257"/>
    <tableColumn id="4" xr3:uid="{00000000-0010-0000-0300-000004000000}" name="Marzo" dataDxfId="256"/>
    <tableColumn id="5" xr3:uid="{00000000-0010-0000-0300-000005000000}" name="Abril" dataDxfId="255"/>
    <tableColumn id="6" xr3:uid="{00000000-0010-0000-0300-000006000000}" name="Mayo" dataDxfId="254"/>
    <tableColumn id="7" xr3:uid="{00000000-0010-0000-0300-000007000000}" name="Junio" dataDxfId="253"/>
    <tableColumn id="8" xr3:uid="{00000000-0010-0000-0300-000008000000}" name="Julio" dataDxfId="252"/>
    <tableColumn id="9" xr3:uid="{00000000-0010-0000-0300-000009000000}" name="Agosto" dataDxfId="251"/>
    <tableColumn id="10" xr3:uid="{00000000-0010-0000-0300-00000A000000}" name="Septiembre" dataDxfId="250"/>
    <tableColumn id="11" xr3:uid="{00000000-0010-0000-0300-00000B000000}" name="Octubre" dataDxfId="249"/>
    <tableColumn id="12" xr3:uid="{00000000-0010-0000-0300-00000C000000}" name="Noviembre" dataDxfId="248"/>
    <tableColumn id="13" xr3:uid="{00000000-0010-0000-0300-00000D000000}" name="Diciembre" dataDxfId="247"/>
    <tableColumn id="14" xr3:uid="{00000000-0010-0000-0300-00000E000000}" name="Total Sucursal " dataDxfId="246">
      <calculatedColumnFormula>SUM(Tabla3[[#This Row],[Enero]:[Diciembre]])</calculatedColumnFormula>
    </tableColumn>
    <tableColumn id="15" xr3:uid="{00000000-0010-0000-0300-00000F000000}" name="Promedio Sucursal" dataDxfId="245">
      <calculatedColumnFormula>AVERAGE(Tabla3[[#This Row],[Enero]:[Diciembre]])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a314" displayName="Tabla314" ref="R2:AF38" totalsRowShown="0">
  <autoFilter ref="R2:AF38" xr:uid="{00000000-0009-0000-0100-00000D000000}"/>
  <tableColumns count="15">
    <tableColumn id="1" xr3:uid="{00000000-0010-0000-0400-000001000000}" name="Sucursal" dataDxfId="244"/>
    <tableColumn id="2" xr3:uid="{00000000-0010-0000-0400-000002000000}" name="Enero" dataDxfId="243"/>
    <tableColumn id="3" xr3:uid="{00000000-0010-0000-0400-000003000000}" name="Febrero" dataDxfId="242"/>
    <tableColumn id="4" xr3:uid="{00000000-0010-0000-0400-000004000000}" name="Marzo" dataDxfId="241"/>
    <tableColumn id="5" xr3:uid="{00000000-0010-0000-0400-000005000000}" name="Abril" dataDxfId="240"/>
    <tableColumn id="6" xr3:uid="{00000000-0010-0000-0400-000006000000}" name="Mayo" dataDxfId="239"/>
    <tableColumn id="7" xr3:uid="{00000000-0010-0000-0400-000007000000}" name="Junio" dataDxfId="238"/>
    <tableColumn id="8" xr3:uid="{00000000-0010-0000-0400-000008000000}" name="Julio" dataDxfId="237"/>
    <tableColumn id="9" xr3:uid="{00000000-0010-0000-0400-000009000000}" name="Agosto" dataDxfId="236"/>
    <tableColumn id="10" xr3:uid="{00000000-0010-0000-0400-00000A000000}" name="Septiembre" dataDxfId="235"/>
    <tableColumn id="11" xr3:uid="{00000000-0010-0000-0400-00000B000000}" name="Octubre" dataDxfId="234"/>
    <tableColumn id="12" xr3:uid="{00000000-0010-0000-0400-00000C000000}" name="Noviembre" dataDxfId="233"/>
    <tableColumn id="13" xr3:uid="{00000000-0010-0000-0400-00000D000000}" name="Diciembre" dataDxfId="232"/>
    <tableColumn id="14" xr3:uid="{00000000-0010-0000-0400-00000E000000}" name="Total Sucursal " dataDxfId="231">
      <calculatedColumnFormula>SUM(Tabla314[[#This Row],[Enero]:[Diciembre]])</calculatedColumnFormula>
    </tableColumn>
    <tableColumn id="15" xr3:uid="{00000000-0010-0000-0400-00000F000000}" name="Promedio Sucursal" dataDxfId="230">
      <calculatedColumnFormula>AVERAGE(Tabla314[[#This Row],[Enero]:[Diciembre]])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10" displayName="Tabla10" ref="A3:AA29" totalsRowCount="1" headerRowDxfId="229">
  <autoFilter ref="A3:AA28" xr:uid="{00000000-0009-0000-0100-00000A000000}"/>
  <tableColumns count="27">
    <tableColumn id="1" xr3:uid="{00000000-0010-0000-0500-000001000000}" name="Sucursal" dataDxfId="228" totalsRowDxfId="131"/>
    <tableColumn id="2" xr3:uid="{00000000-0010-0000-0500-000002000000}" name="Consultas1" dataDxfId="227" totalsRowDxfId="130"/>
    <tableColumn id="14" xr3:uid="{00000000-0010-0000-0500-00000E000000}" name="Prestamos atendidos" dataDxfId="226" totalsRowDxfId="129"/>
    <tableColumn id="3" xr3:uid="{00000000-0010-0000-0500-000003000000}" name="Consultas2" dataDxfId="225" totalsRowDxfId="128"/>
    <tableColumn id="15" xr3:uid="{00000000-0010-0000-0500-00000F000000}" name="Prestamos atendidos2" dataDxfId="224" totalsRowDxfId="127"/>
    <tableColumn id="4" xr3:uid="{00000000-0010-0000-0500-000004000000}" name="Consultas3" dataDxfId="223" totalsRowDxfId="126"/>
    <tableColumn id="16" xr3:uid="{00000000-0010-0000-0500-000010000000}" name="Prestamos atendidos3" dataDxfId="222" totalsRowDxfId="125"/>
    <tableColumn id="5" xr3:uid="{00000000-0010-0000-0500-000005000000}" name="Consultas4" dataDxfId="221" totalsRowDxfId="124"/>
    <tableColumn id="17" xr3:uid="{00000000-0010-0000-0500-000011000000}" name="Prestamos atendidos4" dataDxfId="220" totalsRowDxfId="123"/>
    <tableColumn id="6" xr3:uid="{00000000-0010-0000-0500-000006000000}" name="Consultas5" dataDxfId="219" totalsRowDxfId="122"/>
    <tableColumn id="18" xr3:uid="{00000000-0010-0000-0500-000012000000}" name="Prestamos atendidos5" dataDxfId="218" totalsRowDxfId="121"/>
    <tableColumn id="7" xr3:uid="{00000000-0010-0000-0500-000007000000}" name="Consultas6" dataDxfId="217" totalsRowDxfId="120"/>
    <tableColumn id="19" xr3:uid="{00000000-0010-0000-0500-000013000000}" name="Prestamos atendidos6" dataDxfId="216" totalsRowDxfId="119"/>
    <tableColumn id="8" xr3:uid="{00000000-0010-0000-0500-000008000000}" name="Consultas7" dataDxfId="215" totalsRowDxfId="118"/>
    <tableColumn id="20" xr3:uid="{00000000-0010-0000-0500-000014000000}" name="Prestamos atendidos7" dataDxfId="214" totalsRowDxfId="117"/>
    <tableColumn id="9" xr3:uid="{00000000-0010-0000-0500-000009000000}" name="Consultas8" dataDxfId="213" totalsRowDxfId="116"/>
    <tableColumn id="21" xr3:uid="{00000000-0010-0000-0500-000015000000}" name="Prestamos atendidos8" dataDxfId="212" totalsRowDxfId="115"/>
    <tableColumn id="10" xr3:uid="{00000000-0010-0000-0500-00000A000000}" name="Consultas9" dataDxfId="211" totalsRowDxfId="114"/>
    <tableColumn id="22" xr3:uid="{00000000-0010-0000-0500-000016000000}" name="Prestamos atendidos9" dataDxfId="210" totalsRowDxfId="113"/>
    <tableColumn id="11" xr3:uid="{00000000-0010-0000-0500-00000B000000}" name="Consultas10" dataDxfId="209" totalsRowDxfId="112"/>
    <tableColumn id="23" xr3:uid="{00000000-0010-0000-0500-000017000000}" name="Prestamos atendidos10" dataDxfId="208" totalsRowDxfId="111"/>
    <tableColumn id="12" xr3:uid="{00000000-0010-0000-0500-00000C000000}" name="Consultas11" dataDxfId="207" totalsRowDxfId="110"/>
    <tableColumn id="24" xr3:uid="{00000000-0010-0000-0500-000018000000}" name="Prestamos atendidos11" dataDxfId="206" totalsRowDxfId="109"/>
    <tableColumn id="13" xr3:uid="{00000000-0010-0000-0500-00000D000000}" name="Consultas12" dataDxfId="205" totalsRowDxfId="108"/>
    <tableColumn id="25" xr3:uid="{00000000-0010-0000-0500-000019000000}" name="Prestamos atendidos12" dataDxfId="204" totalsRowDxfId="107"/>
    <tableColumn id="26" xr3:uid="{00000000-0010-0000-0500-00001A000000}" name="Total Consultas" dataDxfId="203" totalsRowDxfId="106">
      <calculatedColumnFormula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calculatedColumnFormula>
    </tableColumn>
    <tableColumn id="28" xr3:uid="{00000000-0010-0000-0500-00001C000000}" name="Total Prestamos" dataDxfId="202" totalsRowDxfId="105">
      <calculatedColumnFormula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Tabla1015" displayName="Tabla1015" ref="A37:AA62" totalsRowShown="0" headerRowDxfId="201">
  <autoFilter ref="A37:AA62" xr:uid="{00000000-0009-0000-0100-00000E000000}"/>
  <tableColumns count="27">
    <tableColumn id="1" xr3:uid="{00000000-0010-0000-0600-000001000000}" name="Sucursal" dataDxfId="200"/>
    <tableColumn id="2" xr3:uid="{00000000-0010-0000-0600-000002000000}" name="Consultas1" dataDxfId="199"/>
    <tableColumn id="14" xr3:uid="{00000000-0010-0000-0600-00000E000000}" name="Prestamos atendidos" dataDxfId="198"/>
    <tableColumn id="3" xr3:uid="{00000000-0010-0000-0600-000003000000}" name="Consultas2" dataDxfId="197"/>
    <tableColumn id="15" xr3:uid="{00000000-0010-0000-0600-00000F000000}" name="Prestamos atendidos2" dataDxfId="196"/>
    <tableColumn id="4" xr3:uid="{00000000-0010-0000-0600-000004000000}" name="Consultas3" dataDxfId="195"/>
    <tableColumn id="16" xr3:uid="{00000000-0010-0000-0600-000010000000}" name="Prestamos atendidos3" dataDxfId="194"/>
    <tableColumn id="5" xr3:uid="{00000000-0010-0000-0600-000005000000}" name="Consultas4" dataDxfId="193"/>
    <tableColumn id="17" xr3:uid="{00000000-0010-0000-0600-000011000000}" name="Prestamos atendidos4" dataDxfId="192"/>
    <tableColumn id="6" xr3:uid="{00000000-0010-0000-0600-000006000000}" name="Consultas5" dataDxfId="191"/>
    <tableColumn id="18" xr3:uid="{00000000-0010-0000-0600-000012000000}" name="Prestamos atendidos5" dataDxfId="190"/>
    <tableColumn id="7" xr3:uid="{00000000-0010-0000-0600-000007000000}" name="Consultas6" dataDxfId="189"/>
    <tableColumn id="19" xr3:uid="{00000000-0010-0000-0600-000013000000}" name="Prestamos atendidos6" dataDxfId="188"/>
    <tableColumn id="8" xr3:uid="{00000000-0010-0000-0600-000008000000}" name="Consultas7" dataDxfId="187"/>
    <tableColumn id="20" xr3:uid="{00000000-0010-0000-0600-000014000000}" name="Prestamos atendidos7" dataDxfId="186"/>
    <tableColumn id="9" xr3:uid="{00000000-0010-0000-0600-000009000000}" name="Consultas8" dataDxfId="185"/>
    <tableColumn id="21" xr3:uid="{00000000-0010-0000-0600-000015000000}" name="Prestamos atendidos8" dataDxfId="184"/>
    <tableColumn id="10" xr3:uid="{00000000-0010-0000-0600-00000A000000}" name="Consultas9" dataDxfId="183"/>
    <tableColumn id="22" xr3:uid="{00000000-0010-0000-0600-000016000000}" name="Prestamos atendidos9" dataDxfId="182"/>
    <tableColumn id="11" xr3:uid="{00000000-0010-0000-0600-00000B000000}" name="Consultas10" dataDxfId="181"/>
    <tableColumn id="23" xr3:uid="{00000000-0010-0000-0600-000017000000}" name="Prestamos atendidos10" dataDxfId="180"/>
    <tableColumn id="12" xr3:uid="{00000000-0010-0000-0600-00000C000000}" name="Consultas11" dataDxfId="179"/>
    <tableColumn id="24" xr3:uid="{00000000-0010-0000-0600-000018000000}" name="Prestamos atendidos11" dataDxfId="178"/>
    <tableColumn id="13" xr3:uid="{00000000-0010-0000-0600-00000D000000}" name="Consultas12" dataDxfId="177"/>
    <tableColumn id="25" xr3:uid="{00000000-0010-0000-0600-000019000000}" name="Prestamos atendidos12" dataDxfId="176"/>
    <tableColumn id="26" xr3:uid="{00000000-0010-0000-0600-00001A000000}" name="Total Consultas" dataDxfId="175">
      <calculatedColumnFormula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calculatedColumnFormula>
    </tableColumn>
    <tableColumn id="28" xr3:uid="{00000000-0010-0000-0600-00001C000000}" name="Total Prestamos" dataDxfId="174">
      <calculatedColumnFormula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a4" displayName="Tabla4" ref="A2:M27" totalsRowShown="0" headerRowDxfId="173" dataDxfId="171" headerRowBorderDxfId="172" tableBorderDxfId="170">
  <autoFilter ref="A2:M27" xr:uid="{00000000-0009-0000-0100-000004000000}"/>
  <tableColumns count="13">
    <tableColumn id="1" xr3:uid="{00000000-0010-0000-0700-000001000000}" name="Sucursal" dataDxfId="169"/>
    <tableColumn id="2" xr3:uid="{00000000-0010-0000-0700-000002000000}" name="Febrero" dataDxfId="168"/>
    <tableColumn id="3" xr3:uid="{00000000-0010-0000-0700-000003000000}" name="Marzo" dataDxfId="167"/>
    <tableColumn id="4" xr3:uid="{00000000-0010-0000-0700-000004000000}" name="Abril" dataDxfId="166"/>
    <tableColumn id="5" xr3:uid="{00000000-0010-0000-0700-000005000000}" name="Mayo" dataDxfId="165"/>
    <tableColumn id="6" xr3:uid="{00000000-0010-0000-0700-000006000000}" name="Junio" dataDxfId="164"/>
    <tableColumn id="7" xr3:uid="{00000000-0010-0000-0700-000007000000}" name="Julio" dataDxfId="163"/>
    <tableColumn id="8" xr3:uid="{00000000-0010-0000-0700-000008000000}" name="Agosto" dataDxfId="162"/>
    <tableColumn id="9" xr3:uid="{00000000-0010-0000-0700-000009000000}" name="Septiembre" dataDxfId="161"/>
    <tableColumn id="10" xr3:uid="{00000000-0010-0000-0700-00000A000000}" name="Octubre" dataDxfId="160"/>
    <tableColumn id="11" xr3:uid="{00000000-0010-0000-0700-00000B000000}" name="Diciembre" dataDxfId="159"/>
    <tableColumn id="12" xr3:uid="{00000000-0010-0000-0700-00000C000000}" name="Total Sucursal" dataDxfId="158">
      <calculatedColumnFormula>SUM(Tabla4[[#This Row],[Febrero]:[Diciembre]])</calculatedColumnFormula>
    </tableColumn>
    <tableColumn id="13" xr3:uid="{00000000-0010-0000-0700-00000D000000}" name="Promedio" dataDxfId="157">
      <calculatedColumnFormula>AVERAGE(Tabla4[[#This Row],[Febrero]:[Diciembre]])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la417" displayName="Tabla417" ref="A31:M56" totalsRowShown="0" headerRowDxfId="156" dataDxfId="154" headerRowBorderDxfId="155" tableBorderDxfId="153">
  <autoFilter ref="A31:M56" xr:uid="{00000000-0009-0000-0100-000010000000}"/>
  <tableColumns count="13">
    <tableColumn id="1" xr3:uid="{00000000-0010-0000-0800-000001000000}" name="Sucursal" dataDxfId="152"/>
    <tableColumn id="2" xr3:uid="{00000000-0010-0000-0800-000002000000}" name="Febrero" dataDxfId="151"/>
    <tableColumn id="3" xr3:uid="{00000000-0010-0000-0800-000003000000}" name="Marzo" dataDxfId="150"/>
    <tableColumn id="4" xr3:uid="{00000000-0010-0000-0800-000004000000}" name="Abril" dataDxfId="149"/>
    <tableColumn id="5" xr3:uid="{00000000-0010-0000-0800-000005000000}" name="Mayo" dataDxfId="148"/>
    <tableColumn id="6" xr3:uid="{00000000-0010-0000-0800-000006000000}" name="Junio" dataDxfId="147"/>
    <tableColumn id="7" xr3:uid="{00000000-0010-0000-0800-000007000000}" name="Julio" dataDxfId="146"/>
    <tableColumn id="8" xr3:uid="{00000000-0010-0000-0800-000008000000}" name="Agosto" dataDxfId="145"/>
    <tableColumn id="9" xr3:uid="{00000000-0010-0000-0800-000009000000}" name="Septiembre" dataDxfId="144"/>
    <tableColumn id="10" xr3:uid="{00000000-0010-0000-0800-00000A000000}" name="Octubre" dataDxfId="143"/>
    <tableColumn id="11" xr3:uid="{00000000-0010-0000-0800-00000B000000}" name="Diciembre" dataDxfId="142"/>
    <tableColumn id="12" xr3:uid="{00000000-0010-0000-0800-00000C000000}" name="Total Sucursal" dataDxfId="141">
      <calculatedColumnFormula>SUM(Tabla417[[#This Row],[Febrero]:[Diciembre]])</calculatedColumnFormula>
    </tableColumn>
    <tableColumn id="13" xr3:uid="{00000000-0010-0000-0800-00000D000000}" name="Promedio" dataDxfId="140">
      <calculatedColumnFormula>AVERAGE(Tabla417[[#This Row],[Febrero]:[Diciembre]])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opLeftCell="N8" zoomScale="70" zoomScaleNormal="70" workbookViewId="0">
      <selection activeCell="W32" sqref="W32"/>
    </sheetView>
  </sheetViews>
  <sheetFormatPr baseColWidth="10" defaultColWidth="11.453125" defaultRowHeight="14.5" x14ac:dyDescent="0.35"/>
  <cols>
    <col min="1" max="1" width="25.1796875" customWidth="1"/>
    <col min="2" max="2" width="9.1796875" customWidth="1"/>
    <col min="3" max="3" width="10.1796875" customWidth="1"/>
    <col min="4" max="4" width="9.453125" customWidth="1"/>
    <col min="5" max="5" width="8" customWidth="1"/>
    <col min="6" max="6" width="9" customWidth="1"/>
    <col min="7" max="7" width="9.1796875" customWidth="1"/>
    <col min="8" max="8" width="8.453125" customWidth="1"/>
    <col min="9" max="9" width="9.54296875" customWidth="1"/>
    <col min="10" max="10" width="13.54296875" customWidth="1"/>
    <col min="12" max="12" width="13.453125" customWidth="1"/>
    <col min="13" max="13" width="12" customWidth="1"/>
    <col min="14" max="14" width="16.1796875" customWidth="1"/>
    <col min="15" max="15" width="19.54296875" customWidth="1"/>
    <col min="17" max="17" width="25.1796875" customWidth="1"/>
    <col min="18" max="18" width="9.1796875" customWidth="1"/>
    <col min="19" max="19" width="10.1796875" customWidth="1"/>
    <col min="20" max="20" width="9.453125" customWidth="1"/>
    <col min="21" max="21" width="8" customWidth="1"/>
    <col min="22" max="22" width="9" customWidth="1"/>
    <col min="23" max="23" width="9.1796875" customWidth="1"/>
    <col min="24" max="24" width="8.453125" customWidth="1"/>
    <col min="25" max="25" width="11.26953125" customWidth="1"/>
    <col min="26" max="26" width="13.453125" customWidth="1"/>
    <col min="27" max="27" width="12.08984375" customWidth="1"/>
    <col min="28" max="28" width="13.54296875" customWidth="1"/>
    <col min="29" max="29" width="20.1796875" customWidth="1"/>
  </cols>
  <sheetData>
    <row r="1" spans="1:29" ht="22.5" customHeight="1" x14ac:dyDescent="0.35">
      <c r="A1" s="6" t="s">
        <v>0</v>
      </c>
      <c r="B1" s="102"/>
      <c r="Q1" s="6" t="s">
        <v>1</v>
      </c>
    </row>
    <row r="2" spans="1:29" x14ac:dyDescent="0.35">
      <c r="A2" s="117" t="s">
        <v>2</v>
      </c>
      <c r="B2" s="118" t="s">
        <v>3</v>
      </c>
      <c r="C2" s="118" t="s">
        <v>4</v>
      </c>
      <c r="D2" s="118" t="s">
        <v>5</v>
      </c>
      <c r="E2" s="118" t="s">
        <v>6</v>
      </c>
      <c r="F2" s="118" t="s">
        <v>7</v>
      </c>
      <c r="G2" s="118" t="s">
        <v>8</v>
      </c>
      <c r="H2" s="118" t="s">
        <v>9</v>
      </c>
      <c r="I2" s="118" t="s">
        <v>10</v>
      </c>
      <c r="J2" s="118" t="s">
        <v>11</v>
      </c>
      <c r="K2" s="118" t="s">
        <v>12</v>
      </c>
      <c r="L2" s="118" t="s">
        <v>13</v>
      </c>
      <c r="M2" s="118" t="s">
        <v>14</v>
      </c>
      <c r="N2" s="119" t="s">
        <v>15</v>
      </c>
      <c r="O2" s="120" t="s">
        <v>16</v>
      </c>
      <c r="Q2" s="103" t="s">
        <v>2</v>
      </c>
      <c r="R2" s="103" t="s">
        <v>3</v>
      </c>
      <c r="S2" s="103" t="s">
        <v>4</v>
      </c>
      <c r="T2" s="103" t="s">
        <v>5</v>
      </c>
      <c r="U2" s="103" t="s">
        <v>6</v>
      </c>
      <c r="V2" s="103" t="s">
        <v>7</v>
      </c>
      <c r="W2" s="103" t="s">
        <v>8</v>
      </c>
      <c r="X2" s="103" t="s">
        <v>9</v>
      </c>
      <c r="Y2" s="103" t="s">
        <v>10</v>
      </c>
      <c r="Z2" s="103" t="s">
        <v>11</v>
      </c>
      <c r="AA2" s="103" t="s">
        <v>12</v>
      </c>
      <c r="AB2" s="104" t="s">
        <v>15</v>
      </c>
      <c r="AC2" s="104" t="s">
        <v>16</v>
      </c>
    </row>
    <row r="3" spans="1:29" x14ac:dyDescent="0.35">
      <c r="A3" s="121" t="s">
        <v>17</v>
      </c>
      <c r="B3" s="110">
        <v>107</v>
      </c>
      <c r="C3" s="110">
        <v>64</v>
      </c>
      <c r="D3" s="110">
        <v>86</v>
      </c>
      <c r="E3" s="110">
        <v>79</v>
      </c>
      <c r="F3" s="110">
        <v>119</v>
      </c>
      <c r="G3" s="111">
        <v>71</v>
      </c>
      <c r="H3" s="110">
        <v>56</v>
      </c>
      <c r="I3" s="110">
        <v>62</v>
      </c>
      <c r="J3" s="110">
        <v>58</v>
      </c>
      <c r="K3" s="110">
        <v>51</v>
      </c>
      <c r="L3" s="110">
        <v>84</v>
      </c>
      <c r="M3" s="110">
        <v>63</v>
      </c>
      <c r="N3" s="122">
        <f>SUM(Tabla1[[#This Row],[Enero]:[Diciembre]])</f>
        <v>900</v>
      </c>
      <c r="O3" s="123">
        <f>AVERAGE(Tabla1[[#This Row],[Enero]:[Diciembre]])</f>
        <v>75</v>
      </c>
      <c r="Q3" s="105" t="s">
        <v>17</v>
      </c>
      <c r="R3" s="106">
        <v>76</v>
      </c>
      <c r="S3" s="106">
        <v>141</v>
      </c>
      <c r="T3" s="106">
        <v>92</v>
      </c>
      <c r="U3" s="106">
        <v>53</v>
      </c>
      <c r="V3" s="106">
        <v>104</v>
      </c>
      <c r="W3" s="107">
        <v>72</v>
      </c>
      <c r="X3" s="106">
        <v>60</v>
      </c>
      <c r="Y3" s="106">
        <v>109</v>
      </c>
      <c r="Z3" s="106">
        <v>29</v>
      </c>
      <c r="AA3" s="106">
        <v>31</v>
      </c>
      <c r="AB3" s="108">
        <f>+R3+S3+T3+U3+V3+W3+X3+Y3+Z3+AA3</f>
        <v>767</v>
      </c>
      <c r="AC3" s="108">
        <f>+AB3/10</f>
        <v>76.7</v>
      </c>
    </row>
    <row r="4" spans="1:29" x14ac:dyDescent="0.35">
      <c r="A4" s="121" t="s">
        <v>18</v>
      </c>
      <c r="B4" s="110">
        <v>620</v>
      </c>
      <c r="C4" s="110">
        <v>662</v>
      </c>
      <c r="D4" s="110">
        <v>705</v>
      </c>
      <c r="E4" s="110">
        <v>569</v>
      </c>
      <c r="F4" s="110">
        <v>567</v>
      </c>
      <c r="G4" s="111">
        <v>615</v>
      </c>
      <c r="H4" s="110">
        <v>766</v>
      </c>
      <c r="I4" s="110">
        <v>937</v>
      </c>
      <c r="J4" s="110">
        <v>996</v>
      </c>
      <c r="K4" s="110">
        <v>830</v>
      </c>
      <c r="L4" s="110">
        <v>903</v>
      </c>
      <c r="M4" s="110">
        <v>850</v>
      </c>
      <c r="N4" s="122">
        <f>SUM(Tabla1[[#This Row],[Enero]:[Diciembre]])</f>
        <v>9020</v>
      </c>
      <c r="O4" s="123">
        <f>AVERAGE(Tabla1[[#This Row],[Enero]:[Diciembre]])</f>
        <v>751.66666666666663</v>
      </c>
      <c r="Q4" s="109" t="s">
        <v>18</v>
      </c>
      <c r="R4" s="110">
        <v>1041</v>
      </c>
      <c r="S4" s="110">
        <v>1108</v>
      </c>
      <c r="T4" s="110">
        <v>1147</v>
      </c>
      <c r="U4" s="110">
        <v>1032</v>
      </c>
      <c r="V4" s="110">
        <v>898</v>
      </c>
      <c r="W4" s="111">
        <v>948</v>
      </c>
      <c r="X4" s="112">
        <v>878</v>
      </c>
      <c r="Y4" s="112">
        <v>903</v>
      </c>
      <c r="Z4" s="141">
        <v>820</v>
      </c>
      <c r="AA4" s="141">
        <v>825</v>
      </c>
      <c r="AB4" s="142">
        <f t="shared" ref="AB4:AB27" si="0">+R4+S4+T4+U4+V4+W4+X4+Y4+Z4+AA4</f>
        <v>9600</v>
      </c>
      <c r="AC4" s="142">
        <f t="shared" ref="AC4:AC27" si="1">+AB4/10</f>
        <v>960</v>
      </c>
    </row>
    <row r="5" spans="1:29" ht="29" x14ac:dyDescent="0.35">
      <c r="A5" s="124" t="s">
        <v>19</v>
      </c>
      <c r="B5" s="110">
        <v>2174</v>
      </c>
      <c r="C5" s="110">
        <v>2668</v>
      </c>
      <c r="D5" s="110">
        <v>2906</v>
      </c>
      <c r="E5" s="110">
        <v>2995</v>
      </c>
      <c r="F5" s="110">
        <v>3123</v>
      </c>
      <c r="G5" s="111">
        <v>3621</v>
      </c>
      <c r="H5" s="110">
        <v>3315</v>
      </c>
      <c r="I5" s="110">
        <v>3894</v>
      </c>
      <c r="J5" s="110">
        <v>3621</v>
      </c>
      <c r="K5" s="110">
        <v>3689</v>
      </c>
      <c r="L5" s="110">
        <v>3379</v>
      </c>
      <c r="M5" s="110">
        <v>3965</v>
      </c>
      <c r="N5" s="122">
        <f>SUM(Tabla1[[#This Row],[Enero]:[Diciembre]])</f>
        <v>39350</v>
      </c>
      <c r="O5" s="123">
        <f>AVERAGE(Tabla1[[#This Row],[Enero]:[Diciembre]])</f>
        <v>3279.1666666666665</v>
      </c>
      <c r="Q5" s="113" t="s">
        <v>19</v>
      </c>
      <c r="R5" s="106">
        <v>2935</v>
      </c>
      <c r="S5" s="106">
        <v>4558</v>
      </c>
      <c r="T5" s="106">
        <v>3172</v>
      </c>
      <c r="U5" s="106">
        <v>4949</v>
      </c>
      <c r="V5" s="106">
        <v>3421</v>
      </c>
      <c r="W5" s="107">
        <v>5666</v>
      </c>
      <c r="X5" s="106">
        <v>7097</v>
      </c>
      <c r="Y5" s="106">
        <v>3426</v>
      </c>
      <c r="Z5" s="106">
        <v>3247</v>
      </c>
      <c r="AA5" s="106">
        <v>3348</v>
      </c>
      <c r="AB5" s="108">
        <f t="shared" si="0"/>
        <v>41819</v>
      </c>
      <c r="AC5" s="108">
        <f t="shared" si="1"/>
        <v>4181.8999999999996</v>
      </c>
    </row>
    <row r="6" spans="1:29" x14ac:dyDescent="0.35">
      <c r="A6" s="121" t="s">
        <v>20</v>
      </c>
      <c r="B6" s="110">
        <v>162</v>
      </c>
      <c r="C6" s="110">
        <v>161</v>
      </c>
      <c r="D6" s="110">
        <v>37</v>
      </c>
      <c r="E6" s="110">
        <v>23</v>
      </c>
      <c r="F6" s="110">
        <v>48</v>
      </c>
      <c r="G6" s="111">
        <v>61</v>
      </c>
      <c r="H6" s="110">
        <v>60</v>
      </c>
      <c r="I6" s="110">
        <v>397</v>
      </c>
      <c r="J6" s="110">
        <v>409</v>
      </c>
      <c r="K6" s="110">
        <v>604</v>
      </c>
      <c r="L6" s="110">
        <v>1066</v>
      </c>
      <c r="M6" s="110">
        <v>826</v>
      </c>
      <c r="N6" s="122">
        <f>SUM(Tabla1[[#This Row],[Enero]:[Diciembre]])</f>
        <v>3854</v>
      </c>
      <c r="O6" s="123">
        <f>AVERAGE(Tabla1[[#This Row],[Enero]:[Diciembre]])</f>
        <v>321.16666666666669</v>
      </c>
      <c r="Q6" s="109" t="s">
        <v>20</v>
      </c>
      <c r="R6" s="112">
        <v>688</v>
      </c>
      <c r="S6" s="112">
        <v>1069</v>
      </c>
      <c r="T6" s="112">
        <v>744</v>
      </c>
      <c r="U6" s="112">
        <v>1160</v>
      </c>
      <c r="V6" s="112">
        <f>802+192</f>
        <v>994</v>
      </c>
      <c r="W6" s="114">
        <v>1329</v>
      </c>
      <c r="X6" s="112">
        <v>1664</v>
      </c>
      <c r="Y6" s="112">
        <v>999</v>
      </c>
      <c r="Z6" s="141">
        <v>920</v>
      </c>
      <c r="AA6" s="141">
        <v>921</v>
      </c>
      <c r="AB6" s="142">
        <f t="shared" si="0"/>
        <v>10488</v>
      </c>
      <c r="AC6" s="142">
        <f t="shared" si="1"/>
        <v>1048.8</v>
      </c>
    </row>
    <row r="7" spans="1:29" x14ac:dyDescent="0.35">
      <c r="A7" s="121" t="s">
        <v>21</v>
      </c>
      <c r="B7" s="110">
        <v>422</v>
      </c>
      <c r="C7" s="110">
        <v>529</v>
      </c>
      <c r="D7" s="110">
        <v>586</v>
      </c>
      <c r="E7" s="110">
        <v>517</v>
      </c>
      <c r="F7" s="110">
        <v>449</v>
      </c>
      <c r="G7" s="111">
        <v>511</v>
      </c>
      <c r="H7" s="110">
        <v>522</v>
      </c>
      <c r="I7" s="110">
        <v>596</v>
      </c>
      <c r="J7" s="110">
        <v>541</v>
      </c>
      <c r="K7" s="110">
        <v>533</v>
      </c>
      <c r="L7" s="110">
        <v>541</v>
      </c>
      <c r="M7" s="110">
        <v>517</v>
      </c>
      <c r="N7" s="122">
        <f>SUM(Tabla1[[#This Row],[Enero]:[Diciembre]])</f>
        <v>6264</v>
      </c>
      <c r="O7" s="123">
        <f>AVERAGE(Tabla1[[#This Row],[Enero]:[Diciembre]])</f>
        <v>522</v>
      </c>
      <c r="Q7" s="105" t="s">
        <v>21</v>
      </c>
      <c r="R7" s="106">
        <v>483</v>
      </c>
      <c r="S7" s="106">
        <v>574</v>
      </c>
      <c r="T7" s="106">
        <v>631</v>
      </c>
      <c r="U7" s="106">
        <v>527</v>
      </c>
      <c r="V7" s="106">
        <v>513</v>
      </c>
      <c r="W7" s="107">
        <v>511</v>
      </c>
      <c r="X7" s="106">
        <v>483</v>
      </c>
      <c r="Y7" s="106">
        <v>518</v>
      </c>
      <c r="Z7" s="106">
        <v>439</v>
      </c>
      <c r="AA7" s="106">
        <v>440</v>
      </c>
      <c r="AB7" s="108">
        <f t="shared" si="0"/>
        <v>5119</v>
      </c>
      <c r="AC7" s="108">
        <f t="shared" si="1"/>
        <v>511.9</v>
      </c>
    </row>
    <row r="8" spans="1:29" x14ac:dyDescent="0.35">
      <c r="A8" s="121" t="s">
        <v>22</v>
      </c>
      <c r="B8" s="110">
        <v>25</v>
      </c>
      <c r="C8" s="110">
        <v>41</v>
      </c>
      <c r="D8" s="110">
        <v>81</v>
      </c>
      <c r="E8" s="110">
        <v>52</v>
      </c>
      <c r="F8" s="110">
        <v>69</v>
      </c>
      <c r="G8" s="111">
        <v>66</v>
      </c>
      <c r="H8" s="110">
        <v>60</v>
      </c>
      <c r="I8" s="110">
        <v>32</v>
      </c>
      <c r="J8" s="110">
        <v>28</v>
      </c>
      <c r="K8" s="110">
        <v>33</v>
      </c>
      <c r="L8" s="110">
        <v>69</v>
      </c>
      <c r="M8" s="110">
        <v>84</v>
      </c>
      <c r="N8" s="122">
        <f>SUM(Tabla1[[#This Row],[Enero]:[Diciembre]])</f>
        <v>640</v>
      </c>
      <c r="O8" s="123">
        <f>AVERAGE(Tabla1[[#This Row],[Enero]:[Diciembre]])</f>
        <v>53.333333333333336</v>
      </c>
      <c r="Q8" s="109" t="s">
        <v>22</v>
      </c>
      <c r="R8" s="110">
        <v>93</v>
      </c>
      <c r="S8" s="110">
        <v>142</v>
      </c>
      <c r="T8" s="110">
        <v>123</v>
      </c>
      <c r="U8" s="110">
        <v>74</v>
      </c>
      <c r="V8" s="110">
        <v>95</v>
      </c>
      <c r="W8" s="111">
        <v>124</v>
      </c>
      <c r="X8" s="112">
        <v>34</v>
      </c>
      <c r="Y8" s="112">
        <v>100</v>
      </c>
      <c r="Z8" s="141">
        <v>21</v>
      </c>
      <c r="AA8" s="141">
        <v>22</v>
      </c>
      <c r="AB8" s="142">
        <f t="shared" si="0"/>
        <v>828</v>
      </c>
      <c r="AC8" s="142">
        <f t="shared" si="1"/>
        <v>82.8</v>
      </c>
    </row>
    <row r="9" spans="1:29" x14ac:dyDescent="0.35">
      <c r="A9" s="121" t="s">
        <v>23</v>
      </c>
      <c r="B9" s="110">
        <v>570</v>
      </c>
      <c r="C9" s="110">
        <v>607</v>
      </c>
      <c r="D9" s="110">
        <v>602</v>
      </c>
      <c r="E9" s="110">
        <v>511</v>
      </c>
      <c r="F9" s="110">
        <v>440</v>
      </c>
      <c r="G9" s="111">
        <v>735</v>
      </c>
      <c r="H9" s="110">
        <v>503</v>
      </c>
      <c r="I9" s="110">
        <v>515</v>
      </c>
      <c r="J9" s="110">
        <v>1008</v>
      </c>
      <c r="K9" s="110">
        <v>754</v>
      </c>
      <c r="L9" s="110">
        <v>750</v>
      </c>
      <c r="M9" s="110">
        <v>820</v>
      </c>
      <c r="N9" s="122">
        <f>SUM(Tabla1[[#This Row],[Enero]:[Diciembre]])</f>
        <v>7815</v>
      </c>
      <c r="O9" s="123">
        <f>AVERAGE(Tabla1[[#This Row],[Enero]:[Diciembre]])</f>
        <v>651.25</v>
      </c>
      <c r="Q9" s="105" t="s">
        <v>23</v>
      </c>
      <c r="R9" s="106">
        <v>927</v>
      </c>
      <c r="S9" s="106">
        <v>83</v>
      </c>
      <c r="T9" s="106">
        <v>720</v>
      </c>
      <c r="U9" s="106">
        <v>34</v>
      </c>
      <c r="V9" s="106">
        <v>694</v>
      </c>
      <c r="W9" s="107">
        <v>99</v>
      </c>
      <c r="X9" s="106">
        <v>73</v>
      </c>
      <c r="Y9" s="106">
        <v>699</v>
      </c>
      <c r="Z9" s="106">
        <v>620</v>
      </c>
      <c r="AA9" s="106">
        <v>621</v>
      </c>
      <c r="AB9" s="108">
        <f t="shared" si="0"/>
        <v>4570</v>
      </c>
      <c r="AC9" s="108">
        <f t="shared" si="1"/>
        <v>457</v>
      </c>
    </row>
    <row r="10" spans="1:29" x14ac:dyDescent="0.35">
      <c r="A10" s="121" t="s">
        <v>24</v>
      </c>
      <c r="B10" s="110">
        <v>286</v>
      </c>
      <c r="C10" s="110">
        <v>372</v>
      </c>
      <c r="D10" s="110">
        <v>331</v>
      </c>
      <c r="E10" s="110">
        <v>328</v>
      </c>
      <c r="F10" s="110">
        <v>334</v>
      </c>
      <c r="G10" s="111">
        <v>335</v>
      </c>
      <c r="H10" s="110">
        <v>353</v>
      </c>
      <c r="I10" s="110">
        <v>493</v>
      </c>
      <c r="J10" s="110">
        <v>453</v>
      </c>
      <c r="K10" s="110">
        <v>373</v>
      </c>
      <c r="L10" s="110">
        <v>344</v>
      </c>
      <c r="M10" s="110">
        <v>295</v>
      </c>
      <c r="N10" s="122">
        <f>SUM(Tabla1[[#This Row],[Enero]:[Diciembre]])</f>
        <v>4297</v>
      </c>
      <c r="O10" s="123">
        <f>AVERAGE(Tabla1[[#This Row],[Enero]:[Diciembre]])</f>
        <v>358.08333333333331</v>
      </c>
      <c r="Q10" s="109" t="s">
        <v>24</v>
      </c>
      <c r="R10" s="110">
        <v>249</v>
      </c>
      <c r="S10" s="110">
        <v>350</v>
      </c>
      <c r="T10" s="110">
        <v>329</v>
      </c>
      <c r="U10" s="110">
        <v>234</v>
      </c>
      <c r="V10" s="110">
        <v>299</v>
      </c>
      <c r="W10" s="111">
        <v>263</v>
      </c>
      <c r="X10" s="112">
        <v>225</v>
      </c>
      <c r="Y10" s="112">
        <v>304</v>
      </c>
      <c r="Z10" s="141">
        <v>225</v>
      </c>
      <c r="AA10" s="141">
        <v>226</v>
      </c>
      <c r="AB10" s="142">
        <f t="shared" si="0"/>
        <v>2704</v>
      </c>
      <c r="AC10" s="142">
        <f t="shared" si="1"/>
        <v>270.39999999999998</v>
      </c>
    </row>
    <row r="11" spans="1:29" x14ac:dyDescent="0.35">
      <c r="A11" s="121" t="s">
        <v>25</v>
      </c>
      <c r="B11" s="110">
        <v>284</v>
      </c>
      <c r="C11" s="110">
        <v>304</v>
      </c>
      <c r="D11" s="110">
        <v>358</v>
      </c>
      <c r="E11" s="110">
        <v>280</v>
      </c>
      <c r="F11" s="110">
        <v>352</v>
      </c>
      <c r="G11" s="111">
        <v>344</v>
      </c>
      <c r="H11" s="110">
        <v>333</v>
      </c>
      <c r="I11" s="110">
        <v>372</v>
      </c>
      <c r="J11" s="110">
        <v>434</v>
      </c>
      <c r="K11" s="110">
        <v>352</v>
      </c>
      <c r="L11" s="110">
        <v>347</v>
      </c>
      <c r="M11" s="110">
        <v>364</v>
      </c>
      <c r="N11" s="122">
        <f>SUM(Tabla1[[#This Row],[Enero]:[Diciembre]])</f>
        <v>4124</v>
      </c>
      <c r="O11" s="123">
        <f>AVERAGE(Tabla1[[#This Row],[Enero]:[Diciembre]])</f>
        <v>343.66666666666669</v>
      </c>
      <c r="Q11" s="105" t="s">
        <v>25</v>
      </c>
      <c r="R11" s="106">
        <v>331</v>
      </c>
      <c r="S11" s="106">
        <v>435</v>
      </c>
      <c r="T11" s="106">
        <v>462</v>
      </c>
      <c r="U11" s="106">
        <v>338</v>
      </c>
      <c r="V11" s="106">
        <v>403</v>
      </c>
      <c r="W11" s="107">
        <v>393</v>
      </c>
      <c r="X11" s="106">
        <v>242</v>
      </c>
      <c r="Y11" s="106">
        <v>408</v>
      </c>
      <c r="Z11" s="106">
        <v>329</v>
      </c>
      <c r="AA11" s="106">
        <v>330</v>
      </c>
      <c r="AB11" s="108">
        <f t="shared" si="0"/>
        <v>3671</v>
      </c>
      <c r="AC11" s="108">
        <f t="shared" si="1"/>
        <v>367.1</v>
      </c>
    </row>
    <row r="12" spans="1:29" x14ac:dyDescent="0.35">
      <c r="A12" s="121" t="s">
        <v>26</v>
      </c>
      <c r="B12" s="110">
        <v>124</v>
      </c>
      <c r="C12" s="110">
        <v>130</v>
      </c>
      <c r="D12" s="110">
        <v>163</v>
      </c>
      <c r="E12" s="110">
        <v>160</v>
      </c>
      <c r="F12" s="110">
        <v>128</v>
      </c>
      <c r="G12" s="111">
        <v>150</v>
      </c>
      <c r="H12" s="110">
        <v>198</v>
      </c>
      <c r="I12" s="110">
        <v>193</v>
      </c>
      <c r="J12" s="110">
        <v>156</v>
      </c>
      <c r="K12" s="110">
        <v>174</v>
      </c>
      <c r="L12" s="110">
        <v>195</v>
      </c>
      <c r="M12" s="110">
        <v>237</v>
      </c>
      <c r="N12" s="122">
        <f>SUM(Tabla1[[#This Row],[Enero]:[Diciembre]])</f>
        <v>2008</v>
      </c>
      <c r="O12" s="123">
        <f>AVERAGE(Tabla1[[#This Row],[Enero]:[Diciembre]])</f>
        <v>167.33333333333334</v>
      </c>
      <c r="Q12" s="109" t="s">
        <v>26</v>
      </c>
      <c r="R12" s="110">
        <v>131</v>
      </c>
      <c r="S12" s="110">
        <v>158</v>
      </c>
      <c r="T12" s="110">
        <v>269</v>
      </c>
      <c r="U12" s="110">
        <v>131</v>
      </c>
      <c r="V12" s="110">
        <v>135</v>
      </c>
      <c r="W12" s="111">
        <v>129</v>
      </c>
      <c r="X12" s="112">
        <v>180</v>
      </c>
      <c r="Y12" s="112">
        <v>140</v>
      </c>
      <c r="Z12" s="141">
        <v>61</v>
      </c>
      <c r="AA12" s="141">
        <v>62</v>
      </c>
      <c r="AB12" s="142">
        <f t="shared" si="0"/>
        <v>1396</v>
      </c>
      <c r="AC12" s="142">
        <f t="shared" si="1"/>
        <v>139.6</v>
      </c>
    </row>
    <row r="13" spans="1:29" x14ac:dyDescent="0.35">
      <c r="A13" s="121" t="s">
        <v>27</v>
      </c>
      <c r="B13" s="110">
        <v>201</v>
      </c>
      <c r="C13" s="110">
        <v>304</v>
      </c>
      <c r="D13" s="110">
        <v>382</v>
      </c>
      <c r="E13" s="110">
        <v>288</v>
      </c>
      <c r="F13" s="110">
        <v>277</v>
      </c>
      <c r="G13" s="111">
        <v>275</v>
      </c>
      <c r="H13" s="110">
        <v>270</v>
      </c>
      <c r="I13" s="110">
        <v>333</v>
      </c>
      <c r="J13" s="110">
        <v>324</v>
      </c>
      <c r="K13" s="110">
        <v>330</v>
      </c>
      <c r="L13" s="110">
        <v>317</v>
      </c>
      <c r="M13" s="110">
        <v>338</v>
      </c>
      <c r="N13" s="122">
        <f>SUM(Tabla1[[#This Row],[Enero]:[Diciembre]])</f>
        <v>3639</v>
      </c>
      <c r="O13" s="123">
        <f>AVERAGE(Tabla1[[#This Row],[Enero]:[Diciembre]])</f>
        <v>303.25</v>
      </c>
      <c r="Q13" s="105" t="s">
        <v>27</v>
      </c>
      <c r="R13" s="106">
        <v>269</v>
      </c>
      <c r="S13" s="106">
        <v>300</v>
      </c>
      <c r="T13" s="106">
        <v>380</v>
      </c>
      <c r="U13" s="106">
        <v>324</v>
      </c>
      <c r="V13" s="106">
        <v>338</v>
      </c>
      <c r="W13" s="107">
        <v>312</v>
      </c>
      <c r="X13" s="106">
        <v>299</v>
      </c>
      <c r="Y13" s="106">
        <v>343</v>
      </c>
      <c r="Z13" s="106">
        <v>264</v>
      </c>
      <c r="AA13" s="106">
        <v>265</v>
      </c>
      <c r="AB13" s="108">
        <f t="shared" si="0"/>
        <v>3094</v>
      </c>
      <c r="AC13" s="108">
        <f t="shared" si="1"/>
        <v>309.39999999999998</v>
      </c>
    </row>
    <row r="14" spans="1:29" x14ac:dyDescent="0.35">
      <c r="A14" s="121" t="s">
        <v>28</v>
      </c>
      <c r="B14" s="110">
        <v>556</v>
      </c>
      <c r="C14" s="110">
        <v>544</v>
      </c>
      <c r="D14" s="110">
        <v>595</v>
      </c>
      <c r="E14" s="110">
        <v>556</v>
      </c>
      <c r="F14" s="110">
        <v>551</v>
      </c>
      <c r="G14" s="111">
        <v>513</v>
      </c>
      <c r="H14" s="110">
        <v>542</v>
      </c>
      <c r="I14" s="110">
        <v>305</v>
      </c>
      <c r="J14" s="110">
        <v>735</v>
      </c>
      <c r="K14" s="110">
        <v>557</v>
      </c>
      <c r="L14" s="110">
        <v>559</v>
      </c>
      <c r="M14" s="110">
        <v>564</v>
      </c>
      <c r="N14" s="122">
        <f>SUM(Tabla1[[#This Row],[Enero]:[Diciembre]])</f>
        <v>6577</v>
      </c>
      <c r="O14" s="123">
        <f>AVERAGE(Tabla1[[#This Row],[Enero]:[Diciembre]])</f>
        <v>548.08333333333337</v>
      </c>
      <c r="Q14" s="109" t="s">
        <v>28</v>
      </c>
      <c r="R14" s="110">
        <v>378</v>
      </c>
      <c r="S14" s="110">
        <v>380</v>
      </c>
      <c r="T14" s="110">
        <v>458</v>
      </c>
      <c r="U14" s="110">
        <v>334</v>
      </c>
      <c r="V14" s="110">
        <v>410</v>
      </c>
      <c r="W14" s="111">
        <v>329</v>
      </c>
      <c r="X14" s="112">
        <v>359</v>
      </c>
      <c r="Y14" s="112">
        <v>415</v>
      </c>
      <c r="Z14" s="141">
        <v>264</v>
      </c>
      <c r="AA14" s="141">
        <v>265</v>
      </c>
      <c r="AB14" s="142">
        <f t="shared" si="0"/>
        <v>3592</v>
      </c>
      <c r="AC14" s="142">
        <f t="shared" si="1"/>
        <v>359.2</v>
      </c>
    </row>
    <row r="15" spans="1:29" x14ac:dyDescent="0.35">
      <c r="A15" s="121" t="s">
        <v>29</v>
      </c>
      <c r="B15" s="110">
        <v>800</v>
      </c>
      <c r="C15" s="110">
        <v>959</v>
      </c>
      <c r="D15" s="110">
        <v>943</v>
      </c>
      <c r="E15" s="110">
        <v>857</v>
      </c>
      <c r="F15" s="110">
        <v>687</v>
      </c>
      <c r="G15" s="111">
        <v>674</v>
      </c>
      <c r="H15" s="110">
        <v>622</v>
      </c>
      <c r="I15" s="110">
        <v>695</v>
      </c>
      <c r="J15" s="110">
        <v>1079</v>
      </c>
      <c r="K15" s="110">
        <v>641</v>
      </c>
      <c r="L15" s="110">
        <v>581</v>
      </c>
      <c r="M15" s="110">
        <v>955</v>
      </c>
      <c r="N15" s="122">
        <f>SUM(Tabla1[[#This Row],[Enero]:[Diciembre]])</f>
        <v>9493</v>
      </c>
      <c r="O15" s="123">
        <f>AVERAGE(Tabla1[[#This Row],[Enero]:[Diciembre]])</f>
        <v>791.08333333333337</v>
      </c>
      <c r="Q15" s="105" t="s">
        <v>29</v>
      </c>
      <c r="R15" s="106">
        <v>884</v>
      </c>
      <c r="S15" s="106">
        <v>894</v>
      </c>
      <c r="T15" s="106">
        <v>747</v>
      </c>
      <c r="U15" s="106">
        <v>567</v>
      </c>
      <c r="V15" s="106">
        <v>576</v>
      </c>
      <c r="W15" s="107">
        <v>472</v>
      </c>
      <c r="X15" s="106">
        <v>346</v>
      </c>
      <c r="Y15" s="106">
        <v>581</v>
      </c>
      <c r="Z15" s="106">
        <v>502</v>
      </c>
      <c r="AA15" s="106">
        <v>503</v>
      </c>
      <c r="AB15" s="108">
        <f t="shared" si="0"/>
        <v>6072</v>
      </c>
      <c r="AC15" s="108">
        <f t="shared" si="1"/>
        <v>607.20000000000005</v>
      </c>
    </row>
    <row r="16" spans="1:29" x14ac:dyDescent="0.35">
      <c r="A16" s="121" t="s">
        <v>30</v>
      </c>
      <c r="B16" s="110">
        <v>84</v>
      </c>
      <c r="C16" s="110">
        <v>108</v>
      </c>
      <c r="D16" s="110">
        <v>103</v>
      </c>
      <c r="E16" s="110">
        <v>86</v>
      </c>
      <c r="F16" s="110">
        <v>96</v>
      </c>
      <c r="G16" s="111">
        <v>94</v>
      </c>
      <c r="H16" s="110">
        <v>100</v>
      </c>
      <c r="I16" s="110">
        <v>95</v>
      </c>
      <c r="J16" s="110">
        <v>130</v>
      </c>
      <c r="K16" s="110">
        <v>101</v>
      </c>
      <c r="L16" s="110">
        <v>101</v>
      </c>
      <c r="M16" s="110">
        <v>124</v>
      </c>
      <c r="N16" s="122">
        <f>SUM(Tabla1[[#This Row],[Enero]:[Diciembre]])</f>
        <v>1222</v>
      </c>
      <c r="O16" s="123">
        <f>AVERAGE(Tabla1[[#This Row],[Enero]:[Diciembre]])</f>
        <v>101.83333333333333</v>
      </c>
      <c r="Q16" s="109" t="s">
        <v>30</v>
      </c>
      <c r="R16" s="110">
        <v>72</v>
      </c>
      <c r="S16" s="110">
        <v>9</v>
      </c>
      <c r="T16" s="110">
        <v>116</v>
      </c>
      <c r="U16" s="110">
        <v>7</v>
      </c>
      <c r="V16" s="110">
        <v>76</v>
      </c>
      <c r="W16" s="111">
        <v>7</v>
      </c>
      <c r="X16" s="112">
        <v>7</v>
      </c>
      <c r="Y16" s="112">
        <v>81</v>
      </c>
      <c r="Z16" s="141">
        <v>2</v>
      </c>
      <c r="AA16" s="141">
        <v>3</v>
      </c>
      <c r="AB16" s="142">
        <f t="shared" si="0"/>
        <v>380</v>
      </c>
      <c r="AC16" s="142">
        <f t="shared" si="1"/>
        <v>38</v>
      </c>
    </row>
    <row r="17" spans="1:29" x14ac:dyDescent="0.35">
      <c r="A17" s="121" t="s">
        <v>31</v>
      </c>
      <c r="B17" s="110">
        <v>340</v>
      </c>
      <c r="C17" s="110">
        <v>442</v>
      </c>
      <c r="D17" s="110">
        <v>387</v>
      </c>
      <c r="E17" s="110">
        <v>276</v>
      </c>
      <c r="F17" s="110">
        <v>244</v>
      </c>
      <c r="G17" s="111">
        <v>317</v>
      </c>
      <c r="H17" s="110">
        <v>266</v>
      </c>
      <c r="I17" s="110">
        <v>291</v>
      </c>
      <c r="J17" s="110">
        <v>358</v>
      </c>
      <c r="K17" s="110">
        <v>351</v>
      </c>
      <c r="L17" s="110">
        <v>341</v>
      </c>
      <c r="M17" s="110">
        <v>335</v>
      </c>
      <c r="N17" s="122">
        <f>SUM(Tabla1[[#This Row],[Enero]:[Diciembre]])</f>
        <v>3948</v>
      </c>
      <c r="O17" s="123">
        <f>AVERAGE(Tabla1[[#This Row],[Enero]:[Diciembre]])</f>
        <v>329</v>
      </c>
      <c r="Q17" s="105" t="s">
        <v>31</v>
      </c>
      <c r="R17" s="106">
        <v>365</v>
      </c>
      <c r="S17" s="106">
        <v>281</v>
      </c>
      <c r="T17" s="106">
        <v>371</v>
      </c>
      <c r="U17" s="106">
        <v>267</v>
      </c>
      <c r="V17" s="106">
        <v>283</v>
      </c>
      <c r="W17" s="107">
        <v>323</v>
      </c>
      <c r="X17" s="106">
        <v>294</v>
      </c>
      <c r="Y17" s="106">
        <v>288</v>
      </c>
      <c r="Z17" s="106">
        <v>149</v>
      </c>
      <c r="AA17" s="106">
        <v>150</v>
      </c>
      <c r="AB17" s="108">
        <f t="shared" si="0"/>
        <v>2771</v>
      </c>
      <c r="AC17" s="108">
        <f t="shared" si="1"/>
        <v>277.10000000000002</v>
      </c>
    </row>
    <row r="18" spans="1:29" x14ac:dyDescent="0.35">
      <c r="A18" s="121" t="s">
        <v>32</v>
      </c>
      <c r="B18" s="110">
        <v>307</v>
      </c>
      <c r="C18" s="110">
        <v>225</v>
      </c>
      <c r="D18" s="110">
        <v>367</v>
      </c>
      <c r="E18" s="110">
        <v>275</v>
      </c>
      <c r="F18" s="110">
        <v>262</v>
      </c>
      <c r="G18" s="111">
        <v>277</v>
      </c>
      <c r="H18" s="110">
        <v>245</v>
      </c>
      <c r="I18" s="110">
        <v>249</v>
      </c>
      <c r="J18" s="110">
        <v>277</v>
      </c>
      <c r="K18" s="110">
        <v>261</v>
      </c>
      <c r="L18" s="110">
        <v>261</v>
      </c>
      <c r="M18" s="110">
        <v>280</v>
      </c>
      <c r="N18" s="122">
        <f>SUM(Tabla1[[#This Row],[Enero]:[Diciembre]])</f>
        <v>3286</v>
      </c>
      <c r="O18" s="123">
        <f>AVERAGE(Tabla1[[#This Row],[Enero]:[Diciembre]])</f>
        <v>273.83333333333331</v>
      </c>
      <c r="Q18" s="109" t="s">
        <v>32</v>
      </c>
      <c r="R18" s="110">
        <v>289</v>
      </c>
      <c r="S18" s="110">
        <v>27</v>
      </c>
      <c r="T18" s="110">
        <v>348</v>
      </c>
      <c r="U18" s="110">
        <v>51</v>
      </c>
      <c r="V18" s="110">
        <v>258</v>
      </c>
      <c r="W18" s="111">
        <v>30</v>
      </c>
      <c r="X18" s="112">
        <v>34</v>
      </c>
      <c r="Y18" s="112">
        <v>263</v>
      </c>
      <c r="Z18" s="141">
        <v>184</v>
      </c>
      <c r="AA18" s="141">
        <v>185</v>
      </c>
      <c r="AB18" s="142">
        <f t="shared" si="0"/>
        <v>1669</v>
      </c>
      <c r="AC18" s="142">
        <f t="shared" si="1"/>
        <v>166.9</v>
      </c>
    </row>
    <row r="19" spans="1:29" x14ac:dyDescent="0.35">
      <c r="A19" s="121" t="s">
        <v>33</v>
      </c>
      <c r="B19" s="110">
        <v>196</v>
      </c>
      <c r="C19" s="110">
        <v>232</v>
      </c>
      <c r="D19" s="110">
        <v>295</v>
      </c>
      <c r="E19" s="110">
        <v>247</v>
      </c>
      <c r="F19" s="110">
        <v>236</v>
      </c>
      <c r="G19" s="111">
        <v>199</v>
      </c>
      <c r="H19" s="110">
        <v>224</v>
      </c>
      <c r="I19" s="110">
        <v>271</v>
      </c>
      <c r="J19" s="110">
        <v>328</v>
      </c>
      <c r="K19" s="110">
        <v>254</v>
      </c>
      <c r="L19" s="110">
        <v>238</v>
      </c>
      <c r="M19" s="110">
        <v>257</v>
      </c>
      <c r="N19" s="122">
        <f>SUM(Tabla1[[#This Row],[Enero]:[Diciembre]])</f>
        <v>2977</v>
      </c>
      <c r="O19" s="123">
        <f>AVERAGE(Tabla1[[#This Row],[Enero]:[Diciembre]])</f>
        <v>248.08333333333334</v>
      </c>
      <c r="Q19" s="105" t="s">
        <v>33</v>
      </c>
      <c r="R19" s="106">
        <v>240</v>
      </c>
      <c r="S19" s="106">
        <v>273</v>
      </c>
      <c r="T19" s="106">
        <v>292</v>
      </c>
      <c r="U19" s="106">
        <v>235</v>
      </c>
      <c r="V19" s="106">
        <v>250</v>
      </c>
      <c r="W19" s="107">
        <v>272</v>
      </c>
      <c r="X19" s="106">
        <v>241</v>
      </c>
      <c r="Y19" s="106">
        <v>255</v>
      </c>
      <c r="Z19" s="106">
        <v>176</v>
      </c>
      <c r="AA19" s="106">
        <v>177</v>
      </c>
      <c r="AB19" s="108">
        <f t="shared" si="0"/>
        <v>2411</v>
      </c>
      <c r="AC19" s="108">
        <f t="shared" si="1"/>
        <v>241.1</v>
      </c>
    </row>
    <row r="20" spans="1:29" x14ac:dyDescent="0.35">
      <c r="A20" s="121" t="s">
        <v>34</v>
      </c>
      <c r="B20" s="110">
        <v>848</v>
      </c>
      <c r="C20" s="110">
        <v>694</v>
      </c>
      <c r="D20" s="110">
        <v>788</v>
      </c>
      <c r="E20" s="110">
        <v>758</v>
      </c>
      <c r="F20" s="110">
        <v>774</v>
      </c>
      <c r="G20" s="111">
        <v>789</v>
      </c>
      <c r="H20" s="110">
        <v>798</v>
      </c>
      <c r="I20" s="110">
        <v>827</v>
      </c>
      <c r="J20" s="110">
        <v>863</v>
      </c>
      <c r="K20" s="110">
        <v>740</v>
      </c>
      <c r="L20" s="110">
        <v>727</v>
      </c>
      <c r="M20" s="110">
        <v>790</v>
      </c>
      <c r="N20" s="122">
        <f>SUM(Tabla1[[#This Row],[Enero]:[Diciembre]])</f>
        <v>9396</v>
      </c>
      <c r="O20" s="123">
        <f>AVERAGE(Tabla1[[#This Row],[Enero]:[Diciembre]])</f>
        <v>783</v>
      </c>
      <c r="Q20" s="109" t="s">
        <v>34</v>
      </c>
      <c r="R20" s="110">
        <v>748</v>
      </c>
      <c r="S20" s="110">
        <v>28</v>
      </c>
      <c r="T20" s="110">
        <v>1016</v>
      </c>
      <c r="U20" s="110">
        <v>11</v>
      </c>
      <c r="V20" s="110">
        <v>883</v>
      </c>
      <c r="W20" s="111">
        <v>31</v>
      </c>
      <c r="X20" s="110">
        <v>69</v>
      </c>
      <c r="Y20" s="110">
        <f>888+9</f>
        <v>897</v>
      </c>
      <c r="Z20" s="141">
        <v>809</v>
      </c>
      <c r="AA20" s="141">
        <v>810</v>
      </c>
      <c r="AB20" s="142">
        <f t="shared" si="0"/>
        <v>5302</v>
      </c>
      <c r="AC20" s="142">
        <f t="shared" si="1"/>
        <v>530.20000000000005</v>
      </c>
    </row>
    <row r="21" spans="1:29" x14ac:dyDescent="0.35">
      <c r="A21" s="121" t="s">
        <v>35</v>
      </c>
      <c r="B21" s="110">
        <v>87</v>
      </c>
      <c r="C21" s="110">
        <v>111</v>
      </c>
      <c r="D21" s="110">
        <v>147</v>
      </c>
      <c r="E21" s="110">
        <v>163</v>
      </c>
      <c r="F21" s="110">
        <v>109</v>
      </c>
      <c r="G21" s="111">
        <v>135</v>
      </c>
      <c r="H21" s="110">
        <v>140</v>
      </c>
      <c r="I21" s="110">
        <v>155</v>
      </c>
      <c r="J21" s="110">
        <v>147</v>
      </c>
      <c r="K21" s="110">
        <v>166</v>
      </c>
      <c r="L21" s="110">
        <v>178</v>
      </c>
      <c r="M21" s="110">
        <v>267</v>
      </c>
      <c r="N21" s="122">
        <f>SUM(Tabla1[[#This Row],[Enero]:[Diciembre]])</f>
        <v>1805</v>
      </c>
      <c r="O21" s="123">
        <f>AVERAGE(Tabla1[[#This Row],[Enero]:[Diciembre]])</f>
        <v>150.41666666666666</v>
      </c>
      <c r="Q21" s="105" t="s">
        <v>35</v>
      </c>
      <c r="R21" s="106">
        <v>143</v>
      </c>
      <c r="S21" s="106">
        <v>183</v>
      </c>
      <c r="T21" s="106">
        <v>216</v>
      </c>
      <c r="U21" s="106">
        <v>166</v>
      </c>
      <c r="V21" s="106">
        <v>191</v>
      </c>
      <c r="W21" s="107">
        <v>158</v>
      </c>
      <c r="X21" s="106">
        <v>147</v>
      </c>
      <c r="Y21" s="106">
        <v>196</v>
      </c>
      <c r="Z21" s="106">
        <v>117</v>
      </c>
      <c r="AA21" s="106">
        <v>118</v>
      </c>
      <c r="AB21" s="108">
        <f t="shared" si="0"/>
        <v>1635</v>
      </c>
      <c r="AC21" s="108">
        <f t="shared" si="1"/>
        <v>163.5</v>
      </c>
    </row>
    <row r="22" spans="1:29" x14ac:dyDescent="0.35">
      <c r="A22" s="121" t="s">
        <v>36</v>
      </c>
      <c r="B22" s="110">
        <v>44</v>
      </c>
      <c r="C22" s="110">
        <v>55</v>
      </c>
      <c r="D22" s="110">
        <v>92</v>
      </c>
      <c r="E22" s="110">
        <v>56</v>
      </c>
      <c r="F22" s="110">
        <v>37</v>
      </c>
      <c r="G22" s="111">
        <v>37</v>
      </c>
      <c r="H22" s="110">
        <v>38</v>
      </c>
      <c r="I22" s="110">
        <v>39</v>
      </c>
      <c r="J22" s="110">
        <v>55</v>
      </c>
      <c r="K22" s="110">
        <v>96</v>
      </c>
      <c r="L22" s="110">
        <v>44</v>
      </c>
      <c r="M22" s="110">
        <v>49</v>
      </c>
      <c r="N22" s="122">
        <f>SUM(Tabla1[[#This Row],[Enero]:[Diciembre]])</f>
        <v>642</v>
      </c>
      <c r="O22" s="123">
        <f>AVERAGE(Tabla1[[#This Row],[Enero]:[Diciembre]])</f>
        <v>53.5</v>
      </c>
      <c r="Q22" s="109" t="s">
        <v>36</v>
      </c>
      <c r="R22" s="110">
        <v>34</v>
      </c>
      <c r="S22" s="110">
        <v>62</v>
      </c>
      <c r="T22" s="110">
        <v>91</v>
      </c>
      <c r="U22" s="110">
        <v>57</v>
      </c>
      <c r="V22" s="110">
        <v>70</v>
      </c>
      <c r="W22" s="111">
        <v>45</v>
      </c>
      <c r="X22" s="112">
        <v>50</v>
      </c>
      <c r="Y22" s="112">
        <v>75</v>
      </c>
      <c r="Z22" s="141">
        <v>9</v>
      </c>
      <c r="AA22" s="141">
        <v>10</v>
      </c>
      <c r="AB22" s="142">
        <f t="shared" si="0"/>
        <v>503</v>
      </c>
      <c r="AC22" s="142">
        <f t="shared" si="1"/>
        <v>50.3</v>
      </c>
    </row>
    <row r="23" spans="1:29" x14ac:dyDescent="0.35">
      <c r="A23" s="121" t="s">
        <v>37</v>
      </c>
      <c r="B23" s="110">
        <v>196</v>
      </c>
      <c r="C23" s="110">
        <v>187</v>
      </c>
      <c r="D23" s="110">
        <v>118</v>
      </c>
      <c r="E23" s="110">
        <v>152</v>
      </c>
      <c r="F23" s="110">
        <v>207</v>
      </c>
      <c r="G23" s="111">
        <v>280</v>
      </c>
      <c r="H23" s="110">
        <v>237</v>
      </c>
      <c r="I23" s="110">
        <v>339</v>
      </c>
      <c r="J23" s="110">
        <v>218</v>
      </c>
      <c r="K23" s="110">
        <v>296</v>
      </c>
      <c r="L23" s="110">
        <v>226</v>
      </c>
      <c r="M23" s="110">
        <v>135</v>
      </c>
      <c r="N23" s="122">
        <f>SUM(Tabla1[[#This Row],[Enero]:[Diciembre]])</f>
        <v>2591</v>
      </c>
      <c r="O23" s="123">
        <f>AVERAGE(Tabla1[[#This Row],[Enero]:[Diciembre]])</f>
        <v>215.91666666666666</v>
      </c>
      <c r="Q23" s="105" t="s">
        <v>37</v>
      </c>
      <c r="R23" s="106">
        <v>185</v>
      </c>
      <c r="S23" s="106">
        <v>173</v>
      </c>
      <c r="T23" s="106">
        <v>178</v>
      </c>
      <c r="U23" s="106">
        <v>177</v>
      </c>
      <c r="V23" s="106">
        <v>312</v>
      </c>
      <c r="W23" s="107">
        <v>288</v>
      </c>
      <c r="X23" s="106">
        <v>173</v>
      </c>
      <c r="Y23" s="106">
        <v>317</v>
      </c>
      <c r="Z23" s="106">
        <v>238</v>
      </c>
      <c r="AA23" s="106">
        <v>239</v>
      </c>
      <c r="AB23" s="108">
        <f t="shared" si="0"/>
        <v>2280</v>
      </c>
      <c r="AC23" s="108">
        <f t="shared" si="1"/>
        <v>228</v>
      </c>
    </row>
    <row r="24" spans="1:29" x14ac:dyDescent="0.35">
      <c r="A24" s="121" t="s">
        <v>38</v>
      </c>
      <c r="B24" s="110">
        <v>139</v>
      </c>
      <c r="C24" s="110">
        <v>110</v>
      </c>
      <c r="D24" s="110">
        <v>143</v>
      </c>
      <c r="E24" s="110">
        <v>113</v>
      </c>
      <c r="F24" s="110">
        <v>79</v>
      </c>
      <c r="G24" s="111">
        <v>104</v>
      </c>
      <c r="H24" s="110">
        <v>160</v>
      </c>
      <c r="I24" s="110">
        <v>78</v>
      </c>
      <c r="J24" s="110">
        <v>135</v>
      </c>
      <c r="K24" s="110">
        <v>116</v>
      </c>
      <c r="L24" s="110">
        <v>121</v>
      </c>
      <c r="M24" s="110">
        <v>107</v>
      </c>
      <c r="N24" s="122">
        <f>SUM(Tabla1[[#This Row],[Enero]:[Diciembre]])</f>
        <v>1405</v>
      </c>
      <c r="O24" s="123">
        <f>AVERAGE(Tabla1[[#This Row],[Enero]:[Diciembre]])</f>
        <v>117.08333333333333</v>
      </c>
      <c r="Q24" s="109" t="s">
        <v>38</v>
      </c>
      <c r="R24" s="110">
        <v>94</v>
      </c>
      <c r="S24" s="110">
        <v>119</v>
      </c>
      <c r="T24" s="110">
        <v>133</v>
      </c>
      <c r="U24" s="110">
        <v>82</v>
      </c>
      <c r="V24" s="110">
        <v>87</v>
      </c>
      <c r="W24" s="111">
        <v>81</v>
      </c>
      <c r="X24" s="112">
        <v>73</v>
      </c>
      <c r="Y24" s="112">
        <v>92</v>
      </c>
      <c r="Z24" s="141">
        <v>13</v>
      </c>
      <c r="AA24" s="141">
        <v>14</v>
      </c>
      <c r="AB24" s="142">
        <f t="shared" si="0"/>
        <v>788</v>
      </c>
      <c r="AC24" s="142">
        <f t="shared" si="1"/>
        <v>78.8</v>
      </c>
    </row>
    <row r="25" spans="1:29" x14ac:dyDescent="0.35">
      <c r="A25" s="121" t="s">
        <v>39</v>
      </c>
      <c r="B25" s="110">
        <v>81</v>
      </c>
      <c r="C25" s="110">
        <v>97</v>
      </c>
      <c r="D25" s="110">
        <v>129</v>
      </c>
      <c r="E25" s="110">
        <v>135</v>
      </c>
      <c r="F25" s="110">
        <v>128</v>
      </c>
      <c r="G25" s="111">
        <v>126</v>
      </c>
      <c r="H25" s="110">
        <v>102</v>
      </c>
      <c r="I25" s="110">
        <v>192</v>
      </c>
      <c r="J25" s="110">
        <v>182</v>
      </c>
      <c r="K25" s="110">
        <v>231</v>
      </c>
      <c r="L25" s="110">
        <v>122</v>
      </c>
      <c r="M25" s="110">
        <v>149</v>
      </c>
      <c r="N25" s="122">
        <f>SUM(Tabla1[[#This Row],[Enero]:[Diciembre]])</f>
        <v>1674</v>
      </c>
      <c r="O25" s="123">
        <f>AVERAGE(Tabla1[[#This Row],[Enero]:[Diciembre]])</f>
        <v>139.5</v>
      </c>
      <c r="Q25" s="105" t="s">
        <v>39</v>
      </c>
      <c r="R25" s="106">
        <v>129</v>
      </c>
      <c r="S25" s="106">
        <v>57</v>
      </c>
      <c r="T25" s="106">
        <v>1061</v>
      </c>
      <c r="U25" s="106">
        <v>47</v>
      </c>
      <c r="V25" s="106">
        <v>113</v>
      </c>
      <c r="W25" s="107">
        <v>63</v>
      </c>
      <c r="X25" s="106">
        <v>38</v>
      </c>
      <c r="Y25" s="106">
        <v>118</v>
      </c>
      <c r="Z25" s="106">
        <v>39</v>
      </c>
      <c r="AA25" s="106">
        <v>40</v>
      </c>
      <c r="AB25" s="108">
        <f t="shared" si="0"/>
        <v>1705</v>
      </c>
      <c r="AC25" s="108">
        <f t="shared" si="1"/>
        <v>170.5</v>
      </c>
    </row>
    <row r="26" spans="1:29" x14ac:dyDescent="0.35">
      <c r="A26" s="121" t="s">
        <v>40</v>
      </c>
      <c r="B26" s="110">
        <v>669</v>
      </c>
      <c r="C26" s="110">
        <v>401</v>
      </c>
      <c r="D26" s="110">
        <v>330</v>
      </c>
      <c r="E26" s="110">
        <v>261</v>
      </c>
      <c r="F26" s="110">
        <v>273</v>
      </c>
      <c r="G26" s="111">
        <v>460</v>
      </c>
      <c r="H26" s="110">
        <v>353</v>
      </c>
      <c r="I26" s="110">
        <v>413</v>
      </c>
      <c r="J26" s="110">
        <v>426</v>
      </c>
      <c r="K26" s="110">
        <v>528</v>
      </c>
      <c r="L26" s="110">
        <v>471</v>
      </c>
      <c r="M26" s="110">
        <v>421</v>
      </c>
      <c r="N26" s="122">
        <f>SUM(Tabla1[[#This Row],[Enero]:[Diciembre]])</f>
        <v>5006</v>
      </c>
      <c r="O26" s="123">
        <f>AVERAGE(Tabla1[[#This Row],[Enero]:[Diciembre]])</f>
        <v>417.16666666666669</v>
      </c>
      <c r="Q26" s="109" t="s">
        <v>40</v>
      </c>
      <c r="R26" s="110">
        <v>352</v>
      </c>
      <c r="S26" s="110">
        <v>540</v>
      </c>
      <c r="T26" s="110">
        <v>340</v>
      </c>
      <c r="U26" s="110">
        <v>344</v>
      </c>
      <c r="V26" s="110">
        <v>377</v>
      </c>
      <c r="W26" s="111">
        <v>448</v>
      </c>
      <c r="X26" s="112">
        <v>387</v>
      </c>
      <c r="Y26" s="112">
        <v>382</v>
      </c>
      <c r="Z26" s="141">
        <v>303</v>
      </c>
      <c r="AA26" s="141">
        <v>304</v>
      </c>
      <c r="AB26" s="142">
        <f t="shared" si="0"/>
        <v>3777</v>
      </c>
      <c r="AC26" s="142">
        <f t="shared" si="1"/>
        <v>377.7</v>
      </c>
    </row>
    <row r="27" spans="1:29" x14ac:dyDescent="0.35">
      <c r="A27" s="121" t="s">
        <v>41</v>
      </c>
      <c r="B27" s="110">
        <v>17</v>
      </c>
      <c r="C27" s="110">
        <v>66</v>
      </c>
      <c r="D27" s="110">
        <v>30</v>
      </c>
      <c r="E27" s="110">
        <v>40</v>
      </c>
      <c r="F27" s="110">
        <v>25</v>
      </c>
      <c r="G27" s="111">
        <v>36</v>
      </c>
      <c r="H27" s="110">
        <v>23</v>
      </c>
      <c r="I27" s="110">
        <v>170</v>
      </c>
      <c r="J27" s="110">
        <v>93</v>
      </c>
      <c r="K27" s="110">
        <v>53</v>
      </c>
      <c r="L27" s="110">
        <v>124</v>
      </c>
      <c r="M27" s="110">
        <f>63+87</f>
        <v>150</v>
      </c>
      <c r="N27" s="122">
        <f>SUM(Tabla1[[#This Row],[Enero]:[Diciembre]])</f>
        <v>827</v>
      </c>
      <c r="O27" s="123">
        <f>AVERAGE(Tabla1[[#This Row],[Enero]:[Diciembre]])</f>
        <v>68.916666666666671</v>
      </c>
      <c r="Q27" s="105" t="s">
        <v>41</v>
      </c>
      <c r="R27" s="106">
        <v>21</v>
      </c>
      <c r="S27" s="106">
        <v>24</v>
      </c>
      <c r="T27" s="106">
        <v>22</v>
      </c>
      <c r="U27" s="106">
        <v>30</v>
      </c>
      <c r="V27" s="106">
        <v>23</v>
      </c>
      <c r="W27" s="107">
        <v>35</v>
      </c>
      <c r="X27" s="106">
        <v>23</v>
      </c>
      <c r="Y27" s="106">
        <v>28</v>
      </c>
      <c r="Z27" s="106">
        <v>49</v>
      </c>
      <c r="AA27" s="106">
        <v>50</v>
      </c>
      <c r="AB27" s="108">
        <f t="shared" si="0"/>
        <v>305</v>
      </c>
      <c r="AC27" s="108">
        <f t="shared" si="1"/>
        <v>30.5</v>
      </c>
    </row>
    <row r="28" spans="1:29" x14ac:dyDescent="0.35">
      <c r="A28" s="125" t="s">
        <v>42</v>
      </c>
      <c r="B28" s="131">
        <f>SUBTOTAL(109,B3:B27)</f>
        <v>9339</v>
      </c>
      <c r="C28" s="160">
        <f t="shared" ref="C28:M28" si="2">SUBTOTAL(109,C3:C27)</f>
        <v>10073</v>
      </c>
      <c r="D28" s="160">
        <f t="shared" si="2"/>
        <v>10704</v>
      </c>
      <c r="E28" s="160">
        <f t="shared" si="2"/>
        <v>9777</v>
      </c>
      <c r="F28" s="160">
        <f t="shared" si="2"/>
        <v>9614</v>
      </c>
      <c r="G28" s="160">
        <f t="shared" si="2"/>
        <v>10825</v>
      </c>
      <c r="H28" s="160">
        <f t="shared" si="2"/>
        <v>10286</v>
      </c>
      <c r="I28" s="160">
        <f t="shared" si="2"/>
        <v>11943</v>
      </c>
      <c r="J28" s="160">
        <f t="shared" si="2"/>
        <v>13054</v>
      </c>
      <c r="K28" s="160">
        <f t="shared" si="2"/>
        <v>12114</v>
      </c>
      <c r="L28" s="160">
        <f t="shared" si="2"/>
        <v>12089</v>
      </c>
      <c r="M28" s="160">
        <f t="shared" si="2"/>
        <v>12942</v>
      </c>
      <c r="N28" s="126">
        <f>SUM(Tabla1[[#This Row],[Enero]:[Diciembre]])</f>
        <v>132760</v>
      </c>
      <c r="O28" s="127">
        <f>AVERAGE(Tabla1[[#This Row],[Enero]:[Diciembre]])</f>
        <v>11063.333333333334</v>
      </c>
      <c r="Q28" s="115" t="s">
        <v>42</v>
      </c>
      <c r="R28" s="140">
        <f>SUBTOTAL(109,R3:R27)</f>
        <v>11157</v>
      </c>
      <c r="S28" s="140">
        <f t="shared" ref="S28:AA28" si="3">SUBTOTAL(109,S3:S27)</f>
        <v>11968</v>
      </c>
      <c r="T28" s="140">
        <f t="shared" si="3"/>
        <v>13458</v>
      </c>
      <c r="U28" s="140">
        <f t="shared" si="3"/>
        <v>11231</v>
      </c>
      <c r="V28" s="140">
        <f t="shared" si="3"/>
        <v>11803</v>
      </c>
      <c r="W28" s="140">
        <f t="shared" si="3"/>
        <v>12428</v>
      </c>
      <c r="X28" s="140">
        <f t="shared" si="3"/>
        <v>13476</v>
      </c>
      <c r="Y28" s="140">
        <f t="shared" si="3"/>
        <v>11937</v>
      </c>
      <c r="Z28" s="140">
        <f t="shared" si="3"/>
        <v>9829</v>
      </c>
      <c r="AA28" s="140">
        <f t="shared" si="3"/>
        <v>9959</v>
      </c>
      <c r="AB28" s="116">
        <f>SUM(AB3:AB27)</f>
        <v>117246</v>
      </c>
      <c r="AC28" s="116">
        <f>SUM(AC3:AC27)</f>
        <v>11724.600000000002</v>
      </c>
    </row>
    <row r="29" spans="1:29" x14ac:dyDescent="0.35">
      <c r="R29" s="4"/>
      <c r="S29" s="4"/>
      <c r="T29" s="4"/>
      <c r="U29" s="4"/>
      <c r="V29" s="10"/>
      <c r="Z29" s="163"/>
      <c r="AA29" s="163"/>
      <c r="AB29" s="163"/>
      <c r="AC29" s="163"/>
    </row>
    <row r="30" spans="1:29" x14ac:dyDescent="0.35">
      <c r="Y30" s="10"/>
      <c r="AA30" s="10"/>
    </row>
    <row r="31" spans="1:29" x14ac:dyDescent="0.35">
      <c r="R31" s="10"/>
      <c r="S31" s="10"/>
      <c r="T31" s="10"/>
      <c r="U31" s="10"/>
      <c r="Z31" s="10"/>
    </row>
    <row r="32" spans="1:29" x14ac:dyDescent="0.35">
      <c r="B32" s="143" t="s">
        <v>43</v>
      </c>
      <c r="C32" t="s">
        <v>44</v>
      </c>
      <c r="R32" s="161" t="s">
        <v>43</v>
      </c>
      <c r="S32" s="143" t="s">
        <v>44</v>
      </c>
      <c r="T32" s="174" t="s">
        <v>67</v>
      </c>
    </row>
    <row r="33" spans="2:21" x14ac:dyDescent="0.35">
      <c r="B33" s="164">
        <f>MIN(B28:M28)</f>
        <v>9339</v>
      </c>
      <c r="C33" s="10">
        <f>MAX(B28:M28)</f>
        <v>13054</v>
      </c>
      <c r="R33" s="162">
        <f>MIN(R28:AF28)</f>
        <v>9829</v>
      </c>
      <c r="S33" s="164">
        <f>+MAX(R28:AA28)</f>
        <v>13476</v>
      </c>
      <c r="T33" s="10">
        <f>+AVERAGE((B28:M28),(R28:AA28))</f>
        <v>11363.90909090909</v>
      </c>
      <c r="U33" s="10"/>
    </row>
    <row r="35" spans="2:21" x14ac:dyDescent="0.35">
      <c r="U35" s="10"/>
    </row>
    <row r="38" spans="2:21" x14ac:dyDescent="0.35">
      <c r="L38" s="10"/>
    </row>
  </sheetData>
  <autoFilter ref="Q2:AC27" xr:uid="{00000000-0001-0000-0000-000000000000}"/>
  <phoneticPr fontId="3" type="noConversion"/>
  <pageMargins left="0.7" right="0.7" top="0.75" bottom="0.75" header="0.3" footer="0.3"/>
  <pageSetup orientation="portrait" r:id="rId1"/>
  <headerFooter>
    <oddFooter>&amp;C_x000D_&amp;1#&amp;"Calibri"&amp;10&amp;K008000 DOCUMENTO PÚBLICO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4"/>
  <sheetViews>
    <sheetView topLeftCell="A28" workbookViewId="0">
      <selection activeCell="A41" sqref="A41:B44"/>
    </sheetView>
  </sheetViews>
  <sheetFormatPr baseColWidth="10" defaultColWidth="11.453125" defaultRowHeight="14.5" x14ac:dyDescent="0.35"/>
  <cols>
    <col min="1" max="1" width="14.1796875" customWidth="1"/>
  </cols>
  <sheetData>
    <row r="1" spans="1:2" x14ac:dyDescent="0.35">
      <c r="A1" s="95" t="s">
        <v>138</v>
      </c>
      <c r="B1" s="95" t="s">
        <v>105</v>
      </c>
    </row>
    <row r="2" spans="1:2" x14ac:dyDescent="0.35">
      <c r="A2" s="96" t="s">
        <v>148</v>
      </c>
      <c r="B2" s="96" t="s">
        <v>149</v>
      </c>
    </row>
    <row r="3" spans="1:2" x14ac:dyDescent="0.35">
      <c r="A3" s="97">
        <v>43586</v>
      </c>
      <c r="B3" s="98">
        <v>109</v>
      </c>
    </row>
    <row r="4" spans="1:2" x14ac:dyDescent="0.35">
      <c r="A4" s="97">
        <v>43617</v>
      </c>
      <c r="B4" s="99">
        <v>1461</v>
      </c>
    </row>
    <row r="5" spans="1:2" x14ac:dyDescent="0.35">
      <c r="A5" s="97">
        <v>43647</v>
      </c>
      <c r="B5" s="99">
        <v>1911</v>
      </c>
    </row>
    <row r="6" spans="1:2" x14ac:dyDescent="0.35">
      <c r="A6" s="97">
        <v>43678</v>
      </c>
      <c r="B6" s="99">
        <v>1999</v>
      </c>
    </row>
    <row r="7" spans="1:2" x14ac:dyDescent="0.35">
      <c r="A7" s="97">
        <v>43709</v>
      </c>
      <c r="B7" s="99">
        <v>1897</v>
      </c>
    </row>
    <row r="8" spans="1:2" x14ac:dyDescent="0.35">
      <c r="A8" s="97">
        <v>43739</v>
      </c>
      <c r="B8" s="99">
        <v>2108</v>
      </c>
    </row>
    <row r="9" spans="1:2" x14ac:dyDescent="0.35">
      <c r="A9" s="97">
        <v>43770</v>
      </c>
      <c r="B9" s="99">
        <v>1672</v>
      </c>
    </row>
    <row r="10" spans="1:2" x14ac:dyDescent="0.35">
      <c r="A10" s="97">
        <v>43800</v>
      </c>
      <c r="B10" s="99">
        <v>1120</v>
      </c>
    </row>
    <row r="11" spans="1:2" x14ac:dyDescent="0.35">
      <c r="A11" s="97">
        <v>43831</v>
      </c>
      <c r="B11" s="99">
        <v>1346</v>
      </c>
    </row>
    <row r="12" spans="1:2" x14ac:dyDescent="0.35">
      <c r="A12" s="97">
        <v>43862</v>
      </c>
      <c r="B12" s="99">
        <v>1037</v>
      </c>
    </row>
    <row r="13" spans="1:2" x14ac:dyDescent="0.35">
      <c r="A13" s="97">
        <v>43891</v>
      </c>
      <c r="B13" s="98">
        <v>824</v>
      </c>
    </row>
    <row r="14" spans="1:2" x14ac:dyDescent="0.35">
      <c r="A14" s="97">
        <v>43922</v>
      </c>
      <c r="B14" s="99">
        <v>1519</v>
      </c>
    </row>
    <row r="15" spans="1:2" x14ac:dyDescent="0.35">
      <c r="A15" s="97">
        <v>43952</v>
      </c>
      <c r="B15" s="98">
        <v>530</v>
      </c>
    </row>
    <row r="16" spans="1:2" x14ac:dyDescent="0.35">
      <c r="A16" s="97">
        <v>43983</v>
      </c>
      <c r="B16" s="99">
        <v>1167</v>
      </c>
    </row>
    <row r="17" spans="1:2" x14ac:dyDescent="0.35">
      <c r="A17" s="97">
        <v>44013</v>
      </c>
      <c r="B17" s="99">
        <v>2638</v>
      </c>
    </row>
    <row r="18" spans="1:2" x14ac:dyDescent="0.35">
      <c r="A18" s="97">
        <v>44044</v>
      </c>
      <c r="B18" s="99">
        <v>2452</v>
      </c>
    </row>
    <row r="19" spans="1:2" x14ac:dyDescent="0.35">
      <c r="A19" s="97">
        <v>44075</v>
      </c>
      <c r="B19" s="99">
        <v>4216</v>
      </c>
    </row>
    <row r="20" spans="1:2" x14ac:dyDescent="0.35">
      <c r="A20" s="97">
        <v>44105</v>
      </c>
      <c r="B20" s="99">
        <v>5905</v>
      </c>
    </row>
    <row r="21" spans="1:2" x14ac:dyDescent="0.35">
      <c r="A21" s="97">
        <v>44136</v>
      </c>
      <c r="B21" s="99">
        <v>6483</v>
      </c>
    </row>
    <row r="22" spans="1:2" x14ac:dyDescent="0.35">
      <c r="A22" s="97">
        <v>44166</v>
      </c>
      <c r="B22" s="99">
        <v>10397</v>
      </c>
    </row>
    <row r="23" spans="1:2" x14ac:dyDescent="0.35">
      <c r="A23" s="97">
        <v>44197</v>
      </c>
      <c r="B23" s="99">
        <v>10776</v>
      </c>
    </row>
    <row r="24" spans="1:2" x14ac:dyDescent="0.35">
      <c r="A24" s="97">
        <v>44228</v>
      </c>
      <c r="B24" s="99">
        <v>12376</v>
      </c>
    </row>
    <row r="25" spans="1:2" x14ac:dyDescent="0.35">
      <c r="A25" s="97">
        <v>44256</v>
      </c>
      <c r="B25" s="99">
        <v>15052</v>
      </c>
    </row>
    <row r="26" spans="1:2" x14ac:dyDescent="0.35">
      <c r="A26" s="97">
        <v>44287</v>
      </c>
      <c r="B26" s="99">
        <v>14124</v>
      </c>
    </row>
    <row r="27" spans="1:2" x14ac:dyDescent="0.35">
      <c r="A27" s="97">
        <v>44317</v>
      </c>
      <c r="B27" s="99">
        <v>16036</v>
      </c>
    </row>
    <row r="28" spans="1:2" x14ac:dyDescent="0.35">
      <c r="A28" s="97">
        <v>44348</v>
      </c>
      <c r="B28" s="99">
        <v>19486</v>
      </c>
    </row>
    <row r="29" spans="1:2" x14ac:dyDescent="0.35">
      <c r="A29" s="97">
        <v>44378</v>
      </c>
      <c r="B29" s="99">
        <v>22555</v>
      </c>
    </row>
    <row r="30" spans="1:2" x14ac:dyDescent="0.35">
      <c r="A30" s="97">
        <v>44409</v>
      </c>
      <c r="B30" s="99">
        <v>23246</v>
      </c>
    </row>
    <row r="31" spans="1:2" x14ac:dyDescent="0.35">
      <c r="A31" s="97">
        <v>44440</v>
      </c>
      <c r="B31" s="99">
        <v>24840</v>
      </c>
    </row>
    <row r="32" spans="1:2" x14ac:dyDescent="0.35">
      <c r="A32" s="97">
        <v>44470</v>
      </c>
      <c r="B32" s="99">
        <v>23570</v>
      </c>
    </row>
    <row r="33" spans="1:2" x14ac:dyDescent="0.35">
      <c r="A33" s="97">
        <v>44501</v>
      </c>
      <c r="B33" s="99">
        <v>23859</v>
      </c>
    </row>
    <row r="34" spans="1:2" x14ac:dyDescent="0.35">
      <c r="A34" s="97">
        <v>44531</v>
      </c>
      <c r="B34" s="99">
        <v>23388</v>
      </c>
    </row>
    <row r="35" spans="1:2" x14ac:dyDescent="0.35">
      <c r="A35" s="97">
        <v>44562</v>
      </c>
      <c r="B35" s="99">
        <v>22052</v>
      </c>
    </row>
    <row r="36" spans="1:2" x14ac:dyDescent="0.35">
      <c r="A36" s="97">
        <v>44593</v>
      </c>
      <c r="B36" s="99">
        <v>24922</v>
      </c>
    </row>
    <row r="37" spans="1:2" x14ac:dyDescent="0.35">
      <c r="A37" s="97">
        <v>44621</v>
      </c>
      <c r="B37" s="99">
        <v>43865</v>
      </c>
    </row>
    <row r="38" spans="1:2" x14ac:dyDescent="0.35">
      <c r="A38" s="97">
        <v>44652</v>
      </c>
      <c r="B38" s="99">
        <v>33225</v>
      </c>
    </row>
    <row r="39" spans="1:2" x14ac:dyDescent="0.35">
      <c r="A39" s="97">
        <v>44682</v>
      </c>
      <c r="B39" s="99">
        <v>50694</v>
      </c>
    </row>
    <row r="40" spans="1:2" x14ac:dyDescent="0.35">
      <c r="A40" s="97">
        <v>44713</v>
      </c>
      <c r="B40" s="99">
        <v>65441</v>
      </c>
    </row>
    <row r="41" spans="1:2" x14ac:dyDescent="0.35">
      <c r="A41" s="97">
        <v>44743</v>
      </c>
      <c r="B41" s="99">
        <v>34436</v>
      </c>
    </row>
    <row r="42" spans="1:2" x14ac:dyDescent="0.35">
      <c r="A42" s="97">
        <v>44774</v>
      </c>
      <c r="B42" s="99">
        <v>26363</v>
      </c>
    </row>
    <row r="43" spans="1:2" x14ac:dyDescent="0.35">
      <c r="A43" s="97">
        <v>44805</v>
      </c>
      <c r="B43" s="99">
        <v>27280</v>
      </c>
    </row>
    <row r="44" spans="1:2" x14ac:dyDescent="0.35">
      <c r="A44" s="97">
        <v>44835</v>
      </c>
      <c r="B44" s="99">
        <v>20032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9"/>
  <sheetViews>
    <sheetView workbookViewId="0">
      <selection activeCell="D4" sqref="D4:D7"/>
    </sheetView>
  </sheetViews>
  <sheetFormatPr baseColWidth="10" defaultColWidth="11.453125" defaultRowHeight="14.5" x14ac:dyDescent="0.35"/>
  <cols>
    <col min="1" max="1" width="47.453125" bestFit="1" customWidth="1"/>
    <col min="2" max="3" width="9" bestFit="1" customWidth="1"/>
    <col min="4" max="4" width="9" customWidth="1"/>
    <col min="5" max="5" width="14" bestFit="1" customWidth="1"/>
  </cols>
  <sheetData>
    <row r="2" spans="1:6" ht="15" thickBot="1" x14ac:dyDescent="0.4"/>
    <row r="3" spans="1:6" ht="15" thickTop="1" x14ac:dyDescent="0.35">
      <c r="A3" s="59" t="s">
        <v>150</v>
      </c>
      <c r="B3" s="60">
        <v>2020</v>
      </c>
      <c r="C3" s="60">
        <v>2021</v>
      </c>
      <c r="D3" s="60">
        <v>2022</v>
      </c>
      <c r="E3" s="61" t="s">
        <v>103</v>
      </c>
      <c r="F3" s="62" t="s">
        <v>151</v>
      </c>
    </row>
    <row r="4" spans="1:6" x14ac:dyDescent="0.35">
      <c r="A4" s="63" t="s">
        <v>152</v>
      </c>
      <c r="B4" s="64">
        <v>320691</v>
      </c>
      <c r="C4" s="64">
        <v>400620</v>
      </c>
      <c r="D4" s="64">
        <v>427548</v>
      </c>
      <c r="E4" s="64">
        <f>+SUM(B4:C4)</f>
        <v>721311</v>
      </c>
      <c r="F4" s="65">
        <f>+E4/$E$8</f>
        <v>0.90034562859093625</v>
      </c>
    </row>
    <row r="5" spans="1:6" x14ac:dyDescent="0.35">
      <c r="A5" s="63" t="s">
        <v>153</v>
      </c>
      <c r="B5" s="64">
        <v>25387</v>
      </c>
      <c r="C5" s="64">
        <v>46001</v>
      </c>
      <c r="D5" s="64">
        <v>52454</v>
      </c>
      <c r="E5" s="64">
        <f>+SUM(B5:C5)</f>
        <v>71388</v>
      </c>
      <c r="F5" s="65">
        <f>+E5/$E$8</f>
        <v>8.9107020042464014E-2</v>
      </c>
    </row>
    <row r="6" spans="1:6" x14ac:dyDescent="0.35">
      <c r="A6" s="63" t="s">
        <v>154</v>
      </c>
      <c r="B6" s="64">
        <v>1888</v>
      </c>
      <c r="C6" s="64">
        <v>3336</v>
      </c>
      <c r="D6" s="64">
        <v>4884</v>
      </c>
      <c r="E6" s="64">
        <f>+SUM(B6:C6)</f>
        <v>5224</v>
      </c>
      <c r="F6" s="65">
        <f>+E6/$E$8</f>
        <v>6.5206347383570343E-3</v>
      </c>
    </row>
    <row r="7" spans="1:6" x14ac:dyDescent="0.35">
      <c r="A7" s="63" t="s">
        <v>155</v>
      </c>
      <c r="B7" s="64">
        <v>1173</v>
      </c>
      <c r="C7" s="64">
        <v>2053</v>
      </c>
      <c r="D7" s="64">
        <v>1777</v>
      </c>
      <c r="E7" s="64">
        <f>+SUM(B7:C7)</f>
        <v>3226</v>
      </c>
      <c r="F7" s="65">
        <f>+E7/$E$8</f>
        <v>4.0267166282426867E-3</v>
      </c>
    </row>
    <row r="8" spans="1:6" ht="15" thickBot="1" x14ac:dyDescent="0.4">
      <c r="A8" s="66" t="s">
        <v>103</v>
      </c>
      <c r="B8" s="67">
        <f>SUM(B4:B7)</f>
        <v>349139</v>
      </c>
      <c r="C8" s="67">
        <f>SUM(C4:C7)</f>
        <v>452010</v>
      </c>
      <c r="D8" s="67">
        <f>SUM(D4:D7)</f>
        <v>486663</v>
      </c>
      <c r="E8" s="67">
        <f>+SUM(E4:E7)</f>
        <v>801149</v>
      </c>
      <c r="F8" s="68">
        <f>SUM(F4:F7)</f>
        <v>1</v>
      </c>
    </row>
    <row r="9" spans="1:6" ht="15" thickTop="1" x14ac:dyDescent="0.35"/>
  </sheetData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tabSelected="1" topLeftCell="A9" workbookViewId="0">
      <selection activeCell="H13" sqref="H13"/>
    </sheetView>
  </sheetViews>
  <sheetFormatPr baseColWidth="10" defaultColWidth="11.453125" defaultRowHeight="14.5" x14ac:dyDescent="0.35"/>
  <cols>
    <col min="1" max="1" width="52.81640625" bestFit="1" customWidth="1"/>
    <col min="2" max="3" width="7" bestFit="1" customWidth="1"/>
    <col min="4" max="4" width="5.08984375" bestFit="1" customWidth="1"/>
    <col min="5" max="5" width="14" bestFit="1" customWidth="1"/>
    <col min="8" max="8" width="43.453125" bestFit="1" customWidth="1"/>
  </cols>
  <sheetData>
    <row r="1" spans="1:9" ht="15" thickBot="1" x14ac:dyDescent="0.4"/>
    <row r="2" spans="1:9" ht="15" thickTop="1" x14ac:dyDescent="0.35">
      <c r="A2" s="59" t="s">
        <v>156</v>
      </c>
      <c r="B2" s="60">
        <v>2020</v>
      </c>
      <c r="C2" s="60">
        <v>2021</v>
      </c>
      <c r="D2" s="60">
        <v>2022</v>
      </c>
      <c r="E2" s="61" t="s">
        <v>103</v>
      </c>
      <c r="F2" s="62" t="s">
        <v>151</v>
      </c>
    </row>
    <row r="3" spans="1:9" x14ac:dyDescent="0.35">
      <c r="A3" s="63" t="s">
        <v>157</v>
      </c>
      <c r="B3" s="64">
        <v>3764</v>
      </c>
      <c r="C3" s="64">
        <v>1928</v>
      </c>
      <c r="D3" s="64">
        <f>2769+6</f>
        <v>2775</v>
      </c>
      <c r="E3" s="69">
        <f>+SUM(B3:C3)</f>
        <v>5692</v>
      </c>
      <c r="F3" s="65">
        <f t="shared" ref="F3:F22" si="0">+E3/$E$24</f>
        <v>0.93541495480690218</v>
      </c>
      <c r="I3" s="223"/>
    </row>
    <row r="4" spans="1:9" x14ac:dyDescent="0.35">
      <c r="A4" s="63" t="s">
        <v>158</v>
      </c>
      <c r="B4" s="64">
        <v>49</v>
      </c>
      <c r="C4" s="64">
        <v>33</v>
      </c>
      <c r="D4" s="64">
        <v>34</v>
      </c>
      <c r="E4" s="69">
        <f>+SUM(B4:C4)</f>
        <v>82</v>
      </c>
      <c r="F4" s="65">
        <f t="shared" si="0"/>
        <v>1.3475760065735415E-2</v>
      </c>
      <c r="I4" s="223"/>
    </row>
    <row r="5" spans="1:9" x14ac:dyDescent="0.35">
      <c r="A5" s="63" t="s">
        <v>159</v>
      </c>
      <c r="B5" s="64">
        <v>76</v>
      </c>
      <c r="C5" s="64">
        <v>8</v>
      </c>
      <c r="D5" s="64">
        <v>339</v>
      </c>
      <c r="E5" s="69">
        <f>+SUM(B5:C5)</f>
        <v>84</v>
      </c>
      <c r="F5" s="65">
        <f t="shared" si="0"/>
        <v>1.3804437140509449E-2</v>
      </c>
      <c r="I5" s="223"/>
    </row>
    <row r="6" spans="1:9" x14ac:dyDescent="0.35">
      <c r="A6" s="63" t="s">
        <v>160</v>
      </c>
      <c r="B6" s="64">
        <v>33</v>
      </c>
      <c r="C6" s="64">
        <v>21</v>
      </c>
      <c r="D6" s="64">
        <v>17</v>
      </c>
      <c r="E6" s="69">
        <f>+SUM(B6:C6)</f>
        <v>54</v>
      </c>
      <c r="F6" s="65">
        <f t="shared" si="0"/>
        <v>8.8742810188989323E-3</v>
      </c>
      <c r="I6" s="223"/>
    </row>
    <row r="7" spans="1:9" x14ac:dyDescent="0.35">
      <c r="A7" s="63" t="s">
        <v>161</v>
      </c>
      <c r="B7" s="64">
        <v>13</v>
      </c>
      <c r="C7" s="64">
        <v>27</v>
      </c>
      <c r="D7" s="64">
        <v>13</v>
      </c>
      <c r="E7" s="69">
        <f>+SUM(B7:C7)</f>
        <v>40</v>
      </c>
      <c r="F7" s="65">
        <f t="shared" si="0"/>
        <v>6.5735414954806899E-3</v>
      </c>
      <c r="I7" s="223"/>
    </row>
    <row r="8" spans="1:9" x14ac:dyDescent="0.35">
      <c r="A8" s="63" t="s">
        <v>162</v>
      </c>
      <c r="B8" s="64">
        <v>18</v>
      </c>
      <c r="C8" s="64">
        <v>8</v>
      </c>
      <c r="D8" s="64"/>
      <c r="E8" s="69">
        <f>+SUM(B8:C8)</f>
        <v>26</v>
      </c>
      <c r="F8" s="65">
        <f t="shared" si="0"/>
        <v>4.2728019720624484E-3</v>
      </c>
      <c r="I8" s="223"/>
    </row>
    <row r="9" spans="1:9" x14ac:dyDescent="0.35">
      <c r="A9" s="63" t="s">
        <v>163</v>
      </c>
      <c r="B9" s="64">
        <v>10</v>
      </c>
      <c r="C9" s="64">
        <v>10</v>
      </c>
      <c r="D9" s="64">
        <v>3</v>
      </c>
      <c r="E9" s="69">
        <f>+SUM(B9:C9)</f>
        <v>20</v>
      </c>
      <c r="F9" s="65">
        <f t="shared" si="0"/>
        <v>3.286770747740345E-3</v>
      </c>
      <c r="I9" s="223"/>
    </row>
    <row r="10" spans="1:9" x14ac:dyDescent="0.35">
      <c r="A10" s="63" t="s">
        <v>164</v>
      </c>
      <c r="B10" s="64">
        <v>20</v>
      </c>
      <c r="C10" s="70"/>
      <c r="D10" s="64"/>
      <c r="E10" s="69">
        <f>+SUM(B10:C10)</f>
        <v>20</v>
      </c>
      <c r="F10" s="65">
        <f t="shared" si="0"/>
        <v>3.286770747740345E-3</v>
      </c>
      <c r="I10" s="223"/>
    </row>
    <row r="11" spans="1:9" x14ac:dyDescent="0.35">
      <c r="A11" s="63" t="s">
        <v>165</v>
      </c>
      <c r="B11" s="64">
        <v>7</v>
      </c>
      <c r="C11" s="64">
        <v>10</v>
      </c>
      <c r="D11" s="64">
        <f>6+3</f>
        <v>9</v>
      </c>
      <c r="E11" s="69">
        <f>+SUM(B11:C11)</f>
        <v>17</v>
      </c>
      <c r="F11" s="65">
        <f t="shared" si="0"/>
        <v>2.7937551355792932E-3</v>
      </c>
      <c r="I11" s="223"/>
    </row>
    <row r="12" spans="1:9" x14ac:dyDescent="0.35">
      <c r="A12" s="63" t="s">
        <v>166</v>
      </c>
      <c r="B12" s="64">
        <v>5</v>
      </c>
      <c r="C12" s="64">
        <v>8</v>
      </c>
      <c r="D12" s="64">
        <f>13+2</f>
        <v>15</v>
      </c>
      <c r="E12" s="69">
        <f>+SUM(B12:C12)</f>
        <v>13</v>
      </c>
      <c r="F12" s="65">
        <f t="shared" si="0"/>
        <v>2.1364009860312242E-3</v>
      </c>
      <c r="I12" s="223"/>
    </row>
    <row r="13" spans="1:9" x14ac:dyDescent="0.35">
      <c r="A13" s="63" t="s">
        <v>167</v>
      </c>
      <c r="B13" s="64">
        <v>7</v>
      </c>
      <c r="C13" s="64">
        <v>2</v>
      </c>
      <c r="D13" s="64"/>
      <c r="E13" s="69">
        <f>+SUM(B13:C13)</f>
        <v>9</v>
      </c>
      <c r="F13" s="65">
        <f t="shared" si="0"/>
        <v>1.4790468364831552E-3</v>
      </c>
      <c r="I13" s="223"/>
    </row>
    <row r="14" spans="1:9" x14ac:dyDescent="0.35">
      <c r="A14" s="63" t="s">
        <v>168</v>
      </c>
      <c r="B14" s="64">
        <v>2</v>
      </c>
      <c r="C14" s="64">
        <v>4</v>
      </c>
      <c r="D14" s="64"/>
      <c r="E14" s="69">
        <f>+SUM(B14:C14)</f>
        <v>6</v>
      </c>
      <c r="F14" s="65">
        <f t="shared" si="0"/>
        <v>9.8603122432210349E-4</v>
      </c>
      <c r="I14" s="223"/>
    </row>
    <row r="15" spans="1:9" x14ac:dyDescent="0.35">
      <c r="A15" s="63" t="s">
        <v>169</v>
      </c>
      <c r="B15" s="64">
        <v>5</v>
      </c>
      <c r="C15" s="64">
        <v>1</v>
      </c>
      <c r="D15" s="64">
        <v>1</v>
      </c>
      <c r="E15" s="69">
        <f>+SUM(B15:C15)</f>
        <v>6</v>
      </c>
      <c r="F15" s="65">
        <f t="shared" si="0"/>
        <v>9.8603122432210349E-4</v>
      </c>
      <c r="I15" s="223"/>
    </row>
    <row r="16" spans="1:9" x14ac:dyDescent="0.35">
      <c r="A16" s="63" t="s">
        <v>170</v>
      </c>
      <c r="B16" s="70"/>
      <c r="C16" s="64">
        <v>6</v>
      </c>
      <c r="D16" s="64">
        <v>3</v>
      </c>
      <c r="E16" s="69">
        <f>+SUM(B16:C16)</f>
        <v>6</v>
      </c>
      <c r="F16" s="65">
        <f t="shared" si="0"/>
        <v>9.8603122432210349E-4</v>
      </c>
      <c r="I16" s="223"/>
    </row>
    <row r="17" spans="1:9" x14ac:dyDescent="0.35">
      <c r="A17" s="63" t="s">
        <v>171</v>
      </c>
      <c r="B17" s="64">
        <v>3</v>
      </c>
      <c r="C17" s="64">
        <v>1</v>
      </c>
      <c r="D17" s="64"/>
      <c r="E17" s="69">
        <f>+SUM(B17:C17)</f>
        <v>4</v>
      </c>
      <c r="F17" s="65">
        <f t="shared" si="0"/>
        <v>6.5735414954806899E-4</v>
      </c>
      <c r="H17" s="224"/>
      <c r="I17" s="225"/>
    </row>
    <row r="18" spans="1:9" x14ac:dyDescent="0.35">
      <c r="A18" s="63" t="s">
        <v>172</v>
      </c>
      <c r="B18" s="64">
        <v>1</v>
      </c>
      <c r="C18" s="64">
        <v>1</v>
      </c>
      <c r="D18" s="64"/>
      <c r="E18" s="69">
        <f>+SUM(B18:C18)</f>
        <v>2</v>
      </c>
      <c r="F18" s="65">
        <f t="shared" si="0"/>
        <v>3.286770747740345E-4</v>
      </c>
      <c r="I18" s="226"/>
    </row>
    <row r="19" spans="1:9" x14ac:dyDescent="0.35">
      <c r="A19" s="63" t="s">
        <v>173</v>
      </c>
      <c r="B19" s="70"/>
      <c r="C19" s="64">
        <v>1</v>
      </c>
      <c r="D19" s="64"/>
      <c r="E19" s="69">
        <f>+SUM(B19:C19)</f>
        <v>1</v>
      </c>
      <c r="F19" s="65">
        <f t="shared" si="0"/>
        <v>1.6433853738701725E-4</v>
      </c>
    </row>
    <row r="20" spans="1:9" x14ac:dyDescent="0.35">
      <c r="A20" s="63" t="s">
        <v>174</v>
      </c>
      <c r="B20" s="64">
        <v>1</v>
      </c>
      <c r="C20" s="70"/>
      <c r="D20" s="64"/>
      <c r="E20" s="69">
        <f>+SUM(B20:C20)</f>
        <v>1</v>
      </c>
      <c r="F20" s="65">
        <f t="shared" si="0"/>
        <v>1.6433853738701725E-4</v>
      </c>
    </row>
    <row r="21" spans="1:9" x14ac:dyDescent="0.35">
      <c r="A21" s="63" t="s">
        <v>175</v>
      </c>
      <c r="B21" s="64">
        <v>1</v>
      </c>
      <c r="C21" s="70"/>
      <c r="D21" s="64"/>
      <c r="E21" s="69">
        <f>+SUM(B21:C21)</f>
        <v>1</v>
      </c>
      <c r="F21" s="65">
        <f t="shared" si="0"/>
        <v>1.6433853738701725E-4</v>
      </c>
    </row>
    <row r="22" spans="1:9" x14ac:dyDescent="0.35">
      <c r="A22" s="63" t="s">
        <v>176</v>
      </c>
      <c r="B22" s="64">
        <v>1</v>
      </c>
      <c r="C22" s="70"/>
      <c r="D22" s="64"/>
      <c r="E22" s="69">
        <f>+SUM(B22:C22)</f>
        <v>1</v>
      </c>
      <c r="F22" s="65">
        <f t="shared" si="0"/>
        <v>1.6433853738701725E-4</v>
      </c>
    </row>
    <row r="23" spans="1:9" x14ac:dyDescent="0.35">
      <c r="A23" s="63" t="s">
        <v>206</v>
      </c>
      <c r="B23" s="227"/>
      <c r="C23" s="228"/>
      <c r="D23" s="227">
        <v>1</v>
      </c>
      <c r="E23" s="69">
        <f>+SUM(B23:C23)</f>
        <v>0</v>
      </c>
      <c r="F23" s="65">
        <f>+E23/$E$24</f>
        <v>0</v>
      </c>
    </row>
    <row r="24" spans="1:9" ht="15" thickBot="1" x14ac:dyDescent="0.4">
      <c r="A24" s="66" t="s">
        <v>103</v>
      </c>
      <c r="B24" s="67">
        <f>SUM(B3:B23)</f>
        <v>4016</v>
      </c>
      <c r="C24" s="67">
        <f>SUM(C3:C23)</f>
        <v>2069</v>
      </c>
      <c r="D24" s="67">
        <f>SUM(D3:D23)</f>
        <v>3210</v>
      </c>
      <c r="E24" s="67">
        <f>SUM(E3:E23)</f>
        <v>6085</v>
      </c>
      <c r="F24" s="68">
        <f>SUM(F3:F22)</f>
        <v>1</v>
      </c>
    </row>
    <row r="25" spans="1:9" ht="15" thickTop="1" x14ac:dyDescent="0.35"/>
  </sheetData>
  <pageMargins left="0.7" right="0.7" top="0.75" bottom="0.75" header="0.3" footer="0.3"/>
  <headerFooter>
    <oddFooter>&amp;C_x000D_&amp;1#&amp;"Calibri"&amp;10&amp;K008000 DOCUMENTO PÚBLICO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E14"/>
  <sheetViews>
    <sheetView workbookViewId="0">
      <selection activeCell="G15" sqref="G15"/>
    </sheetView>
  </sheetViews>
  <sheetFormatPr baseColWidth="10" defaultColWidth="11.453125" defaultRowHeight="14.5" x14ac:dyDescent="0.35"/>
  <cols>
    <col min="1" max="1" width="21.81640625" customWidth="1"/>
    <col min="2" max="2" width="21.453125" customWidth="1"/>
  </cols>
  <sheetData>
    <row r="1" spans="1:5" ht="29" x14ac:dyDescent="0.35">
      <c r="A1" s="71" t="s">
        <v>177</v>
      </c>
      <c r="B1" s="72" t="s">
        <v>178</v>
      </c>
      <c r="D1" s="71" t="s">
        <v>179</v>
      </c>
      <c r="E1" s="79">
        <v>11250</v>
      </c>
    </row>
    <row r="2" spans="1:5" x14ac:dyDescent="0.35">
      <c r="A2" s="73">
        <v>44409</v>
      </c>
      <c r="B2" s="74">
        <v>48</v>
      </c>
    </row>
    <row r="3" spans="1:5" x14ac:dyDescent="0.35">
      <c r="A3" s="75">
        <v>44440</v>
      </c>
      <c r="B3" s="76">
        <v>173</v>
      </c>
    </row>
    <row r="4" spans="1:5" x14ac:dyDescent="0.35">
      <c r="A4" s="73">
        <v>44470</v>
      </c>
      <c r="B4" s="74">
        <v>399</v>
      </c>
    </row>
    <row r="5" spans="1:5" x14ac:dyDescent="0.35">
      <c r="A5" s="75">
        <v>44501</v>
      </c>
      <c r="B5" s="76">
        <v>509</v>
      </c>
    </row>
    <row r="6" spans="1:5" x14ac:dyDescent="0.35">
      <c r="A6" s="73">
        <v>44531</v>
      </c>
      <c r="B6" s="74">
        <v>546</v>
      </c>
    </row>
    <row r="7" spans="1:5" x14ac:dyDescent="0.35">
      <c r="A7" s="75">
        <v>44562</v>
      </c>
      <c r="B7" s="76">
        <v>560</v>
      </c>
    </row>
    <row r="8" spans="1:5" x14ac:dyDescent="0.35">
      <c r="A8" s="73">
        <v>44593</v>
      </c>
      <c r="B8" s="74">
        <v>542</v>
      </c>
    </row>
    <row r="9" spans="1:5" x14ac:dyDescent="0.35">
      <c r="A9" s="75">
        <v>44621</v>
      </c>
      <c r="B9" s="76">
        <v>459</v>
      </c>
    </row>
    <row r="10" spans="1:5" x14ac:dyDescent="0.35">
      <c r="A10" s="73">
        <v>44652</v>
      </c>
      <c r="B10" s="74">
        <v>352</v>
      </c>
    </row>
    <row r="11" spans="1:5" x14ac:dyDescent="0.35">
      <c r="A11" s="75">
        <v>44682</v>
      </c>
      <c r="B11" s="76">
        <v>217</v>
      </c>
    </row>
    <row r="12" spans="1:5" x14ac:dyDescent="0.35">
      <c r="A12" s="73">
        <v>44713</v>
      </c>
      <c r="B12" s="74">
        <v>161</v>
      </c>
    </row>
    <row r="13" spans="1:5" x14ac:dyDescent="0.35">
      <c r="A13" s="75">
        <v>44743</v>
      </c>
      <c r="B13" s="76">
        <v>75</v>
      </c>
    </row>
    <row r="14" spans="1:5" x14ac:dyDescent="0.35">
      <c r="A14" s="73">
        <v>44774</v>
      </c>
      <c r="B14" s="74">
        <v>129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B3"/>
  <sheetViews>
    <sheetView workbookViewId="0">
      <selection activeCell="F19" sqref="F19"/>
    </sheetView>
  </sheetViews>
  <sheetFormatPr baseColWidth="10" defaultColWidth="11.453125" defaultRowHeight="14.5" x14ac:dyDescent="0.35"/>
  <cols>
    <col min="1" max="1" width="20" customWidth="1"/>
    <col min="2" max="2" width="24.453125" customWidth="1"/>
  </cols>
  <sheetData>
    <row r="1" spans="1:2" x14ac:dyDescent="0.35">
      <c r="A1" s="71" t="s">
        <v>180</v>
      </c>
      <c r="B1" s="72" t="s">
        <v>181</v>
      </c>
    </row>
    <row r="2" spans="1:2" x14ac:dyDescent="0.35">
      <c r="A2" s="73" t="s">
        <v>182</v>
      </c>
      <c r="B2" s="74">
        <v>700</v>
      </c>
    </row>
    <row r="3" spans="1:2" x14ac:dyDescent="0.35">
      <c r="A3" s="75" t="s">
        <v>183</v>
      </c>
      <c r="B3" s="76">
        <v>130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D4:G19"/>
  <sheetViews>
    <sheetView topLeftCell="A4" workbookViewId="0">
      <selection activeCell="G19" sqref="G19"/>
    </sheetView>
  </sheetViews>
  <sheetFormatPr baseColWidth="10" defaultColWidth="11.453125" defaultRowHeight="14.5" x14ac:dyDescent="0.35"/>
  <cols>
    <col min="5" max="5" width="21.81640625" customWidth="1"/>
    <col min="6" max="6" width="28.26953125" customWidth="1"/>
  </cols>
  <sheetData>
    <row r="4" spans="4:7" x14ac:dyDescent="0.35">
      <c r="D4" s="157" t="s">
        <v>184</v>
      </c>
      <c r="E4" s="158"/>
      <c r="F4" s="158"/>
      <c r="G4" s="159"/>
    </row>
    <row r="5" spans="4:7" ht="43.5" x14ac:dyDescent="0.35">
      <c r="D5" s="78" t="s">
        <v>185</v>
      </c>
      <c r="E5" s="78" t="s">
        <v>200</v>
      </c>
      <c r="F5" s="189" t="s">
        <v>199</v>
      </c>
      <c r="G5" s="78" t="s">
        <v>91</v>
      </c>
    </row>
    <row r="6" spans="4:7" x14ac:dyDescent="0.35">
      <c r="D6" s="100">
        <v>44562</v>
      </c>
      <c r="E6" s="77">
        <v>1906</v>
      </c>
      <c r="F6" s="77">
        <v>845</v>
      </c>
      <c r="G6" s="77">
        <f t="shared" ref="G6:G13" si="0">F6+E6</f>
        <v>2751</v>
      </c>
    </row>
    <row r="7" spans="4:7" x14ac:dyDescent="0.35">
      <c r="D7" s="100">
        <v>44593</v>
      </c>
      <c r="E7" s="77">
        <v>2034</v>
      </c>
      <c r="F7" s="77">
        <v>1276</v>
      </c>
      <c r="G7" s="77">
        <f t="shared" si="0"/>
        <v>3310</v>
      </c>
    </row>
    <row r="8" spans="4:7" x14ac:dyDescent="0.35">
      <c r="D8" s="100">
        <v>44621</v>
      </c>
      <c r="E8" s="77">
        <v>2624</v>
      </c>
      <c r="F8" s="77">
        <v>1189</v>
      </c>
      <c r="G8" s="77">
        <f t="shared" si="0"/>
        <v>3813</v>
      </c>
    </row>
    <row r="9" spans="4:7" x14ac:dyDescent="0.35">
      <c r="D9" s="100">
        <v>44652</v>
      </c>
      <c r="E9" s="77">
        <v>2651</v>
      </c>
      <c r="F9" s="77">
        <v>1189</v>
      </c>
      <c r="G9" s="77">
        <f t="shared" si="0"/>
        <v>3840</v>
      </c>
    </row>
    <row r="10" spans="4:7" x14ac:dyDescent="0.35">
      <c r="D10" s="100">
        <v>44682</v>
      </c>
      <c r="E10" s="77">
        <v>2327</v>
      </c>
      <c r="F10" s="77">
        <v>1645</v>
      </c>
      <c r="G10" s="77">
        <f t="shared" si="0"/>
        <v>3972</v>
      </c>
    </row>
    <row r="11" spans="4:7" x14ac:dyDescent="0.35">
      <c r="D11" s="100">
        <v>44713</v>
      </c>
      <c r="E11" s="77">
        <v>2319</v>
      </c>
      <c r="F11" s="77">
        <v>1300</v>
      </c>
      <c r="G11" s="77">
        <f t="shared" si="0"/>
        <v>3619</v>
      </c>
    </row>
    <row r="12" spans="4:7" x14ac:dyDescent="0.35">
      <c r="D12" s="100">
        <v>44743</v>
      </c>
      <c r="E12" s="77">
        <v>2319</v>
      </c>
      <c r="F12" s="77">
        <v>1299</v>
      </c>
      <c r="G12" s="77">
        <f t="shared" si="0"/>
        <v>3618</v>
      </c>
    </row>
    <row r="13" spans="4:7" x14ac:dyDescent="0.35">
      <c r="D13" s="100">
        <v>44774</v>
      </c>
      <c r="E13" s="77">
        <v>2288</v>
      </c>
      <c r="F13" s="77">
        <v>1261</v>
      </c>
      <c r="G13" s="77">
        <f t="shared" si="0"/>
        <v>3549</v>
      </c>
    </row>
    <row r="14" spans="4:7" x14ac:dyDescent="0.35">
      <c r="D14" s="100">
        <v>44805</v>
      </c>
      <c r="E14" s="77">
        <v>2872</v>
      </c>
      <c r="F14" s="77">
        <v>1252</v>
      </c>
      <c r="G14" s="77">
        <v>4124</v>
      </c>
    </row>
    <row r="15" spans="4:7" x14ac:dyDescent="0.35">
      <c r="D15" s="100">
        <v>44835</v>
      </c>
      <c r="E15" s="77">
        <v>2597</v>
      </c>
      <c r="F15" s="77">
        <v>1229</v>
      </c>
      <c r="G15" s="77">
        <v>3826</v>
      </c>
    </row>
    <row r="16" spans="4:7" x14ac:dyDescent="0.35">
      <c r="D16" s="146"/>
      <c r="E16" s="147"/>
      <c r="F16" s="147"/>
      <c r="G16" s="147"/>
    </row>
    <row r="17" spans="5:6" x14ac:dyDescent="0.35">
      <c r="E17" t="s">
        <v>201</v>
      </c>
      <c r="F17" s="192">
        <f>+MIN(G6:G15)</f>
        <v>2751</v>
      </c>
    </row>
    <row r="18" spans="5:6" x14ac:dyDescent="0.35">
      <c r="E18" t="s">
        <v>202</v>
      </c>
      <c r="F18" s="192">
        <f>+MAX(G6:G15)</f>
        <v>4124</v>
      </c>
    </row>
    <row r="19" spans="5:6" x14ac:dyDescent="0.35">
      <c r="E19" s="190" t="s">
        <v>67</v>
      </c>
      <c r="F19" s="191">
        <f>AVERAGE(G6:G15)</f>
        <v>3642.2</v>
      </c>
    </row>
  </sheetData>
  <mergeCells count="1">
    <mergeCell ref="D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2"/>
  <sheetViews>
    <sheetView topLeftCell="K5" zoomScale="70" zoomScaleNormal="70" workbookViewId="0">
      <selection activeCell="AA31" sqref="AA31"/>
    </sheetView>
  </sheetViews>
  <sheetFormatPr baseColWidth="10" defaultColWidth="11.453125" defaultRowHeight="14.5" x14ac:dyDescent="0.35"/>
  <cols>
    <col min="1" max="1" width="25.1796875" customWidth="1"/>
    <col min="2" max="2" width="9.1796875" customWidth="1"/>
    <col min="3" max="3" width="10.1796875" customWidth="1"/>
    <col min="4" max="4" width="9.453125" customWidth="1"/>
    <col min="5" max="5" width="8" customWidth="1"/>
    <col min="6" max="6" width="9" customWidth="1"/>
    <col min="7" max="7" width="8.453125" customWidth="1"/>
    <col min="8" max="8" width="8" customWidth="1"/>
    <col min="9" max="9" width="9.54296875" customWidth="1"/>
    <col min="10" max="10" width="13.54296875" customWidth="1"/>
    <col min="11" max="11" width="10.453125" customWidth="1"/>
    <col min="12" max="12" width="13.453125" customWidth="1"/>
    <col min="13" max="13" width="12" customWidth="1"/>
    <col min="14" max="14" width="18.1796875" customWidth="1"/>
    <col min="15" max="15" width="19.81640625" customWidth="1"/>
    <col min="17" max="17" width="25.1796875" customWidth="1"/>
    <col min="18" max="18" width="9.1796875" customWidth="1"/>
    <col min="19" max="19" width="10.1796875" customWidth="1"/>
    <col min="20" max="20" width="9.453125" customWidth="1"/>
    <col min="21" max="21" width="10.81640625" customWidth="1"/>
    <col min="22" max="22" width="9" customWidth="1"/>
    <col min="23" max="23" width="8.453125" customWidth="1"/>
    <col min="24" max="27" width="8" customWidth="1"/>
    <col min="28" max="28" width="17.81640625" customWidth="1"/>
    <col min="29" max="29" width="20.81640625" customWidth="1"/>
  </cols>
  <sheetData>
    <row r="1" spans="1:29" ht="22.5" customHeight="1" x14ac:dyDescent="0.35">
      <c r="A1" s="6" t="s">
        <v>45</v>
      </c>
      <c r="Q1" s="6" t="s">
        <v>46</v>
      </c>
    </row>
    <row r="2" spans="1:29" x14ac:dyDescent="0.3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7" t="s">
        <v>15</v>
      </c>
      <c r="O2" s="38" t="s">
        <v>16</v>
      </c>
      <c r="Q2" s="117" t="s">
        <v>2</v>
      </c>
      <c r="R2" s="118" t="s">
        <v>3</v>
      </c>
      <c r="S2" s="118" t="s">
        <v>4</v>
      </c>
      <c r="T2" s="118" t="s">
        <v>5</v>
      </c>
      <c r="U2" s="118" t="s">
        <v>6</v>
      </c>
      <c r="V2" s="118" t="s">
        <v>7</v>
      </c>
      <c r="W2" s="118" t="s">
        <v>8</v>
      </c>
      <c r="X2" s="118" t="s">
        <v>9</v>
      </c>
      <c r="Y2" s="118" t="s">
        <v>10</v>
      </c>
      <c r="Z2" s="118" t="s">
        <v>11</v>
      </c>
      <c r="AA2" s="118" t="s">
        <v>12</v>
      </c>
      <c r="AB2" s="119" t="s">
        <v>15</v>
      </c>
      <c r="AC2" s="120" t="s">
        <v>16</v>
      </c>
    </row>
    <row r="3" spans="1:29" x14ac:dyDescent="0.35">
      <c r="A3" s="2" t="s">
        <v>17</v>
      </c>
      <c r="B3" s="4">
        <v>0</v>
      </c>
      <c r="C3" s="4">
        <v>1</v>
      </c>
      <c r="D3" s="4">
        <v>2</v>
      </c>
      <c r="E3" s="4">
        <v>0</v>
      </c>
      <c r="F3" s="4">
        <v>3</v>
      </c>
      <c r="G3" s="5">
        <v>3</v>
      </c>
      <c r="H3" s="4">
        <v>0</v>
      </c>
      <c r="I3" s="4">
        <v>5</v>
      </c>
      <c r="J3" s="4">
        <v>84</v>
      </c>
      <c r="K3" s="4">
        <v>126</v>
      </c>
      <c r="L3" s="4">
        <v>2</v>
      </c>
      <c r="M3" s="4">
        <v>3</v>
      </c>
      <c r="N3" s="40">
        <f>SUM(Tabla13[[#This Row],[Enero]:[Diciembre]])</f>
        <v>229</v>
      </c>
      <c r="O3" s="40">
        <f>AVERAGE(Tabla13[[#This Row],[Enero]:[Diciembre]])</f>
        <v>19.083333333333332</v>
      </c>
      <c r="Q3" s="121" t="s">
        <v>17</v>
      </c>
      <c r="R3" s="110">
        <v>2</v>
      </c>
      <c r="S3" s="110">
        <v>4</v>
      </c>
      <c r="T3" s="110">
        <v>3</v>
      </c>
      <c r="U3" s="110">
        <v>3</v>
      </c>
      <c r="V3" s="110">
        <v>3</v>
      </c>
      <c r="W3" s="111">
        <v>3</v>
      </c>
      <c r="X3" s="110">
        <v>3</v>
      </c>
      <c r="Y3" s="110">
        <v>3</v>
      </c>
      <c r="Z3" s="110">
        <v>4</v>
      </c>
      <c r="AA3" s="110">
        <f>+Tabla15[[#This Row],[Julio]]-3</f>
        <v>0</v>
      </c>
      <c r="AB3" s="101">
        <f>+R3+S3+T3+U3+V3+W3+X3+Tabla15[[#This Row],[Agosto]]+Tabla15[[#This Row],[Septiembre]]+Tabla15[[#This Row],[Octubre]]</f>
        <v>28</v>
      </c>
      <c r="AC3" s="128">
        <f>+AB3/10</f>
        <v>2.8</v>
      </c>
    </row>
    <row r="4" spans="1:29" x14ac:dyDescent="0.35">
      <c r="A4" s="2" t="s">
        <v>18</v>
      </c>
      <c r="B4" s="4">
        <v>28</v>
      </c>
      <c r="C4" s="4">
        <v>70</v>
      </c>
      <c r="D4" s="4">
        <v>70</v>
      </c>
      <c r="E4" s="4">
        <v>46</v>
      </c>
      <c r="F4" s="4">
        <v>45</v>
      </c>
      <c r="G4" s="5">
        <v>30</v>
      </c>
      <c r="H4" s="4">
        <v>135</v>
      </c>
      <c r="I4" s="4">
        <v>143</v>
      </c>
      <c r="J4" s="4">
        <v>52</v>
      </c>
      <c r="K4" s="4">
        <v>30</v>
      </c>
      <c r="L4" s="4">
        <v>87</v>
      </c>
      <c r="M4" s="4">
        <v>26</v>
      </c>
      <c r="N4" s="40">
        <f>SUM(Tabla13[[#This Row],[Enero]:[Diciembre]])</f>
        <v>762</v>
      </c>
      <c r="O4" s="40">
        <f>AVERAGE(Tabla13[[#This Row],[Enero]:[Diciembre]])</f>
        <v>63.5</v>
      </c>
      <c r="Q4" s="121" t="s">
        <v>18</v>
      </c>
      <c r="R4" s="110">
        <v>21</v>
      </c>
      <c r="S4" s="110">
        <v>34</v>
      </c>
      <c r="T4" s="110">
        <v>30</v>
      </c>
      <c r="U4" s="110">
        <v>25</v>
      </c>
      <c r="V4" s="110">
        <v>27</v>
      </c>
      <c r="W4" s="111">
        <v>29</v>
      </c>
      <c r="X4" s="110">
        <v>29</v>
      </c>
      <c r="Y4" s="110">
        <v>30</v>
      </c>
      <c r="Z4" s="110">
        <v>25</v>
      </c>
      <c r="AA4" s="110">
        <f>+Tabla15[[#This Row],[Julio]]-3</f>
        <v>26</v>
      </c>
      <c r="AB4" s="101">
        <f>+R4+S4+T4+U4+V4+W4+X4+Tabla15[[#This Row],[Agosto]]+Tabla15[[#This Row],[Septiembre]]+Tabla15[[#This Row],[Octubre]]</f>
        <v>276</v>
      </c>
      <c r="AC4" s="128">
        <f t="shared" ref="AC4:AC26" si="0">+AB4/10</f>
        <v>27.6</v>
      </c>
    </row>
    <row r="5" spans="1:29" ht="29" x14ac:dyDescent="0.35">
      <c r="A5" s="7" t="s">
        <v>19</v>
      </c>
      <c r="B5" s="4">
        <v>2</v>
      </c>
      <c r="C5" s="4">
        <v>0</v>
      </c>
      <c r="D5" s="4">
        <v>1</v>
      </c>
      <c r="E5" s="4">
        <v>0</v>
      </c>
      <c r="F5" s="4">
        <v>0</v>
      </c>
      <c r="G5" s="5">
        <v>0</v>
      </c>
      <c r="H5" s="4">
        <v>1</v>
      </c>
      <c r="I5" s="4">
        <v>0</v>
      </c>
      <c r="J5" s="4">
        <v>8</v>
      </c>
      <c r="K5" s="4">
        <v>14</v>
      </c>
      <c r="L5" s="4">
        <v>2</v>
      </c>
      <c r="M5" s="4">
        <v>30</v>
      </c>
      <c r="N5" s="40">
        <f>SUM(Tabla13[[#This Row],[Enero]:[Diciembre]])</f>
        <v>58</v>
      </c>
      <c r="O5" s="40">
        <f>AVERAGE(Tabla13[[#This Row],[Enero]:[Diciembre]])</f>
        <v>4.833333333333333</v>
      </c>
      <c r="Q5" s="124" t="s">
        <v>19</v>
      </c>
      <c r="R5" s="110">
        <v>0</v>
      </c>
      <c r="S5" s="110">
        <v>0</v>
      </c>
      <c r="T5" s="110">
        <v>0</v>
      </c>
      <c r="U5" s="110">
        <v>0</v>
      </c>
      <c r="V5" s="110">
        <v>0</v>
      </c>
      <c r="W5" s="111">
        <v>0</v>
      </c>
      <c r="X5" s="110">
        <v>0</v>
      </c>
      <c r="Y5" s="110">
        <v>0</v>
      </c>
      <c r="Z5" s="110">
        <v>0</v>
      </c>
      <c r="AA5" s="110">
        <v>0</v>
      </c>
      <c r="AB5" s="101">
        <f>+R5+S5+T5+U5+V5+W5+X5+Tabla15[[#This Row],[Agosto]]+Tabla15[[#This Row],[Septiembre]]+Tabla15[[#This Row],[Octubre]]</f>
        <v>0</v>
      </c>
      <c r="AC5" s="128">
        <f t="shared" si="0"/>
        <v>0</v>
      </c>
    </row>
    <row r="6" spans="1:29" x14ac:dyDescent="0.35">
      <c r="A6" s="2" t="s">
        <v>21</v>
      </c>
      <c r="B6" s="4">
        <v>39</v>
      </c>
      <c r="C6" s="4">
        <v>20</v>
      </c>
      <c r="D6" s="4">
        <v>72</v>
      </c>
      <c r="E6" s="4">
        <v>40</v>
      </c>
      <c r="F6" s="4">
        <v>20</v>
      </c>
      <c r="G6" s="5">
        <v>71</v>
      </c>
      <c r="H6" s="4">
        <v>54</v>
      </c>
      <c r="I6" s="4">
        <v>43</v>
      </c>
      <c r="J6" s="4">
        <v>26</v>
      </c>
      <c r="K6" s="4">
        <v>33</v>
      </c>
      <c r="L6" s="4">
        <v>41</v>
      </c>
      <c r="M6" s="4">
        <v>41</v>
      </c>
      <c r="N6" s="40">
        <f>SUM(Tabla13[[#This Row],[Enero]:[Diciembre]])</f>
        <v>500</v>
      </c>
      <c r="O6" s="40">
        <f>AVERAGE(Tabla13[[#This Row],[Enero]:[Diciembre]])</f>
        <v>41.666666666666664</v>
      </c>
      <c r="Q6" s="121" t="s">
        <v>21</v>
      </c>
      <c r="R6" s="110">
        <v>10</v>
      </c>
      <c r="S6" s="110">
        <v>17</v>
      </c>
      <c r="T6" s="110">
        <v>15</v>
      </c>
      <c r="U6" s="110">
        <v>13</v>
      </c>
      <c r="V6" s="110">
        <v>13</v>
      </c>
      <c r="W6" s="111">
        <v>14</v>
      </c>
      <c r="X6" s="110">
        <v>15</v>
      </c>
      <c r="Y6" s="110">
        <v>15</v>
      </c>
      <c r="Z6" s="110">
        <v>13</v>
      </c>
      <c r="AA6" s="110">
        <f>+Tabla15[[#This Row],[Julio]]-3</f>
        <v>12</v>
      </c>
      <c r="AB6" s="101">
        <f>+R6+S6+T6+U6+V6+W6+X6+Tabla15[[#This Row],[Agosto]]+Tabla15[[#This Row],[Septiembre]]+Tabla15[[#This Row],[Octubre]]</f>
        <v>137</v>
      </c>
      <c r="AC6" s="128">
        <f t="shared" si="0"/>
        <v>13.7</v>
      </c>
    </row>
    <row r="7" spans="1:29" x14ac:dyDescent="0.35">
      <c r="A7" s="2" t="s">
        <v>22</v>
      </c>
      <c r="B7" s="4">
        <v>10</v>
      </c>
      <c r="C7" s="4">
        <v>9</v>
      </c>
      <c r="D7" s="4">
        <v>23</v>
      </c>
      <c r="E7" s="4">
        <v>9</v>
      </c>
      <c r="F7" s="4">
        <v>9</v>
      </c>
      <c r="G7" s="5">
        <v>43</v>
      </c>
      <c r="H7" s="4">
        <v>146</v>
      </c>
      <c r="I7" s="4">
        <v>175</v>
      </c>
      <c r="J7" s="4">
        <v>23</v>
      </c>
      <c r="K7" s="4">
        <v>41</v>
      </c>
      <c r="L7" s="4">
        <v>11</v>
      </c>
      <c r="M7" s="4">
        <v>15</v>
      </c>
      <c r="N7" s="40">
        <f>SUM(Tabla13[[#This Row],[Enero]:[Diciembre]])</f>
        <v>514</v>
      </c>
      <c r="O7" s="40">
        <f>AVERAGE(Tabla13[[#This Row],[Enero]:[Diciembre]])</f>
        <v>42.833333333333336</v>
      </c>
      <c r="Q7" s="121" t="s">
        <v>22</v>
      </c>
      <c r="R7" s="110">
        <v>19</v>
      </c>
      <c r="S7" s="110">
        <v>31</v>
      </c>
      <c r="T7" s="110">
        <v>28</v>
      </c>
      <c r="U7" s="110">
        <v>24</v>
      </c>
      <c r="V7" s="110">
        <v>25</v>
      </c>
      <c r="W7" s="111">
        <v>26</v>
      </c>
      <c r="X7" s="110">
        <v>27</v>
      </c>
      <c r="Y7" s="110">
        <v>28</v>
      </c>
      <c r="Z7" s="110">
        <v>25</v>
      </c>
      <c r="AA7" s="110">
        <f>+Tabla15[[#This Row],[Julio]]-3</f>
        <v>24</v>
      </c>
      <c r="AB7" s="101">
        <f>+R7+S7+T7+U7+V7+W7+X7+Tabla15[[#This Row],[Agosto]]+Tabla15[[#This Row],[Septiembre]]+Tabla15[[#This Row],[Octubre]]</f>
        <v>257</v>
      </c>
      <c r="AC7" s="128">
        <f t="shared" si="0"/>
        <v>25.7</v>
      </c>
    </row>
    <row r="8" spans="1:29" x14ac:dyDescent="0.35">
      <c r="A8" s="2" t="s">
        <v>23</v>
      </c>
      <c r="B8" s="4">
        <v>300</v>
      </c>
      <c r="C8" s="4">
        <v>441</v>
      </c>
      <c r="D8" s="4">
        <v>352</v>
      </c>
      <c r="E8" s="4">
        <v>214</v>
      </c>
      <c r="F8" s="4">
        <v>384</v>
      </c>
      <c r="G8" s="5">
        <v>364</v>
      </c>
      <c r="H8" s="4">
        <v>353</v>
      </c>
      <c r="I8" s="4">
        <v>323</v>
      </c>
      <c r="J8" s="4">
        <v>379</v>
      </c>
      <c r="K8" s="4">
        <v>323</v>
      </c>
      <c r="L8" s="4">
        <v>449</v>
      </c>
      <c r="M8" s="4">
        <v>580</v>
      </c>
      <c r="N8" s="40">
        <f>SUM(Tabla13[[#This Row],[Enero]:[Diciembre]])</f>
        <v>4462</v>
      </c>
      <c r="O8" s="40">
        <f>AVERAGE(Tabla13[[#This Row],[Enero]:[Diciembre]])</f>
        <v>371.83333333333331</v>
      </c>
      <c r="Q8" s="121" t="s">
        <v>23</v>
      </c>
      <c r="R8" s="110">
        <v>424</v>
      </c>
      <c r="S8" s="110">
        <v>686</v>
      </c>
      <c r="T8" s="110">
        <v>603</v>
      </c>
      <c r="U8" s="110">
        <v>513</v>
      </c>
      <c r="V8" s="110">
        <v>538</v>
      </c>
      <c r="W8" s="111">
        <v>578</v>
      </c>
      <c r="X8" s="110">
        <v>590</v>
      </c>
      <c r="Y8" s="110">
        <v>603</v>
      </c>
      <c r="Z8" s="110">
        <v>520</v>
      </c>
      <c r="AA8" s="110">
        <f>+Tabla15[[#This Row],[Julio]]-3</f>
        <v>587</v>
      </c>
      <c r="AB8" s="101">
        <f>+R8+S8+T8+U8+V8+W8+X8+Tabla15[[#This Row],[Agosto]]+Tabla15[[#This Row],[Septiembre]]+Tabla15[[#This Row],[Octubre]]</f>
        <v>5642</v>
      </c>
      <c r="AC8" s="128">
        <f t="shared" si="0"/>
        <v>564.20000000000005</v>
      </c>
    </row>
    <row r="9" spans="1:29" x14ac:dyDescent="0.35">
      <c r="A9" s="2" t="s">
        <v>24</v>
      </c>
      <c r="B9" s="4">
        <v>6</v>
      </c>
      <c r="C9" s="4">
        <v>63</v>
      </c>
      <c r="D9" s="4">
        <v>15</v>
      </c>
      <c r="E9" s="4">
        <v>24</v>
      </c>
      <c r="F9" s="4">
        <v>8</v>
      </c>
      <c r="G9" s="5">
        <v>15</v>
      </c>
      <c r="H9" s="4">
        <v>61</v>
      </c>
      <c r="I9" s="4">
        <v>35</v>
      </c>
      <c r="J9" s="4">
        <v>7</v>
      </c>
      <c r="K9" s="4">
        <v>9</v>
      </c>
      <c r="L9" s="4">
        <v>16</v>
      </c>
      <c r="M9" s="4">
        <v>47</v>
      </c>
      <c r="N9" s="40">
        <f>SUM(Tabla13[[#This Row],[Enero]:[Diciembre]])</f>
        <v>306</v>
      </c>
      <c r="O9" s="40">
        <f>AVERAGE(Tabla13[[#This Row],[Enero]:[Diciembre]])</f>
        <v>25.5</v>
      </c>
      <c r="Q9" s="121" t="s">
        <v>24</v>
      </c>
      <c r="R9" s="110">
        <v>40</v>
      </c>
      <c r="S9" s="110">
        <v>65</v>
      </c>
      <c r="T9" s="110">
        <v>57</v>
      </c>
      <c r="U9" s="110">
        <v>49</v>
      </c>
      <c r="V9" s="110">
        <v>51</v>
      </c>
      <c r="W9" s="111">
        <v>55</v>
      </c>
      <c r="X9" s="110">
        <v>56</v>
      </c>
      <c r="Y9" s="110">
        <v>57</v>
      </c>
      <c r="Z9" s="110">
        <v>52</v>
      </c>
      <c r="AA9" s="110">
        <f>+Tabla15[[#This Row],[Julio]]-3</f>
        <v>53</v>
      </c>
      <c r="AB9" s="101">
        <f>+R9+S9+T9+U9+V9+W9+X9+Tabla15[[#This Row],[Agosto]]+Tabla15[[#This Row],[Septiembre]]+Tabla15[[#This Row],[Octubre]]</f>
        <v>535</v>
      </c>
      <c r="AC9" s="128">
        <f t="shared" si="0"/>
        <v>53.5</v>
      </c>
    </row>
    <row r="10" spans="1:29" x14ac:dyDescent="0.35">
      <c r="A10" s="2" t="s">
        <v>25</v>
      </c>
      <c r="B10" s="4">
        <v>22</v>
      </c>
      <c r="C10" s="4">
        <v>35</v>
      </c>
      <c r="D10" s="4">
        <v>45</v>
      </c>
      <c r="E10" s="4">
        <v>35</v>
      </c>
      <c r="F10" s="4">
        <v>52</v>
      </c>
      <c r="G10" s="5">
        <v>30</v>
      </c>
      <c r="H10" s="4">
        <v>36</v>
      </c>
      <c r="I10" s="4">
        <v>30</v>
      </c>
      <c r="J10" s="4">
        <v>32</v>
      </c>
      <c r="K10" s="4">
        <v>39</v>
      </c>
      <c r="L10" s="4">
        <v>41</v>
      </c>
      <c r="M10" s="4">
        <v>34</v>
      </c>
      <c r="N10" s="40">
        <f>SUM(Tabla13[[#This Row],[Enero]:[Diciembre]])</f>
        <v>431</v>
      </c>
      <c r="O10" s="40">
        <f>AVERAGE(Tabla13[[#This Row],[Enero]:[Diciembre]])</f>
        <v>35.916666666666664</v>
      </c>
      <c r="Q10" s="121" t="s">
        <v>25</v>
      </c>
      <c r="R10" s="110">
        <v>93</v>
      </c>
      <c r="S10" s="110">
        <v>150</v>
      </c>
      <c r="T10" s="110">
        <v>132</v>
      </c>
      <c r="U10" s="110">
        <v>112</v>
      </c>
      <c r="V10" s="110">
        <v>118</v>
      </c>
      <c r="W10" s="111">
        <v>126</v>
      </c>
      <c r="X10" s="110">
        <v>129</v>
      </c>
      <c r="Y10" s="110">
        <v>132</v>
      </c>
      <c r="Z10" s="110">
        <v>118</v>
      </c>
      <c r="AA10" s="110">
        <f>+Tabla15[[#This Row],[Julio]]-3</f>
        <v>126</v>
      </c>
      <c r="AB10" s="101">
        <f>+R10+S10+T10+U10+V10+W10+X10+Tabla15[[#This Row],[Agosto]]+Tabla15[[#This Row],[Septiembre]]+Tabla15[[#This Row],[Octubre]]</f>
        <v>1236</v>
      </c>
      <c r="AC10" s="128">
        <f t="shared" si="0"/>
        <v>123.6</v>
      </c>
    </row>
    <row r="11" spans="1:29" x14ac:dyDescent="0.35">
      <c r="A11" s="2" t="s">
        <v>26</v>
      </c>
      <c r="B11" s="4">
        <v>8</v>
      </c>
      <c r="C11" s="4">
        <v>21</v>
      </c>
      <c r="D11" s="4">
        <v>29</v>
      </c>
      <c r="E11" s="4">
        <v>15</v>
      </c>
      <c r="F11" s="4">
        <v>18</v>
      </c>
      <c r="G11" s="5">
        <v>88</v>
      </c>
      <c r="H11" s="4">
        <v>134</v>
      </c>
      <c r="I11" s="4">
        <v>42</v>
      </c>
      <c r="J11" s="4">
        <v>51</v>
      </c>
      <c r="K11" s="4">
        <v>15</v>
      </c>
      <c r="L11" s="4">
        <v>79</v>
      </c>
      <c r="M11" s="4">
        <v>24</v>
      </c>
      <c r="N11" s="40">
        <f>SUM(Tabla13[[#This Row],[Enero]:[Diciembre]])</f>
        <v>524</v>
      </c>
      <c r="O11" s="40">
        <f>AVERAGE(Tabla13[[#This Row],[Enero]:[Diciembre]])</f>
        <v>43.666666666666664</v>
      </c>
      <c r="Q11" s="121" t="s">
        <v>26</v>
      </c>
      <c r="R11" s="110">
        <v>14</v>
      </c>
      <c r="S11" s="110">
        <v>23</v>
      </c>
      <c r="T11" s="110">
        <v>20</v>
      </c>
      <c r="U11" s="110">
        <v>17</v>
      </c>
      <c r="V11" s="110">
        <v>18</v>
      </c>
      <c r="W11" s="111">
        <v>19</v>
      </c>
      <c r="X11" s="110">
        <v>20</v>
      </c>
      <c r="Y11" s="110">
        <v>20</v>
      </c>
      <c r="Z11" s="110">
        <v>18</v>
      </c>
      <c r="AA11" s="110">
        <f>+Tabla15[[#This Row],[Julio]]-3</f>
        <v>17</v>
      </c>
      <c r="AB11" s="101">
        <f>+R11+S11+T11+U11+V11+W11+X11+Tabla15[[#This Row],[Agosto]]+Tabla15[[#This Row],[Septiembre]]+Tabla15[[#This Row],[Octubre]]</f>
        <v>186</v>
      </c>
      <c r="AC11" s="128">
        <f t="shared" si="0"/>
        <v>18.600000000000001</v>
      </c>
    </row>
    <row r="12" spans="1:29" x14ac:dyDescent="0.35">
      <c r="A12" s="2" t="s">
        <v>27</v>
      </c>
      <c r="B12" s="4">
        <v>4</v>
      </c>
      <c r="C12" s="4">
        <v>48</v>
      </c>
      <c r="D12" s="4">
        <v>15</v>
      </c>
      <c r="E12" s="4">
        <v>82</v>
      </c>
      <c r="F12" s="4">
        <v>44</v>
      </c>
      <c r="G12" s="5">
        <v>13</v>
      </c>
      <c r="H12" s="4">
        <v>191</v>
      </c>
      <c r="I12" s="4">
        <v>71</v>
      </c>
      <c r="J12" s="4">
        <v>13</v>
      </c>
      <c r="K12" s="4">
        <v>52</v>
      </c>
      <c r="L12" s="4">
        <v>23</v>
      </c>
      <c r="M12" s="4">
        <v>6</v>
      </c>
      <c r="N12" s="40">
        <f>SUM(Tabla13[[#This Row],[Enero]:[Diciembre]])</f>
        <v>562</v>
      </c>
      <c r="O12" s="40">
        <f>AVERAGE(Tabla13[[#This Row],[Enero]:[Diciembre]])</f>
        <v>46.833333333333336</v>
      </c>
      <c r="Q12" s="121" t="s">
        <v>27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1">
        <v>0</v>
      </c>
      <c r="X12" s="110">
        <v>0</v>
      </c>
      <c r="Y12" s="110">
        <v>0</v>
      </c>
      <c r="Z12" s="110">
        <v>0</v>
      </c>
      <c r="AA12" s="110">
        <v>0</v>
      </c>
      <c r="AB12" s="101">
        <f>+R12+S12+T12+U12+V12+W12+X12+Tabla15[[#This Row],[Agosto]]+Tabla15[[#This Row],[Septiembre]]+Tabla15[[#This Row],[Octubre]]</f>
        <v>0</v>
      </c>
      <c r="AC12" s="128">
        <f t="shared" si="0"/>
        <v>0</v>
      </c>
    </row>
    <row r="13" spans="1:29" x14ac:dyDescent="0.35">
      <c r="A13" s="2" t="s">
        <v>28</v>
      </c>
      <c r="B13" s="4">
        <v>4</v>
      </c>
      <c r="C13" s="4">
        <v>6</v>
      </c>
      <c r="D13" s="4">
        <v>15</v>
      </c>
      <c r="E13" s="4">
        <v>17</v>
      </c>
      <c r="F13" s="4">
        <v>9</v>
      </c>
      <c r="G13" s="5">
        <v>18</v>
      </c>
      <c r="H13" s="4">
        <v>36</v>
      </c>
      <c r="I13" s="4">
        <v>10</v>
      </c>
      <c r="J13" s="4">
        <v>1</v>
      </c>
      <c r="K13" s="4">
        <v>4</v>
      </c>
      <c r="L13" s="4">
        <v>87</v>
      </c>
      <c r="M13" s="4">
        <v>4</v>
      </c>
      <c r="N13" s="40">
        <f>SUM(Tabla13[[#This Row],[Enero]:[Diciembre]])</f>
        <v>211</v>
      </c>
      <c r="O13" s="40">
        <f>AVERAGE(Tabla13[[#This Row],[Enero]:[Diciembre]])</f>
        <v>17.583333333333332</v>
      </c>
      <c r="Q13" s="121" t="s">
        <v>28</v>
      </c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1">
        <v>0</v>
      </c>
      <c r="X13" s="110">
        <v>0</v>
      </c>
      <c r="Y13" s="110">
        <v>0</v>
      </c>
      <c r="Z13" s="110">
        <v>0</v>
      </c>
      <c r="AA13" s="110">
        <v>0</v>
      </c>
      <c r="AB13" s="101">
        <f>+R13+S13+T13+U13+V13+W13+X13+Tabla15[[#This Row],[Agosto]]+Tabla15[[#This Row],[Septiembre]]+Tabla15[[#This Row],[Octubre]]</f>
        <v>0</v>
      </c>
      <c r="AC13" s="128">
        <f t="shared" si="0"/>
        <v>0</v>
      </c>
    </row>
    <row r="14" spans="1:29" x14ac:dyDescent="0.35">
      <c r="A14" s="2" t="s">
        <v>29</v>
      </c>
      <c r="B14" s="4">
        <v>330</v>
      </c>
      <c r="C14" s="4">
        <v>401</v>
      </c>
      <c r="D14" s="4">
        <v>370</v>
      </c>
      <c r="E14" s="4">
        <v>336</v>
      </c>
      <c r="F14" s="4">
        <v>273</v>
      </c>
      <c r="G14" s="5">
        <v>310</v>
      </c>
      <c r="H14" s="4">
        <v>511</v>
      </c>
      <c r="I14" s="4">
        <v>564</v>
      </c>
      <c r="J14" s="4">
        <v>401</v>
      </c>
      <c r="K14" s="4">
        <v>355</v>
      </c>
      <c r="L14" s="4">
        <v>332</v>
      </c>
      <c r="M14" s="4">
        <v>441</v>
      </c>
      <c r="N14" s="40">
        <f>SUM(Tabla13[[#This Row],[Enero]:[Diciembre]])</f>
        <v>4624</v>
      </c>
      <c r="O14" s="40">
        <f>AVERAGE(Tabla13[[#This Row],[Enero]:[Diciembre]])</f>
        <v>385.33333333333331</v>
      </c>
      <c r="Q14" s="121" t="s">
        <v>29</v>
      </c>
      <c r="R14" s="110">
        <v>243</v>
      </c>
      <c r="S14" s="110">
        <v>393</v>
      </c>
      <c r="T14" s="110">
        <v>346</v>
      </c>
      <c r="U14" s="110">
        <v>294</v>
      </c>
      <c r="V14" s="110">
        <v>308</v>
      </c>
      <c r="W14" s="111">
        <v>331</v>
      </c>
      <c r="X14" s="110">
        <v>338</v>
      </c>
      <c r="Y14" s="110">
        <v>345</v>
      </c>
      <c r="Z14" s="110">
        <v>308</v>
      </c>
      <c r="AA14" s="110">
        <v>294</v>
      </c>
      <c r="AB14" s="101">
        <f>+R14+S14+T14+U14+V14+W14+X14+Tabla15[[#This Row],[Agosto]]+Tabla15[[#This Row],[Septiembre]]+Tabla15[[#This Row],[Octubre]]</f>
        <v>3200</v>
      </c>
      <c r="AC14" s="128">
        <f t="shared" si="0"/>
        <v>320</v>
      </c>
    </row>
    <row r="15" spans="1:29" x14ac:dyDescent="0.35">
      <c r="A15" s="2" t="s">
        <v>30</v>
      </c>
      <c r="B15" s="4">
        <v>14</v>
      </c>
      <c r="C15" s="4">
        <v>19</v>
      </c>
      <c r="D15" s="4">
        <v>17</v>
      </c>
      <c r="E15" s="4">
        <v>12</v>
      </c>
      <c r="F15" s="4">
        <v>11</v>
      </c>
      <c r="G15" s="5">
        <v>28</v>
      </c>
      <c r="H15" s="4">
        <v>144</v>
      </c>
      <c r="I15" s="4">
        <v>241</v>
      </c>
      <c r="J15" s="4">
        <v>23</v>
      </c>
      <c r="K15" s="4">
        <v>33</v>
      </c>
      <c r="L15" s="4">
        <v>42</v>
      </c>
      <c r="M15" s="4">
        <v>51</v>
      </c>
      <c r="N15" s="40">
        <f>SUM(Tabla13[[#This Row],[Enero]:[Diciembre]])</f>
        <v>635</v>
      </c>
      <c r="O15" s="40">
        <f>AVERAGE(Tabla13[[#This Row],[Enero]:[Diciembre]])</f>
        <v>52.916666666666664</v>
      </c>
      <c r="Q15" s="121" t="s">
        <v>30</v>
      </c>
      <c r="R15" s="110">
        <v>49</v>
      </c>
      <c r="S15" s="110">
        <v>80</v>
      </c>
      <c r="T15" s="110">
        <v>70</v>
      </c>
      <c r="U15" s="110">
        <v>60</v>
      </c>
      <c r="V15" s="110">
        <v>63</v>
      </c>
      <c r="W15" s="111">
        <v>67</v>
      </c>
      <c r="X15" s="110">
        <v>69</v>
      </c>
      <c r="Y15" s="110">
        <v>70</v>
      </c>
      <c r="Z15" s="110">
        <v>63</v>
      </c>
      <c r="AA15" s="110">
        <f>+Tabla15[[#This Row],[Julio]]-3</f>
        <v>66</v>
      </c>
      <c r="AB15" s="101">
        <f>+R15+S15+T15+U15+V15+W15+X15+Tabla15[[#This Row],[Agosto]]+Tabla15[[#This Row],[Septiembre]]+Tabla15[[#This Row],[Octubre]]</f>
        <v>657</v>
      </c>
      <c r="AC15" s="128">
        <f t="shared" si="0"/>
        <v>65.7</v>
      </c>
    </row>
    <row r="16" spans="1:29" x14ac:dyDescent="0.35">
      <c r="A16" s="2" t="s">
        <v>31</v>
      </c>
      <c r="B16" s="4">
        <v>2</v>
      </c>
      <c r="C16" s="4">
        <v>6</v>
      </c>
      <c r="D16" s="4">
        <v>4</v>
      </c>
      <c r="E16" s="4">
        <v>6</v>
      </c>
      <c r="F16" s="4">
        <v>10</v>
      </c>
      <c r="G16" s="5">
        <v>20</v>
      </c>
      <c r="H16" s="4">
        <v>51</v>
      </c>
      <c r="I16" s="4">
        <v>45</v>
      </c>
      <c r="J16" s="4">
        <v>6</v>
      </c>
      <c r="K16" s="4">
        <v>8</v>
      </c>
      <c r="L16" s="4">
        <v>58</v>
      </c>
      <c r="M16" s="4">
        <v>4</v>
      </c>
      <c r="N16" s="40">
        <f>SUM(Tabla13[[#This Row],[Enero]:[Diciembre]])</f>
        <v>220</v>
      </c>
      <c r="O16" s="40">
        <f>AVERAGE(Tabla13[[#This Row],[Enero]:[Diciembre]])</f>
        <v>18.333333333333332</v>
      </c>
      <c r="Q16" s="121" t="s">
        <v>31</v>
      </c>
      <c r="R16" s="110">
        <v>22</v>
      </c>
      <c r="S16" s="110">
        <v>35</v>
      </c>
      <c r="T16" s="110">
        <v>31</v>
      </c>
      <c r="U16" s="110">
        <v>26</v>
      </c>
      <c r="V16" s="110">
        <v>28</v>
      </c>
      <c r="W16" s="111">
        <v>30</v>
      </c>
      <c r="X16" s="110">
        <v>30</v>
      </c>
      <c r="Y16" s="110">
        <v>30</v>
      </c>
      <c r="Z16" s="110">
        <v>28</v>
      </c>
      <c r="AA16" s="110">
        <f>+Tabla15[[#This Row],[Julio]]-3</f>
        <v>27</v>
      </c>
      <c r="AB16" s="101">
        <f>+R16+S16+T16+U16+V16+W16+X16+Tabla15[[#This Row],[Agosto]]+Tabla15[[#This Row],[Septiembre]]+Tabla15[[#This Row],[Octubre]]</f>
        <v>287</v>
      </c>
      <c r="AC16" s="128">
        <f t="shared" si="0"/>
        <v>28.7</v>
      </c>
    </row>
    <row r="17" spans="1:31" x14ac:dyDescent="0.35">
      <c r="A17" s="2" t="s">
        <v>32</v>
      </c>
      <c r="B17" s="4">
        <v>8</v>
      </c>
      <c r="C17" s="4">
        <v>4</v>
      </c>
      <c r="D17" s="4">
        <v>12</v>
      </c>
      <c r="E17" s="4">
        <v>30</v>
      </c>
      <c r="F17" s="4">
        <v>50</v>
      </c>
      <c r="G17" s="5">
        <v>18</v>
      </c>
      <c r="H17" s="4">
        <v>68</v>
      </c>
      <c r="I17" s="4">
        <v>380</v>
      </c>
      <c r="J17" s="4">
        <v>19</v>
      </c>
      <c r="K17" s="4">
        <v>18</v>
      </c>
      <c r="L17" s="4">
        <v>29</v>
      </c>
      <c r="M17" s="4">
        <v>24</v>
      </c>
      <c r="N17" s="40">
        <f>SUM(Tabla13[[#This Row],[Enero]:[Diciembre]])</f>
        <v>660</v>
      </c>
      <c r="O17" s="40">
        <f>AVERAGE(Tabla13[[#This Row],[Enero]:[Diciembre]])</f>
        <v>55</v>
      </c>
      <c r="Q17" s="121" t="s">
        <v>32</v>
      </c>
      <c r="R17" s="110">
        <v>3</v>
      </c>
      <c r="S17" s="110">
        <v>5</v>
      </c>
      <c r="T17" s="110">
        <v>4</v>
      </c>
      <c r="U17" s="110">
        <v>4</v>
      </c>
      <c r="V17" s="110">
        <v>4</v>
      </c>
      <c r="W17" s="111">
        <v>4</v>
      </c>
      <c r="X17" s="110">
        <v>4</v>
      </c>
      <c r="Y17" s="110">
        <v>4</v>
      </c>
      <c r="Z17" s="110">
        <v>4</v>
      </c>
      <c r="AA17" s="110">
        <f>+Tabla15[[#This Row],[Julio]]-3</f>
        <v>1</v>
      </c>
      <c r="AB17" s="101">
        <f>+R17+S17+T17+U17+V17+W17+X17+Tabla15[[#This Row],[Agosto]]+Tabla15[[#This Row],[Septiembre]]+Tabla15[[#This Row],[Octubre]]</f>
        <v>37</v>
      </c>
      <c r="AC17" s="128">
        <f t="shared" si="0"/>
        <v>3.7</v>
      </c>
    </row>
    <row r="18" spans="1:31" x14ac:dyDescent="0.35">
      <c r="A18" s="2" t="s">
        <v>33</v>
      </c>
      <c r="B18" s="4">
        <v>1</v>
      </c>
      <c r="C18" s="4">
        <v>0</v>
      </c>
      <c r="D18" s="4">
        <v>47</v>
      </c>
      <c r="E18" s="4">
        <v>23</v>
      </c>
      <c r="F18" s="4">
        <v>83</v>
      </c>
      <c r="G18" s="5">
        <v>113</v>
      </c>
      <c r="H18" s="4">
        <v>111</v>
      </c>
      <c r="I18" s="4">
        <v>41</v>
      </c>
      <c r="J18" s="4">
        <v>9</v>
      </c>
      <c r="K18" s="4">
        <v>106</v>
      </c>
      <c r="L18" s="4">
        <v>58</v>
      </c>
      <c r="M18" s="4">
        <v>2</v>
      </c>
      <c r="N18" s="40">
        <f>SUM(Tabla13[[#This Row],[Enero]:[Diciembre]])</f>
        <v>594</v>
      </c>
      <c r="O18" s="40">
        <f>AVERAGE(Tabla13[[#This Row],[Enero]:[Diciembre]])</f>
        <v>49.5</v>
      </c>
      <c r="Q18" s="121" t="s">
        <v>33</v>
      </c>
      <c r="R18" s="110">
        <v>5</v>
      </c>
      <c r="S18" s="110">
        <v>8</v>
      </c>
      <c r="T18" s="110">
        <v>7</v>
      </c>
      <c r="U18" s="110">
        <v>6</v>
      </c>
      <c r="V18" s="110">
        <v>7</v>
      </c>
      <c r="W18" s="111">
        <v>7</v>
      </c>
      <c r="X18" s="110">
        <v>7</v>
      </c>
      <c r="Y18" s="110">
        <v>7</v>
      </c>
      <c r="Z18" s="110">
        <v>7</v>
      </c>
      <c r="AA18" s="110">
        <f>+Tabla15[[#This Row],[Julio]]-3</f>
        <v>4</v>
      </c>
      <c r="AB18" s="101">
        <f>+R18+S18+T18+U18+V18+W18+X18+Tabla15[[#This Row],[Agosto]]+Tabla15[[#This Row],[Septiembre]]+Tabla15[[#This Row],[Octubre]]</f>
        <v>65</v>
      </c>
      <c r="AC18" s="128">
        <f t="shared" si="0"/>
        <v>6.5</v>
      </c>
    </row>
    <row r="19" spans="1:31" x14ac:dyDescent="0.35">
      <c r="A19" s="2" t="s">
        <v>34</v>
      </c>
      <c r="B19" s="4">
        <v>29</v>
      </c>
      <c r="C19" s="4">
        <v>117</v>
      </c>
      <c r="D19" s="4">
        <v>16</v>
      </c>
      <c r="E19" s="4">
        <v>16</v>
      </c>
      <c r="F19" s="4">
        <v>35</v>
      </c>
      <c r="G19" s="5">
        <v>36</v>
      </c>
      <c r="H19" s="4">
        <v>142</v>
      </c>
      <c r="I19" s="4">
        <v>170</v>
      </c>
      <c r="J19" s="4">
        <v>63</v>
      </c>
      <c r="K19" s="4">
        <v>13</v>
      </c>
      <c r="L19" s="4">
        <v>13</v>
      </c>
      <c r="M19" s="4">
        <v>23</v>
      </c>
      <c r="N19" s="40">
        <f>SUM(Tabla13[[#This Row],[Enero]:[Diciembre]])</f>
        <v>673</v>
      </c>
      <c r="O19" s="40">
        <f>AVERAGE(Tabla13[[#This Row],[Enero]:[Diciembre]])</f>
        <v>56.083333333333336</v>
      </c>
      <c r="Q19" s="121" t="s">
        <v>34</v>
      </c>
      <c r="R19" s="110">
        <v>9</v>
      </c>
      <c r="S19" s="110">
        <v>15</v>
      </c>
      <c r="T19" s="110">
        <v>13</v>
      </c>
      <c r="U19" s="110">
        <v>11</v>
      </c>
      <c r="V19" s="110">
        <v>11</v>
      </c>
      <c r="W19" s="111">
        <v>12</v>
      </c>
      <c r="X19" s="110">
        <v>12</v>
      </c>
      <c r="Y19" s="110">
        <v>12</v>
      </c>
      <c r="Z19" s="110">
        <v>12</v>
      </c>
      <c r="AA19" s="110">
        <f>+Tabla15[[#This Row],[Julio]]-3</f>
        <v>9</v>
      </c>
      <c r="AB19" s="101">
        <f>+R19+S19+T19+U19+V19+W19+X19+Tabla15[[#This Row],[Agosto]]+Tabla15[[#This Row],[Septiembre]]+Tabla15[[#This Row],[Octubre]]</f>
        <v>116</v>
      </c>
      <c r="AC19" s="128">
        <f t="shared" si="0"/>
        <v>11.6</v>
      </c>
    </row>
    <row r="20" spans="1:31" x14ac:dyDescent="0.35">
      <c r="A20" s="2" t="s">
        <v>35</v>
      </c>
      <c r="B20" s="4">
        <v>9</v>
      </c>
      <c r="C20" s="4">
        <v>5</v>
      </c>
      <c r="D20" s="4">
        <v>13</v>
      </c>
      <c r="E20" s="4">
        <v>3</v>
      </c>
      <c r="F20" s="4">
        <v>5</v>
      </c>
      <c r="G20" s="5">
        <v>12</v>
      </c>
      <c r="H20" s="4">
        <v>37</v>
      </c>
      <c r="I20" s="4">
        <v>33</v>
      </c>
      <c r="J20" s="4">
        <v>8</v>
      </c>
      <c r="K20" s="4">
        <v>44</v>
      </c>
      <c r="L20" s="4">
        <v>118</v>
      </c>
      <c r="M20" s="4">
        <v>11</v>
      </c>
      <c r="N20" s="40">
        <f>SUM(Tabla13[[#This Row],[Enero]:[Diciembre]])</f>
        <v>298</v>
      </c>
      <c r="O20" s="40">
        <f>AVERAGE(Tabla13[[#This Row],[Enero]:[Diciembre]])</f>
        <v>24.833333333333332</v>
      </c>
      <c r="Q20" s="121" t="s">
        <v>35</v>
      </c>
      <c r="R20" s="110">
        <v>4</v>
      </c>
      <c r="S20" s="110">
        <v>6</v>
      </c>
      <c r="T20" s="110">
        <v>5</v>
      </c>
      <c r="U20" s="110">
        <v>5</v>
      </c>
      <c r="V20" s="110">
        <v>5</v>
      </c>
      <c r="W20" s="111">
        <v>5</v>
      </c>
      <c r="X20" s="110">
        <v>5</v>
      </c>
      <c r="Y20" s="110">
        <v>5</v>
      </c>
      <c r="Z20" s="110">
        <v>5</v>
      </c>
      <c r="AA20" s="110">
        <f>+Tabla15[[#This Row],[Julio]]-3</f>
        <v>2</v>
      </c>
      <c r="AB20" s="101">
        <f>+R20+S20+T20+U20+V20+W20+X20+Tabla15[[#This Row],[Agosto]]+Tabla15[[#This Row],[Septiembre]]+Tabla15[[#This Row],[Octubre]]</f>
        <v>47</v>
      </c>
      <c r="AC20" s="128">
        <f t="shared" si="0"/>
        <v>4.7</v>
      </c>
    </row>
    <row r="21" spans="1:31" x14ac:dyDescent="0.35">
      <c r="A21" s="2" t="s">
        <v>36</v>
      </c>
      <c r="B21" s="4">
        <v>3</v>
      </c>
      <c r="C21" s="4">
        <v>1</v>
      </c>
      <c r="D21" s="4">
        <v>0</v>
      </c>
      <c r="E21" s="4">
        <v>1</v>
      </c>
      <c r="F21" s="4">
        <v>0</v>
      </c>
      <c r="G21" s="5">
        <v>1</v>
      </c>
      <c r="H21" s="4">
        <v>0</v>
      </c>
      <c r="I21" s="4">
        <v>1</v>
      </c>
      <c r="J21" s="4">
        <v>3</v>
      </c>
      <c r="K21" s="4">
        <v>268</v>
      </c>
      <c r="L21" s="4">
        <v>26</v>
      </c>
      <c r="M21" s="4">
        <v>27</v>
      </c>
      <c r="N21" s="40">
        <f>SUM(Tabla13[[#This Row],[Enero]:[Diciembre]])</f>
        <v>331</v>
      </c>
      <c r="O21" s="40">
        <f>AVERAGE(Tabla13[[#This Row],[Enero]:[Diciembre]])</f>
        <v>27.583333333333332</v>
      </c>
      <c r="Q21" s="121" t="s">
        <v>36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1">
        <v>0</v>
      </c>
      <c r="X21" s="110">
        <v>0</v>
      </c>
      <c r="Y21" s="110">
        <v>0</v>
      </c>
      <c r="Z21" s="110">
        <v>0</v>
      </c>
      <c r="AA21" s="110">
        <v>0</v>
      </c>
      <c r="AB21" s="101">
        <f>+R21+S21+T21+U21+V21+W21+X21+Tabla15[[#This Row],[Agosto]]+Tabla15[[#This Row],[Septiembre]]+Tabla15[[#This Row],[Octubre]]</f>
        <v>0</v>
      </c>
      <c r="AC21" s="128">
        <f t="shared" si="0"/>
        <v>0</v>
      </c>
    </row>
    <row r="22" spans="1:31" x14ac:dyDescent="0.35">
      <c r="A22" s="2" t="s">
        <v>37</v>
      </c>
      <c r="B22" s="4">
        <v>15</v>
      </c>
      <c r="C22" s="4">
        <v>12</v>
      </c>
      <c r="D22" s="4">
        <v>22</v>
      </c>
      <c r="E22" s="4">
        <v>0</v>
      </c>
      <c r="F22" s="4">
        <v>4</v>
      </c>
      <c r="G22" s="5">
        <v>24</v>
      </c>
      <c r="H22" s="4">
        <v>12</v>
      </c>
      <c r="I22" s="4">
        <v>28</v>
      </c>
      <c r="J22" s="4">
        <v>1</v>
      </c>
      <c r="K22" s="4">
        <v>45</v>
      </c>
      <c r="L22" s="4">
        <v>6</v>
      </c>
      <c r="M22" s="4">
        <v>114</v>
      </c>
      <c r="N22" s="40">
        <f>SUM(Tabla13[[#This Row],[Enero]:[Diciembre]])</f>
        <v>283</v>
      </c>
      <c r="O22" s="40">
        <f>AVERAGE(Tabla13[[#This Row],[Enero]:[Diciembre]])</f>
        <v>23.583333333333332</v>
      </c>
      <c r="Q22" s="121" t="s">
        <v>37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1">
        <v>0</v>
      </c>
      <c r="X22" s="110">
        <v>0</v>
      </c>
      <c r="Y22" s="110">
        <v>0</v>
      </c>
      <c r="Z22" s="110">
        <v>0</v>
      </c>
      <c r="AA22" s="110">
        <v>0</v>
      </c>
      <c r="AB22" s="101">
        <f>+R22+S22+T22+U22+V22+W22+X22+Tabla15[[#This Row],[Agosto]]+Tabla15[[#This Row],[Septiembre]]+Tabla15[[#This Row],[Octubre]]</f>
        <v>0</v>
      </c>
      <c r="AC22" s="128">
        <f t="shared" si="0"/>
        <v>0</v>
      </c>
    </row>
    <row r="23" spans="1:31" x14ac:dyDescent="0.35">
      <c r="A23" s="2" t="s">
        <v>38</v>
      </c>
      <c r="B23" s="4">
        <v>18</v>
      </c>
      <c r="C23" s="4">
        <v>49</v>
      </c>
      <c r="D23" s="4">
        <v>79</v>
      </c>
      <c r="E23" s="4">
        <v>34</v>
      </c>
      <c r="F23" s="4">
        <v>53</v>
      </c>
      <c r="G23" s="5">
        <v>28</v>
      </c>
      <c r="H23" s="4">
        <v>37</v>
      </c>
      <c r="I23" s="4">
        <v>25</v>
      </c>
      <c r="J23" s="4">
        <v>8</v>
      </c>
      <c r="K23" s="4">
        <v>3</v>
      </c>
      <c r="L23" s="4">
        <v>10</v>
      </c>
      <c r="M23" s="4">
        <v>6</v>
      </c>
      <c r="N23" s="40">
        <f>SUM(Tabla13[[#This Row],[Enero]:[Diciembre]])</f>
        <v>350</v>
      </c>
      <c r="O23" s="40">
        <f>AVERAGE(Tabla13[[#This Row],[Enero]:[Diciembre]])</f>
        <v>29.166666666666668</v>
      </c>
      <c r="Q23" s="121" t="s">
        <v>38</v>
      </c>
      <c r="R23" s="110">
        <v>2</v>
      </c>
      <c r="S23" s="110">
        <v>4</v>
      </c>
      <c r="T23" s="110">
        <v>3</v>
      </c>
      <c r="U23" s="110">
        <v>3</v>
      </c>
      <c r="V23" s="110">
        <v>3</v>
      </c>
      <c r="W23" s="111">
        <v>3</v>
      </c>
      <c r="X23" s="110">
        <v>3</v>
      </c>
      <c r="Y23" s="110">
        <v>3</v>
      </c>
      <c r="Z23" s="110">
        <v>3</v>
      </c>
      <c r="AA23" s="110">
        <f>+Tabla15[[#This Row],[Julio]]-3</f>
        <v>0</v>
      </c>
      <c r="AB23" s="101">
        <f>+R23+S23+T23+U23+V23+W23+X23+Tabla15[[#This Row],[Agosto]]+Tabla15[[#This Row],[Septiembre]]+Tabla15[[#This Row],[Octubre]]</f>
        <v>27</v>
      </c>
      <c r="AC23" s="128">
        <f t="shared" si="0"/>
        <v>2.7</v>
      </c>
    </row>
    <row r="24" spans="1:31" x14ac:dyDescent="0.35">
      <c r="A24" s="2" t="s">
        <v>39</v>
      </c>
      <c r="B24" s="4">
        <v>15</v>
      </c>
      <c r="C24" s="4">
        <v>7</v>
      </c>
      <c r="D24" s="4">
        <v>8</v>
      </c>
      <c r="E24" s="4">
        <v>44</v>
      </c>
      <c r="F24" s="4">
        <v>20</v>
      </c>
      <c r="G24" s="5">
        <v>21</v>
      </c>
      <c r="H24" s="4">
        <v>77</v>
      </c>
      <c r="I24" s="4">
        <v>66</v>
      </c>
      <c r="J24" s="4">
        <v>36</v>
      </c>
      <c r="K24" s="4">
        <v>6</v>
      </c>
      <c r="L24" s="4">
        <v>21</v>
      </c>
      <c r="M24" s="4">
        <v>9</v>
      </c>
      <c r="N24" s="40">
        <f>SUM(Tabla13[[#This Row],[Enero]:[Diciembre]])</f>
        <v>330</v>
      </c>
      <c r="O24" s="40">
        <f>AVERAGE(Tabla13[[#This Row],[Enero]:[Diciembre]])</f>
        <v>27.5</v>
      </c>
      <c r="Q24" s="121" t="s">
        <v>39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1">
        <v>0</v>
      </c>
      <c r="X24" s="110">
        <v>0</v>
      </c>
      <c r="Y24" s="110">
        <v>0</v>
      </c>
      <c r="Z24" s="110">
        <v>0</v>
      </c>
      <c r="AA24" s="110">
        <v>0</v>
      </c>
      <c r="AB24" s="101">
        <f>+R24+S24+T24+U24+V24+W24+X24+Tabla15[[#This Row],[Agosto]]+Tabla15[[#This Row],[Septiembre]]+Tabla15[[#This Row],[Octubre]]</f>
        <v>0</v>
      </c>
      <c r="AC24" s="128">
        <f t="shared" si="0"/>
        <v>0</v>
      </c>
    </row>
    <row r="25" spans="1:31" x14ac:dyDescent="0.35">
      <c r="A25" s="2" t="s">
        <v>40</v>
      </c>
      <c r="B25" s="4">
        <v>84</v>
      </c>
      <c r="C25" s="4">
        <v>119</v>
      </c>
      <c r="D25" s="4">
        <v>165</v>
      </c>
      <c r="E25" s="4">
        <v>105</v>
      </c>
      <c r="F25" s="4">
        <v>155</v>
      </c>
      <c r="G25" s="5">
        <v>73</v>
      </c>
      <c r="H25" s="4">
        <v>29</v>
      </c>
      <c r="I25" s="4">
        <v>212</v>
      </c>
      <c r="J25" s="4">
        <v>125</v>
      </c>
      <c r="K25" s="4">
        <v>158</v>
      </c>
      <c r="L25" s="4">
        <v>108</v>
      </c>
      <c r="M25" s="4">
        <v>97</v>
      </c>
      <c r="N25" s="40">
        <f>SUM(Tabla13[[#This Row],[Enero]:[Diciembre]])</f>
        <v>1430</v>
      </c>
      <c r="O25" s="40">
        <f>AVERAGE(Tabla13[[#This Row],[Enero]:[Diciembre]])</f>
        <v>119.16666666666667</v>
      </c>
      <c r="Q25" s="121" t="s">
        <v>40</v>
      </c>
      <c r="R25" s="110">
        <v>103</v>
      </c>
      <c r="S25" s="110">
        <v>167</v>
      </c>
      <c r="T25" s="110">
        <v>147</v>
      </c>
      <c r="U25" s="110">
        <v>122</v>
      </c>
      <c r="V25" s="110">
        <v>129</v>
      </c>
      <c r="W25" s="111">
        <v>141</v>
      </c>
      <c r="X25" s="110">
        <v>144</v>
      </c>
      <c r="Y25" s="110">
        <v>146</v>
      </c>
      <c r="Z25" s="110">
        <v>129</v>
      </c>
      <c r="AA25" s="110">
        <f>+Tabla15[[#This Row],[Julio]]-3</f>
        <v>141</v>
      </c>
      <c r="AB25" s="101">
        <f>+R25+S25+T25+U25+V25+W25+X25+Tabla15[[#This Row],[Agosto]]+Tabla15[[#This Row],[Septiembre]]+Tabla15[[#This Row],[Octubre]]</f>
        <v>1369</v>
      </c>
      <c r="AC25" s="128">
        <f t="shared" si="0"/>
        <v>136.9</v>
      </c>
    </row>
    <row r="26" spans="1:31" x14ac:dyDescent="0.35">
      <c r="A26" s="2" t="s">
        <v>41</v>
      </c>
      <c r="B26" s="4">
        <v>1</v>
      </c>
      <c r="C26" s="4">
        <v>1</v>
      </c>
      <c r="D26" s="4">
        <v>0</v>
      </c>
      <c r="E26" s="4">
        <v>4</v>
      </c>
      <c r="F26" s="4">
        <v>0</v>
      </c>
      <c r="G26" s="5">
        <v>75</v>
      </c>
      <c r="H26" s="4">
        <v>56</v>
      </c>
      <c r="I26" s="4">
        <v>22</v>
      </c>
      <c r="J26" s="4">
        <v>23</v>
      </c>
      <c r="K26" s="4">
        <v>21</v>
      </c>
      <c r="L26" s="4">
        <v>61</v>
      </c>
      <c r="M26" s="4">
        <v>21</v>
      </c>
      <c r="N26" s="40">
        <f>SUM(Tabla13[[#This Row],[Enero]:[Diciembre]])</f>
        <v>285</v>
      </c>
      <c r="O26" s="40">
        <f>AVERAGE(Tabla13[[#This Row],[Enero]:[Diciembre]])</f>
        <v>23.75</v>
      </c>
      <c r="Q26" s="121" t="s">
        <v>41</v>
      </c>
      <c r="R26" s="110">
        <v>4</v>
      </c>
      <c r="S26" s="110">
        <v>4</v>
      </c>
      <c r="T26" s="110">
        <v>5</v>
      </c>
      <c r="U26" s="110">
        <v>4</v>
      </c>
      <c r="V26" s="110">
        <v>4</v>
      </c>
      <c r="W26" s="111">
        <v>5</v>
      </c>
      <c r="X26" s="110">
        <v>4</v>
      </c>
      <c r="Y26" s="110">
        <v>5</v>
      </c>
      <c r="Z26" s="110">
        <v>4</v>
      </c>
      <c r="AA26" s="110">
        <f>+Tabla15[[#This Row],[Julio]]-3</f>
        <v>1</v>
      </c>
      <c r="AB26" s="101">
        <f>+R26+S26+T26+U26+V26+W26+X26+Tabla15[[#This Row],[Agosto]]+Tabla15[[#This Row],[Septiembre]]+Tabla15[[#This Row],[Octubre]]</f>
        <v>40</v>
      </c>
      <c r="AC26" s="128">
        <f t="shared" si="0"/>
        <v>4</v>
      </c>
    </row>
    <row r="27" spans="1:31" x14ac:dyDescent="0.35">
      <c r="A27" s="8" t="s">
        <v>42</v>
      </c>
      <c r="B27" s="132">
        <f>SUBTOTAL(109,B3:B26)</f>
        <v>952</v>
      </c>
      <c r="C27" s="165">
        <f t="shared" ref="C27:M27" si="1">SUBTOTAL(109,C3:C26)</f>
        <v>1455</v>
      </c>
      <c r="D27" s="165">
        <f t="shared" si="1"/>
        <v>1392</v>
      </c>
      <c r="E27" s="165">
        <f t="shared" si="1"/>
        <v>1096</v>
      </c>
      <c r="F27" s="165">
        <f t="shared" si="1"/>
        <v>1291</v>
      </c>
      <c r="G27" s="165">
        <f t="shared" si="1"/>
        <v>1434</v>
      </c>
      <c r="H27" s="165">
        <f t="shared" si="1"/>
        <v>2422</v>
      </c>
      <c r="I27" s="132">
        <f t="shared" si="1"/>
        <v>2705</v>
      </c>
      <c r="J27" s="165">
        <f t="shared" si="1"/>
        <v>1401</v>
      </c>
      <c r="K27" s="165">
        <f t="shared" si="1"/>
        <v>1764</v>
      </c>
      <c r="L27" s="165">
        <f t="shared" si="1"/>
        <v>1720</v>
      </c>
      <c r="M27" s="165">
        <f t="shared" si="1"/>
        <v>1640</v>
      </c>
      <c r="N27" s="39">
        <f>SUM(Tabla13[[#This Row],[Enero]:[Diciembre]])</f>
        <v>19272</v>
      </c>
      <c r="O27" s="39">
        <f>AVERAGE(Tabla13[[#This Row],[Enero]:[Diciembre]])</f>
        <v>1606</v>
      </c>
      <c r="Q27" s="125" t="s">
        <v>42</v>
      </c>
      <c r="R27" s="160">
        <f>SUBTOTAL(109,R3:R26)</f>
        <v>1067</v>
      </c>
      <c r="S27" s="160">
        <f t="shared" ref="S27:AB27" si="2">SUBTOTAL(109,S3:S26)</f>
        <v>1727</v>
      </c>
      <c r="T27" s="160">
        <f t="shared" si="2"/>
        <v>1519</v>
      </c>
      <c r="U27" s="160">
        <f t="shared" si="2"/>
        <v>1291</v>
      </c>
      <c r="V27" s="160">
        <f t="shared" si="2"/>
        <v>1355</v>
      </c>
      <c r="W27" s="160">
        <f t="shared" si="2"/>
        <v>1455</v>
      </c>
      <c r="X27" s="160">
        <f t="shared" si="2"/>
        <v>1485</v>
      </c>
      <c r="Y27" s="160">
        <f t="shared" si="2"/>
        <v>1515</v>
      </c>
      <c r="Z27" s="160">
        <f t="shared" si="2"/>
        <v>1338</v>
      </c>
      <c r="AA27" s="160">
        <f t="shared" si="2"/>
        <v>1390</v>
      </c>
      <c r="AB27" s="129">
        <f t="shared" si="2"/>
        <v>14142</v>
      </c>
      <c r="AC27" s="130">
        <f>SUBTOTAL(109,AC3:AC26)</f>
        <v>1414.2000000000003</v>
      </c>
    </row>
    <row r="28" spans="1:31" x14ac:dyDescent="0.35">
      <c r="B28" s="1"/>
      <c r="R28" s="1"/>
      <c r="S28" s="4"/>
      <c r="T28" s="4"/>
      <c r="U28" s="4"/>
    </row>
    <row r="29" spans="1:31" x14ac:dyDescent="0.35"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pans="1:31" x14ac:dyDescent="0.35">
      <c r="Q30" s="163"/>
      <c r="R30" s="163"/>
      <c r="S30" s="163"/>
      <c r="T30" s="163"/>
      <c r="U30" s="163"/>
      <c r="V30" s="163"/>
      <c r="W30" s="163"/>
      <c r="X30" s="166"/>
      <c r="Y30" s="163"/>
      <c r="Z30" s="163"/>
      <c r="AA30" s="163"/>
      <c r="AB30" s="163"/>
      <c r="AC30" s="163"/>
      <c r="AD30" s="163"/>
      <c r="AE30" s="163"/>
    </row>
    <row r="31" spans="1:31" x14ac:dyDescent="0.35">
      <c r="C31" s="143" t="s">
        <v>43</v>
      </c>
      <c r="D31" s="168" t="s">
        <v>44</v>
      </c>
      <c r="R31" s="161"/>
      <c r="S31" s="167" t="s">
        <v>43</v>
      </c>
      <c r="T31" s="167" t="s">
        <v>44</v>
      </c>
      <c r="U31" s="174" t="s">
        <v>67</v>
      </c>
      <c r="W31" s="174"/>
    </row>
    <row r="32" spans="1:31" x14ac:dyDescent="0.35">
      <c r="C32" s="164">
        <f>MIN(B27:M27)</f>
        <v>952</v>
      </c>
      <c r="D32" s="164">
        <f>MAX(B27:M27)</f>
        <v>2705</v>
      </c>
      <c r="R32" s="161"/>
      <c r="S32" s="162">
        <f>+MIN(R27:AA27)</f>
        <v>1067</v>
      </c>
      <c r="T32" s="162">
        <f>+MAX(R27:AA27)</f>
        <v>1727</v>
      </c>
      <c r="U32" s="10">
        <f>+AVERAGE((B27:M27),(R27:AA27))</f>
        <v>1518.8181818181818</v>
      </c>
      <c r="W32" s="10"/>
    </row>
  </sheetData>
  <phoneticPr fontId="3" type="noConversion"/>
  <pageMargins left="0.7" right="0.7" top="0.75" bottom="0.75" header="0.3" footer="0.3"/>
  <pageSetup orientation="portrait" r:id="rId1"/>
  <headerFooter>
    <oddFooter>&amp;C_x000D_&amp;1#&amp;"Calibri"&amp;10&amp;K008000 DOCUMENTO PÚBLICO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4"/>
  <sheetViews>
    <sheetView topLeftCell="P1" zoomScale="85" zoomScaleNormal="85" workbookViewId="0">
      <pane xSplit="3" ySplit="2" topLeftCell="S24" activePane="bottomRight" state="frozen"/>
      <selection pane="topRight" activeCell="S1" sqref="S1"/>
      <selection pane="bottomLeft" activeCell="P3" sqref="P3"/>
      <selection pane="bottomRight" activeCell="V43" sqref="V43"/>
    </sheetView>
  </sheetViews>
  <sheetFormatPr baseColWidth="10" defaultColWidth="11.453125" defaultRowHeight="14.5" x14ac:dyDescent="0.35"/>
  <cols>
    <col min="1" max="1" width="34.1796875" customWidth="1"/>
    <col min="10" max="10" width="12.453125" customWidth="1"/>
    <col min="12" max="12" width="12" customWidth="1"/>
    <col min="13" max="13" width="12.54296875" customWidth="1"/>
    <col min="14" max="14" width="14" customWidth="1"/>
    <col min="15" max="15" width="20.453125" customWidth="1"/>
    <col min="16" max="16" width="3.81640625" customWidth="1"/>
    <col min="17" max="17" width="4.1796875" customWidth="1"/>
    <col min="18" max="18" width="44.1796875" bestFit="1" customWidth="1"/>
    <col min="19" max="24" width="11.453125" customWidth="1"/>
  </cols>
  <sheetData>
    <row r="1" spans="1:32" ht="22.5" customHeight="1" x14ac:dyDescent="0.35">
      <c r="A1" s="6" t="s">
        <v>47</v>
      </c>
      <c r="R1" s="6" t="s">
        <v>48</v>
      </c>
    </row>
    <row r="2" spans="1:32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s="42" t="s">
        <v>49</v>
      </c>
      <c r="O2" s="42" t="s">
        <v>16</v>
      </c>
      <c r="R2" t="s">
        <v>2</v>
      </c>
      <c r="S2" t="s">
        <v>3</v>
      </c>
      <c r="T2" t="s">
        <v>4</v>
      </c>
      <c r="U2" t="s">
        <v>5</v>
      </c>
      <c r="V2" t="s">
        <v>6</v>
      </c>
      <c r="W2" t="s">
        <v>7</v>
      </c>
      <c r="X2" t="s">
        <v>8</v>
      </c>
      <c r="Y2" t="s">
        <v>9</v>
      </c>
      <c r="Z2" t="s">
        <v>10</v>
      </c>
      <c r="AA2" t="s">
        <v>11</v>
      </c>
      <c r="AB2" t="s">
        <v>12</v>
      </c>
      <c r="AC2" t="s">
        <v>13</v>
      </c>
      <c r="AD2" t="s">
        <v>14</v>
      </c>
      <c r="AE2" s="42" t="s">
        <v>49</v>
      </c>
      <c r="AF2" s="42" t="s">
        <v>16</v>
      </c>
    </row>
    <row r="3" spans="1:32" x14ac:dyDescent="0.35">
      <c r="A3" s="12" t="s">
        <v>17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10</v>
      </c>
      <c r="H3" s="30">
        <v>19</v>
      </c>
      <c r="I3" s="30">
        <v>0</v>
      </c>
      <c r="J3" s="30">
        <v>0</v>
      </c>
      <c r="K3" s="30">
        <v>0</v>
      </c>
      <c r="L3" s="30">
        <v>0</v>
      </c>
      <c r="M3" s="30"/>
      <c r="N3" s="35">
        <f>SUM(Tabla3[[#This Row],[Enero]:[Diciembre]])</f>
        <v>29</v>
      </c>
      <c r="O3" s="35">
        <f>AVERAGE(Tabla3[[#This Row],[Enero]:[Diciembre]])</f>
        <v>2.6363636363636362</v>
      </c>
      <c r="R3" s="12" t="s">
        <v>17</v>
      </c>
      <c r="S3" s="30">
        <v>35</v>
      </c>
      <c r="T3" s="30">
        <v>125</v>
      </c>
      <c r="U3" s="30">
        <v>43</v>
      </c>
      <c r="V3" s="30">
        <v>40</v>
      </c>
      <c r="W3" s="30">
        <v>160</v>
      </c>
      <c r="X3" s="30">
        <v>113</v>
      </c>
      <c r="Y3" s="30">
        <v>174</v>
      </c>
      <c r="Z3" s="30">
        <v>39</v>
      </c>
      <c r="AA3" s="30">
        <v>86</v>
      </c>
      <c r="AB3" s="30">
        <v>51</v>
      </c>
      <c r="AC3" s="30"/>
      <c r="AD3" s="30"/>
      <c r="AE3" s="35">
        <f>SUM(Tabla314[[#This Row],[Enero]:[Diciembre]])</f>
        <v>866</v>
      </c>
      <c r="AF3" s="35">
        <f>AVERAGE(Tabla314[[#This Row],[Enero]:[Diciembre]])</f>
        <v>86.6</v>
      </c>
    </row>
    <row r="4" spans="1:32" x14ac:dyDescent="0.35">
      <c r="A4" s="12" t="s">
        <v>18</v>
      </c>
      <c r="B4" s="30">
        <v>126</v>
      </c>
      <c r="C4" s="30">
        <v>337</v>
      </c>
      <c r="D4" s="30">
        <v>157</v>
      </c>
      <c r="E4" s="30">
        <v>23</v>
      </c>
      <c r="F4" s="30">
        <v>127</v>
      </c>
      <c r="G4" s="30">
        <v>147</v>
      </c>
      <c r="H4" s="30">
        <v>82</v>
      </c>
      <c r="I4" s="30">
        <v>422</v>
      </c>
      <c r="J4" s="30">
        <v>354</v>
      </c>
      <c r="K4" s="30">
        <v>611</v>
      </c>
      <c r="L4" s="30">
        <v>574</v>
      </c>
      <c r="M4" s="30"/>
      <c r="N4" s="35">
        <f>SUM(Tabla3[[#This Row],[Enero]:[Diciembre]])</f>
        <v>2960</v>
      </c>
      <c r="O4" s="35">
        <f>AVERAGE(Tabla3[[#This Row],[Enero]:[Diciembre]])</f>
        <v>269.09090909090907</v>
      </c>
      <c r="R4" s="12" t="s">
        <v>18</v>
      </c>
      <c r="S4" s="30">
        <v>377</v>
      </c>
      <c r="T4" s="30">
        <v>483</v>
      </c>
      <c r="U4" s="30">
        <v>610</v>
      </c>
      <c r="V4" s="30">
        <v>441</v>
      </c>
      <c r="W4" s="30">
        <v>278</v>
      </c>
      <c r="X4" s="30">
        <v>458</v>
      </c>
      <c r="Y4" s="30">
        <v>388</v>
      </c>
      <c r="Z4" s="30">
        <v>435</v>
      </c>
      <c r="AA4" s="30">
        <v>1203</v>
      </c>
      <c r="AB4" s="30">
        <v>1090</v>
      </c>
      <c r="AC4" s="30"/>
      <c r="AD4" s="30"/>
      <c r="AE4" s="35">
        <f>SUM(Tabla314[[#This Row],[Enero]:[Diciembre]])</f>
        <v>5763</v>
      </c>
      <c r="AF4" s="35">
        <f>AVERAGE(Tabla314[[#This Row],[Enero]:[Diciembre]])</f>
        <v>576.29999999999995</v>
      </c>
    </row>
    <row r="5" spans="1:32" x14ac:dyDescent="0.35">
      <c r="A5" s="12" t="s">
        <v>50</v>
      </c>
      <c r="B5" s="30">
        <v>125</v>
      </c>
      <c r="C5" s="30">
        <v>0</v>
      </c>
      <c r="D5" s="30">
        <v>0</v>
      </c>
      <c r="E5" s="30">
        <v>18</v>
      </c>
      <c r="F5" s="30">
        <v>14</v>
      </c>
      <c r="G5" s="30">
        <v>84</v>
      </c>
      <c r="H5" s="30">
        <v>0</v>
      </c>
      <c r="I5" s="30">
        <v>102</v>
      </c>
      <c r="J5" s="30">
        <v>109</v>
      </c>
      <c r="K5" s="30">
        <v>0</v>
      </c>
      <c r="L5" s="30">
        <v>192</v>
      </c>
      <c r="M5" s="30"/>
      <c r="N5" s="35">
        <f>SUM(Tabla3[[#This Row],[Enero]:[Diciembre]])</f>
        <v>644</v>
      </c>
      <c r="O5" s="35">
        <f>AVERAGE(Tabla3[[#This Row],[Enero]:[Diciembre]])</f>
        <v>58.545454545454547</v>
      </c>
      <c r="R5" s="12" t="s">
        <v>50</v>
      </c>
      <c r="S5" s="30">
        <v>219</v>
      </c>
      <c r="T5" s="30">
        <v>9</v>
      </c>
      <c r="U5" s="30">
        <v>0</v>
      </c>
      <c r="V5" s="30">
        <v>63</v>
      </c>
      <c r="W5" s="30">
        <v>190</v>
      </c>
      <c r="X5" s="30">
        <v>563</v>
      </c>
      <c r="Y5" s="30">
        <v>1014</v>
      </c>
      <c r="Z5" s="30">
        <v>546</v>
      </c>
      <c r="AA5" s="30">
        <v>360</v>
      </c>
      <c r="AB5" s="30">
        <v>299</v>
      </c>
      <c r="AC5" s="30"/>
      <c r="AD5" s="30"/>
      <c r="AE5" s="35">
        <f>SUM(Tabla314[[#This Row],[Enero]:[Diciembre]])</f>
        <v>3263</v>
      </c>
      <c r="AF5" s="35">
        <f>AVERAGE(Tabla314[[#This Row],[Enero]:[Diciembre]])</f>
        <v>326.3</v>
      </c>
    </row>
    <row r="6" spans="1:32" x14ac:dyDescent="0.35">
      <c r="A6" s="12" t="s">
        <v>51</v>
      </c>
      <c r="B6" s="30">
        <v>168</v>
      </c>
      <c r="C6" s="30">
        <v>1137</v>
      </c>
      <c r="D6" s="30">
        <v>2224</v>
      </c>
      <c r="E6" s="30">
        <v>110</v>
      </c>
      <c r="F6" s="30">
        <v>107</v>
      </c>
      <c r="G6" s="30">
        <v>115</v>
      </c>
      <c r="H6" s="30">
        <v>302</v>
      </c>
      <c r="I6" s="30">
        <v>1047</v>
      </c>
      <c r="J6" s="30">
        <v>571</v>
      </c>
      <c r="K6" s="30">
        <v>697</v>
      </c>
      <c r="L6" s="30">
        <v>1860</v>
      </c>
      <c r="M6" s="30"/>
      <c r="N6" s="35">
        <f>SUM(Tabla3[[#This Row],[Enero]:[Diciembre]])</f>
        <v>8338</v>
      </c>
      <c r="O6" s="35">
        <f>AVERAGE(Tabla3[[#This Row],[Enero]:[Diciembre]])</f>
        <v>758</v>
      </c>
      <c r="R6" s="12" t="s">
        <v>51</v>
      </c>
      <c r="S6" s="30">
        <v>1291</v>
      </c>
      <c r="T6" s="30">
        <v>82</v>
      </c>
      <c r="U6" s="30">
        <v>1908</v>
      </c>
      <c r="V6" s="30">
        <v>1103</v>
      </c>
      <c r="W6" s="30">
        <v>8</v>
      </c>
      <c r="X6" s="30">
        <v>186</v>
      </c>
      <c r="Y6" s="30">
        <v>430</v>
      </c>
      <c r="Z6" s="30">
        <v>80</v>
      </c>
      <c r="AA6" s="30">
        <v>1113</v>
      </c>
      <c r="AB6" s="30">
        <v>797</v>
      </c>
      <c r="AC6" s="30"/>
      <c r="AD6" s="30"/>
      <c r="AE6" s="35">
        <f>SUM(Tabla314[[#This Row],[Enero]:[Diciembre]])</f>
        <v>6998</v>
      </c>
      <c r="AF6" s="35">
        <f>AVERAGE(Tabla314[[#This Row],[Enero]:[Diciembre]])</f>
        <v>699.8</v>
      </c>
    </row>
    <row r="7" spans="1:32" x14ac:dyDescent="0.35">
      <c r="A7" s="12" t="s">
        <v>52</v>
      </c>
      <c r="B7" s="30">
        <v>0</v>
      </c>
      <c r="C7" s="30">
        <v>0</v>
      </c>
      <c r="D7" s="30">
        <v>81</v>
      </c>
      <c r="E7" s="30">
        <v>0</v>
      </c>
      <c r="F7" s="30">
        <v>0</v>
      </c>
      <c r="G7" s="30">
        <v>0</v>
      </c>
      <c r="H7" s="30">
        <v>0</v>
      </c>
      <c r="I7" s="30">
        <v>410</v>
      </c>
      <c r="J7" s="30">
        <v>103</v>
      </c>
      <c r="K7" s="30">
        <v>143</v>
      </c>
      <c r="L7" s="30">
        <v>49</v>
      </c>
      <c r="M7" s="30"/>
      <c r="N7" s="35">
        <f>SUM(Tabla3[[#This Row],[Enero]:[Diciembre]])</f>
        <v>786</v>
      </c>
      <c r="O7" s="35">
        <f>AVERAGE(Tabla3[[#This Row],[Enero]:[Diciembre]])</f>
        <v>71.454545454545453</v>
      </c>
      <c r="R7" s="12" t="s">
        <v>52</v>
      </c>
      <c r="S7" s="30">
        <v>135</v>
      </c>
      <c r="T7" s="30">
        <v>67</v>
      </c>
      <c r="U7" s="30">
        <v>341</v>
      </c>
      <c r="V7" s="30">
        <v>123</v>
      </c>
      <c r="W7" s="30">
        <v>2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/>
      <c r="AD7" s="30"/>
      <c r="AE7" s="35">
        <f>SUM(Tabla314[[#This Row],[Enero]:[Diciembre]])</f>
        <v>668</v>
      </c>
      <c r="AF7" s="35">
        <f>AVERAGE(Tabla314[[#This Row],[Enero]:[Diciembre]])</f>
        <v>66.8</v>
      </c>
    </row>
    <row r="8" spans="1:32" x14ac:dyDescent="0.35">
      <c r="A8" s="12" t="s">
        <v>53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4</v>
      </c>
      <c r="J8" s="30">
        <v>103</v>
      </c>
      <c r="K8" s="30">
        <v>223</v>
      </c>
      <c r="L8" s="30">
        <v>183</v>
      </c>
      <c r="M8" s="30"/>
      <c r="N8" s="35">
        <f>SUM(Tabla3[[#This Row],[Enero]:[Diciembre]])</f>
        <v>513</v>
      </c>
      <c r="O8" s="35">
        <f>AVERAGE(Tabla3[[#This Row],[Enero]:[Diciembre]])</f>
        <v>46.636363636363633</v>
      </c>
      <c r="R8" s="12" t="s">
        <v>53</v>
      </c>
      <c r="S8" s="30">
        <v>182</v>
      </c>
      <c r="T8" s="30">
        <v>1449</v>
      </c>
      <c r="U8" s="30">
        <v>406</v>
      </c>
      <c r="V8" s="30">
        <v>990</v>
      </c>
      <c r="W8" s="30">
        <v>977</v>
      </c>
      <c r="X8" s="30">
        <v>809</v>
      </c>
      <c r="Y8" s="30">
        <v>673</v>
      </c>
      <c r="Z8" s="30">
        <v>427</v>
      </c>
      <c r="AA8" s="30">
        <v>801</v>
      </c>
      <c r="AB8" s="30">
        <v>482</v>
      </c>
      <c r="AC8" s="30"/>
      <c r="AD8" s="30"/>
      <c r="AE8" s="35">
        <f>SUM(Tabla314[[#This Row],[Enero]:[Diciembre]])</f>
        <v>7196</v>
      </c>
      <c r="AF8" s="35">
        <f>AVERAGE(Tabla314[[#This Row],[Enero]:[Diciembre]])</f>
        <v>719.6</v>
      </c>
    </row>
    <row r="9" spans="1:32" x14ac:dyDescent="0.35">
      <c r="A9" s="12" t="s">
        <v>54</v>
      </c>
      <c r="B9" s="30">
        <v>1295</v>
      </c>
      <c r="C9" s="30">
        <v>1769</v>
      </c>
      <c r="D9" s="30">
        <v>1301</v>
      </c>
      <c r="E9" s="30">
        <v>1794</v>
      </c>
      <c r="F9" s="30">
        <v>696</v>
      </c>
      <c r="G9" s="30">
        <v>934</v>
      </c>
      <c r="H9" s="30">
        <v>705</v>
      </c>
      <c r="I9" s="30">
        <v>2189</v>
      </c>
      <c r="J9" s="30">
        <v>1721</v>
      </c>
      <c r="K9" s="30">
        <v>1904</v>
      </c>
      <c r="L9" s="30">
        <v>352</v>
      </c>
      <c r="M9" s="30"/>
      <c r="N9" s="35">
        <f>SUM(Tabla3[[#This Row],[Enero]:[Diciembre]])</f>
        <v>14660</v>
      </c>
      <c r="O9" s="35">
        <f>AVERAGE(Tabla3[[#This Row],[Enero]:[Diciembre]])</f>
        <v>1332.7272727272727</v>
      </c>
      <c r="R9" s="12" t="s">
        <v>54</v>
      </c>
      <c r="S9" s="30">
        <v>1643</v>
      </c>
      <c r="T9" s="30">
        <v>219</v>
      </c>
      <c r="U9" s="30">
        <v>14938</v>
      </c>
      <c r="V9" s="30">
        <v>0</v>
      </c>
      <c r="W9" s="30">
        <v>1167</v>
      </c>
      <c r="X9" s="30">
        <v>3005</v>
      </c>
      <c r="Y9" s="30">
        <v>132</v>
      </c>
      <c r="Z9" s="30">
        <v>532</v>
      </c>
      <c r="AA9" s="30">
        <v>399</v>
      </c>
      <c r="AB9" s="30">
        <v>491</v>
      </c>
      <c r="AC9" s="30"/>
      <c r="AD9" s="30"/>
      <c r="AE9" s="35">
        <f>SUM(Tabla314[[#This Row],[Enero]:[Diciembre]])</f>
        <v>22526</v>
      </c>
      <c r="AF9" s="35">
        <f>AVERAGE(Tabla314[[#This Row],[Enero]:[Diciembre]])</f>
        <v>2252.6</v>
      </c>
    </row>
    <row r="10" spans="1:32" x14ac:dyDescent="0.35">
      <c r="A10" s="12" t="s">
        <v>55</v>
      </c>
      <c r="B10" s="30">
        <v>8007</v>
      </c>
      <c r="C10" s="30">
        <v>137</v>
      </c>
      <c r="D10" s="30">
        <v>0</v>
      </c>
      <c r="E10" s="30">
        <v>27163</v>
      </c>
      <c r="F10" s="30">
        <v>23843</v>
      </c>
      <c r="G10" s="30">
        <v>25355</v>
      </c>
      <c r="H10" s="30">
        <v>14823</v>
      </c>
      <c r="I10" s="30">
        <v>18272</v>
      </c>
      <c r="J10" s="30">
        <v>19697</v>
      </c>
      <c r="K10" s="30">
        <v>7466</v>
      </c>
      <c r="L10" s="30">
        <v>8740</v>
      </c>
      <c r="M10" s="30"/>
      <c r="N10" s="35">
        <f>SUM(Tabla3[[#This Row],[Enero]:[Diciembre]])</f>
        <v>153503</v>
      </c>
      <c r="O10" s="35">
        <f>AVERAGE(Tabla3[[#This Row],[Enero]:[Diciembre]])</f>
        <v>13954.818181818182</v>
      </c>
      <c r="R10" s="12" t="s">
        <v>55</v>
      </c>
      <c r="S10" s="30">
        <v>8069</v>
      </c>
      <c r="T10" s="30">
        <v>5291</v>
      </c>
      <c r="U10" s="30">
        <v>9951</v>
      </c>
      <c r="V10" s="30">
        <v>8339</v>
      </c>
      <c r="W10" s="30">
        <v>6543</v>
      </c>
      <c r="X10" s="30">
        <v>7760</v>
      </c>
      <c r="Y10" s="30">
        <v>11839</v>
      </c>
      <c r="Z10" s="30">
        <v>16160</v>
      </c>
      <c r="AA10" s="30">
        <v>10469</v>
      </c>
      <c r="AB10" s="30">
        <v>8754</v>
      </c>
      <c r="AC10" s="30"/>
      <c r="AD10" s="30"/>
      <c r="AE10" s="35">
        <f>SUM(Tabla314[[#This Row],[Enero]:[Diciembre]])</f>
        <v>93175</v>
      </c>
      <c r="AF10" s="35">
        <f>AVERAGE(Tabla314[[#This Row],[Enero]:[Diciembre]])</f>
        <v>9317.5</v>
      </c>
    </row>
    <row r="11" spans="1:32" x14ac:dyDescent="0.35">
      <c r="A11" s="12" t="s">
        <v>56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189</v>
      </c>
      <c r="J11" s="30">
        <v>454</v>
      </c>
      <c r="K11" s="30">
        <v>868</v>
      </c>
      <c r="L11" s="30">
        <v>1296</v>
      </c>
      <c r="M11" s="30"/>
      <c r="N11" s="35">
        <f>SUM(Tabla3[[#This Row],[Enero]:[Diciembre]])</f>
        <v>2807</v>
      </c>
      <c r="O11" s="35">
        <f>AVERAGE(Tabla3[[#This Row],[Enero]:[Diciembre]])</f>
        <v>255.18181818181819</v>
      </c>
      <c r="R11" s="12" t="s">
        <v>56</v>
      </c>
      <c r="S11" s="30">
        <v>1048</v>
      </c>
      <c r="T11" s="30">
        <v>1088</v>
      </c>
      <c r="U11" s="30">
        <v>922</v>
      </c>
      <c r="V11" s="30">
        <v>907</v>
      </c>
      <c r="W11" s="30">
        <v>1171</v>
      </c>
      <c r="X11" s="30">
        <v>885</v>
      </c>
      <c r="Y11" s="30">
        <v>1105</v>
      </c>
      <c r="Z11" s="30">
        <v>893</v>
      </c>
      <c r="AA11" s="30">
        <v>1522</v>
      </c>
      <c r="AB11" s="30">
        <v>702</v>
      </c>
      <c r="AC11" s="30"/>
      <c r="AD11" s="30"/>
      <c r="AE11" s="35">
        <f>SUM(Tabla314[[#This Row],[Enero]:[Diciembre]])</f>
        <v>10243</v>
      </c>
      <c r="AF11" s="35">
        <f>AVERAGE(Tabla314[[#This Row],[Enero]:[Diciembre]])</f>
        <v>1024.3</v>
      </c>
    </row>
    <row r="12" spans="1:32" x14ac:dyDescent="0.35">
      <c r="A12" s="12" t="s">
        <v>57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39</v>
      </c>
      <c r="J12" s="30">
        <v>225</v>
      </c>
      <c r="K12" s="30">
        <v>603</v>
      </c>
      <c r="L12" s="30">
        <v>982</v>
      </c>
      <c r="M12" s="30"/>
      <c r="N12" s="35">
        <f>SUM(Tabla3[[#This Row],[Enero]:[Diciembre]])</f>
        <v>1849</v>
      </c>
      <c r="O12" s="35">
        <f>AVERAGE(Tabla3[[#This Row],[Enero]:[Diciembre]])</f>
        <v>168.09090909090909</v>
      </c>
      <c r="R12" s="12" t="s">
        <v>57</v>
      </c>
      <c r="S12" s="30">
        <v>1184</v>
      </c>
      <c r="T12" s="30">
        <v>2019</v>
      </c>
      <c r="U12" s="30">
        <v>653</v>
      </c>
      <c r="V12" s="30">
        <v>839</v>
      </c>
      <c r="W12" s="30">
        <v>1098</v>
      </c>
      <c r="X12" s="30">
        <v>1573</v>
      </c>
      <c r="Y12" s="30">
        <v>1291</v>
      </c>
      <c r="Z12" s="30">
        <v>1351</v>
      </c>
      <c r="AA12" s="30">
        <v>825</v>
      </c>
      <c r="AB12" s="30">
        <v>856</v>
      </c>
      <c r="AC12" s="30"/>
      <c r="AD12" s="30"/>
      <c r="AE12" s="35">
        <f>SUM(Tabla314[[#This Row],[Enero]:[Diciembre]])</f>
        <v>11689</v>
      </c>
      <c r="AF12" s="35">
        <f>AVERAGE(Tabla314[[#This Row],[Enero]:[Diciembre]])</f>
        <v>1168.9000000000001</v>
      </c>
    </row>
    <row r="13" spans="1:32" x14ac:dyDescent="0.35">
      <c r="A13" s="12" t="s">
        <v>58</v>
      </c>
      <c r="B13" s="30">
        <v>0</v>
      </c>
      <c r="C13" s="30">
        <v>0</v>
      </c>
      <c r="D13" s="30">
        <v>0</v>
      </c>
      <c r="E13" s="30">
        <v>1160</v>
      </c>
      <c r="F13" s="30">
        <v>0</v>
      </c>
      <c r="G13" s="30">
        <v>0</v>
      </c>
      <c r="H13" s="30">
        <v>0</v>
      </c>
      <c r="I13" s="30">
        <v>0</v>
      </c>
      <c r="J13" s="30">
        <v>26</v>
      </c>
      <c r="K13" s="30">
        <v>0</v>
      </c>
      <c r="L13" s="30">
        <v>0</v>
      </c>
      <c r="M13" s="30"/>
      <c r="N13" s="35">
        <f>SUM(Tabla3[[#This Row],[Enero]:[Diciembre]])</f>
        <v>1186</v>
      </c>
      <c r="O13" s="35">
        <f>AVERAGE(Tabla3[[#This Row],[Enero]:[Diciembre]])</f>
        <v>107.81818181818181</v>
      </c>
      <c r="R13" s="12" t="s">
        <v>58</v>
      </c>
      <c r="S13" s="30">
        <v>0</v>
      </c>
      <c r="T13" s="30">
        <v>0</v>
      </c>
      <c r="U13" s="30">
        <v>0</v>
      </c>
      <c r="V13" s="30">
        <v>72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/>
      <c r="AD13" s="30"/>
      <c r="AE13" s="35">
        <f>SUM(Tabla314[[#This Row],[Enero]:[Diciembre]])</f>
        <v>72</v>
      </c>
      <c r="AF13" s="35">
        <f>AVERAGE(Tabla314[[#This Row],[Enero]:[Diciembre]])</f>
        <v>7.2</v>
      </c>
    </row>
    <row r="14" spans="1:32" x14ac:dyDescent="0.35">
      <c r="A14" s="12" t="s">
        <v>59</v>
      </c>
      <c r="B14" s="30">
        <v>190</v>
      </c>
      <c r="C14" s="30">
        <v>138</v>
      </c>
      <c r="D14" s="30">
        <v>219</v>
      </c>
      <c r="E14" s="30">
        <v>150</v>
      </c>
      <c r="F14" s="30">
        <v>192</v>
      </c>
      <c r="G14" s="30">
        <v>130</v>
      </c>
      <c r="H14" s="30">
        <v>1275</v>
      </c>
      <c r="I14" s="30">
        <v>1570</v>
      </c>
      <c r="J14" s="30">
        <v>554</v>
      </c>
      <c r="K14" s="30">
        <v>222</v>
      </c>
      <c r="L14" s="30">
        <v>667</v>
      </c>
      <c r="M14" s="30"/>
      <c r="N14" s="35">
        <f>SUM(Tabla3[[#This Row],[Enero]:[Diciembre]])</f>
        <v>5307</v>
      </c>
      <c r="O14" s="35">
        <f>AVERAGE(Tabla3[[#This Row],[Enero]:[Diciembre]])</f>
        <v>482.45454545454544</v>
      </c>
      <c r="R14" s="12" t="s">
        <v>59</v>
      </c>
      <c r="S14" s="30">
        <v>535</v>
      </c>
      <c r="T14" s="30">
        <v>291</v>
      </c>
      <c r="U14" s="30">
        <v>140</v>
      </c>
      <c r="V14" s="30">
        <v>239</v>
      </c>
      <c r="W14" s="30">
        <v>295</v>
      </c>
      <c r="X14" s="30">
        <v>164</v>
      </c>
      <c r="Y14" s="30">
        <v>144</v>
      </c>
      <c r="Z14" s="30">
        <v>887</v>
      </c>
      <c r="AA14" s="30">
        <v>200</v>
      </c>
      <c r="AB14" s="30">
        <v>237</v>
      </c>
      <c r="AC14" s="30"/>
      <c r="AD14" s="30"/>
      <c r="AE14" s="35">
        <f>SUM(Tabla314[[#This Row],[Enero]:[Diciembre]])</f>
        <v>3132</v>
      </c>
      <c r="AF14" s="35">
        <f>AVERAGE(Tabla314[[#This Row],[Enero]:[Diciembre]])</f>
        <v>313.2</v>
      </c>
    </row>
    <row r="15" spans="1:32" x14ac:dyDescent="0.35">
      <c r="A15" s="12" t="s">
        <v>21</v>
      </c>
      <c r="B15" s="30">
        <v>161</v>
      </c>
      <c r="C15" s="30">
        <v>306</v>
      </c>
      <c r="D15" s="30">
        <v>586</v>
      </c>
      <c r="E15" s="30">
        <v>526</v>
      </c>
      <c r="F15" s="30">
        <v>446</v>
      </c>
      <c r="G15" s="30">
        <v>166</v>
      </c>
      <c r="H15" s="30">
        <v>202</v>
      </c>
      <c r="I15" s="30">
        <v>242</v>
      </c>
      <c r="J15" s="30">
        <v>438</v>
      </c>
      <c r="K15" s="30">
        <v>634</v>
      </c>
      <c r="L15" s="30">
        <v>707</v>
      </c>
      <c r="M15" s="30"/>
      <c r="N15" s="35">
        <f>SUM(Tabla3[[#This Row],[Enero]:[Diciembre]])</f>
        <v>4414</v>
      </c>
      <c r="O15" s="35">
        <f>AVERAGE(Tabla3[[#This Row],[Enero]:[Diciembre]])</f>
        <v>401.27272727272725</v>
      </c>
      <c r="R15" s="12" t="s">
        <v>21</v>
      </c>
      <c r="S15" s="30">
        <v>432</v>
      </c>
      <c r="T15" s="30">
        <v>557</v>
      </c>
      <c r="U15" s="30">
        <v>562</v>
      </c>
      <c r="V15" s="30">
        <v>205</v>
      </c>
      <c r="W15" s="30">
        <v>393</v>
      </c>
      <c r="X15" s="30">
        <v>359</v>
      </c>
      <c r="Y15" s="30">
        <v>286</v>
      </c>
      <c r="Z15" s="30">
        <v>567</v>
      </c>
      <c r="AA15" s="30">
        <v>924</v>
      </c>
      <c r="AB15" s="30">
        <v>348</v>
      </c>
      <c r="AC15" s="30"/>
      <c r="AD15" s="30"/>
      <c r="AE15" s="35">
        <f>SUM(Tabla314[[#This Row],[Enero]:[Diciembre]])</f>
        <v>4633</v>
      </c>
      <c r="AF15" s="35">
        <f>AVERAGE(Tabla314[[#This Row],[Enero]:[Diciembre]])</f>
        <v>463.3</v>
      </c>
    </row>
    <row r="16" spans="1:32" x14ac:dyDescent="0.35">
      <c r="A16" s="12" t="s">
        <v>22</v>
      </c>
      <c r="B16" s="30">
        <v>31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57</v>
      </c>
      <c r="K16" s="30">
        <v>162</v>
      </c>
      <c r="L16" s="30">
        <v>109</v>
      </c>
      <c r="M16" s="30"/>
      <c r="N16" s="35">
        <f>SUM(Tabla3[[#This Row],[Enero]:[Diciembre]])</f>
        <v>359</v>
      </c>
      <c r="O16" s="35">
        <f>AVERAGE(Tabla3[[#This Row],[Enero]:[Diciembre]])</f>
        <v>32.636363636363633</v>
      </c>
      <c r="R16" s="12" t="s">
        <v>22</v>
      </c>
      <c r="S16" s="30">
        <v>163</v>
      </c>
      <c r="T16" s="30">
        <v>74</v>
      </c>
      <c r="U16" s="30">
        <v>228</v>
      </c>
      <c r="V16" s="30">
        <v>92</v>
      </c>
      <c r="W16" s="30">
        <v>123</v>
      </c>
      <c r="X16" s="30">
        <v>92</v>
      </c>
      <c r="Y16" s="30">
        <v>173</v>
      </c>
      <c r="Z16" s="30">
        <v>264</v>
      </c>
      <c r="AA16" s="30">
        <v>230</v>
      </c>
      <c r="AB16" s="30">
        <v>143</v>
      </c>
      <c r="AC16" s="30"/>
      <c r="AD16" s="30"/>
      <c r="AE16" s="35">
        <f>SUM(Tabla314[[#This Row],[Enero]:[Diciembre]])</f>
        <v>1582</v>
      </c>
      <c r="AF16" s="35">
        <f>AVERAGE(Tabla314[[#This Row],[Enero]:[Diciembre]])</f>
        <v>158.19999999999999</v>
      </c>
    </row>
    <row r="17" spans="1:32" x14ac:dyDescent="0.35">
      <c r="A17" s="12" t="s">
        <v>23</v>
      </c>
      <c r="B17" s="30">
        <v>216</v>
      </c>
      <c r="C17" s="30">
        <v>307</v>
      </c>
      <c r="D17" s="30">
        <v>499</v>
      </c>
      <c r="E17" s="30">
        <v>514</v>
      </c>
      <c r="F17" s="30">
        <v>161</v>
      </c>
      <c r="G17" s="30">
        <v>304</v>
      </c>
      <c r="H17" s="30">
        <v>503</v>
      </c>
      <c r="I17" s="30">
        <v>579</v>
      </c>
      <c r="J17" s="30">
        <v>526</v>
      </c>
      <c r="K17" s="30">
        <v>418</v>
      </c>
      <c r="L17" s="30">
        <v>552</v>
      </c>
      <c r="M17" s="30"/>
      <c r="N17" s="35">
        <f>SUM(Tabla3[[#This Row],[Enero]:[Diciembre]])</f>
        <v>4579</v>
      </c>
      <c r="O17" s="35">
        <f>AVERAGE(Tabla3[[#This Row],[Enero]:[Diciembre]])</f>
        <v>416.27272727272725</v>
      </c>
      <c r="R17" s="12" t="s">
        <v>23</v>
      </c>
      <c r="S17" s="30">
        <v>305</v>
      </c>
      <c r="T17" s="30">
        <v>935</v>
      </c>
      <c r="U17" s="30">
        <v>1020</v>
      </c>
      <c r="V17" s="30">
        <v>544</v>
      </c>
      <c r="W17" s="30">
        <v>824</v>
      </c>
      <c r="X17" s="30">
        <v>921</v>
      </c>
      <c r="Y17" s="30">
        <v>491</v>
      </c>
      <c r="Z17" s="30">
        <v>1293</v>
      </c>
      <c r="AA17" s="30">
        <v>1581</v>
      </c>
      <c r="AB17" s="30">
        <v>1647</v>
      </c>
      <c r="AC17" s="30"/>
      <c r="AD17" s="30"/>
      <c r="AE17" s="35">
        <f>SUM(Tabla314[[#This Row],[Enero]:[Diciembre]])</f>
        <v>9561</v>
      </c>
      <c r="AF17" s="35">
        <f>AVERAGE(Tabla314[[#This Row],[Enero]:[Diciembre]])</f>
        <v>956.1</v>
      </c>
    </row>
    <row r="18" spans="1:32" x14ac:dyDescent="0.35">
      <c r="A18" s="12" t="s">
        <v>24</v>
      </c>
      <c r="B18" s="30">
        <v>0</v>
      </c>
      <c r="C18" s="30">
        <v>0</v>
      </c>
      <c r="D18" s="30">
        <v>0</v>
      </c>
      <c r="E18" s="30">
        <v>103</v>
      </c>
      <c r="F18" s="30">
        <v>169</v>
      </c>
      <c r="G18" s="30">
        <v>0</v>
      </c>
      <c r="H18" s="30">
        <v>0</v>
      </c>
      <c r="I18" s="30">
        <v>81</v>
      </c>
      <c r="J18" s="30">
        <v>396</v>
      </c>
      <c r="K18" s="30">
        <v>309</v>
      </c>
      <c r="L18" s="30">
        <v>252</v>
      </c>
      <c r="M18" s="30"/>
      <c r="N18" s="35">
        <f>SUM(Tabla3[[#This Row],[Enero]:[Diciembre]])</f>
        <v>1310</v>
      </c>
      <c r="O18" s="35">
        <f>AVERAGE(Tabla3[[#This Row],[Enero]:[Diciembre]])</f>
        <v>119.09090909090909</v>
      </c>
      <c r="R18" s="12" t="s">
        <v>24</v>
      </c>
      <c r="S18" s="30">
        <v>290</v>
      </c>
      <c r="T18" s="30">
        <v>218</v>
      </c>
      <c r="U18" s="30">
        <v>129</v>
      </c>
      <c r="V18" s="30">
        <v>62</v>
      </c>
      <c r="W18" s="30">
        <v>473</v>
      </c>
      <c r="X18" s="30">
        <v>489</v>
      </c>
      <c r="Y18" s="30">
        <v>410</v>
      </c>
      <c r="Z18" s="30">
        <v>349</v>
      </c>
      <c r="AA18" s="30">
        <v>386</v>
      </c>
      <c r="AB18" s="30">
        <v>718</v>
      </c>
      <c r="AC18" s="30"/>
      <c r="AD18" s="30"/>
      <c r="AE18" s="35">
        <f>SUM(Tabla314[[#This Row],[Enero]:[Diciembre]])</f>
        <v>3524</v>
      </c>
      <c r="AF18" s="35">
        <f>AVERAGE(Tabla314[[#This Row],[Enero]:[Diciembre]])</f>
        <v>352.4</v>
      </c>
    </row>
    <row r="19" spans="1:32" x14ac:dyDescent="0.35">
      <c r="A19" s="12" t="s">
        <v>25</v>
      </c>
      <c r="B19" s="30">
        <v>96</v>
      </c>
      <c r="C19" s="30">
        <v>95</v>
      </c>
      <c r="D19" s="30">
        <v>390</v>
      </c>
      <c r="E19" s="30">
        <v>438</v>
      </c>
      <c r="F19" s="30">
        <v>453</v>
      </c>
      <c r="G19" s="30">
        <v>220</v>
      </c>
      <c r="H19" s="30">
        <v>185</v>
      </c>
      <c r="I19" s="30">
        <v>118</v>
      </c>
      <c r="J19" s="30">
        <v>622</v>
      </c>
      <c r="K19" s="30">
        <v>230</v>
      </c>
      <c r="L19" s="30">
        <v>311</v>
      </c>
      <c r="M19" s="30"/>
      <c r="N19" s="35">
        <f>SUM(Tabla3[[#This Row],[Enero]:[Diciembre]])</f>
        <v>3158</v>
      </c>
      <c r="O19" s="35">
        <f>AVERAGE(Tabla3[[#This Row],[Enero]:[Diciembre]])</f>
        <v>287.09090909090907</v>
      </c>
      <c r="R19" s="12" t="s">
        <v>25</v>
      </c>
      <c r="S19" s="30">
        <v>253</v>
      </c>
      <c r="T19" s="30">
        <v>382</v>
      </c>
      <c r="U19" s="30">
        <v>314</v>
      </c>
      <c r="V19" s="30">
        <v>367</v>
      </c>
      <c r="W19" s="30">
        <v>299</v>
      </c>
      <c r="X19" s="30">
        <v>404</v>
      </c>
      <c r="Y19" s="30">
        <v>254</v>
      </c>
      <c r="Z19" s="30">
        <v>366</v>
      </c>
      <c r="AA19" s="30">
        <v>376</v>
      </c>
      <c r="AB19" s="30">
        <v>255</v>
      </c>
      <c r="AC19" s="30"/>
      <c r="AD19" s="30"/>
      <c r="AE19" s="35">
        <f>SUM(Tabla314[[#This Row],[Enero]:[Diciembre]])</f>
        <v>3270</v>
      </c>
      <c r="AF19" s="35">
        <f>AVERAGE(Tabla314[[#This Row],[Enero]:[Diciembre]])</f>
        <v>327</v>
      </c>
    </row>
    <row r="20" spans="1:32" x14ac:dyDescent="0.35">
      <c r="A20" s="12" t="s">
        <v>26</v>
      </c>
      <c r="B20" s="30">
        <v>157</v>
      </c>
      <c r="C20" s="30">
        <v>171</v>
      </c>
      <c r="D20" s="30">
        <v>168</v>
      </c>
      <c r="E20" s="30">
        <v>185</v>
      </c>
      <c r="F20" s="30">
        <v>195</v>
      </c>
      <c r="G20" s="30">
        <v>82</v>
      </c>
      <c r="H20" s="30">
        <v>56</v>
      </c>
      <c r="I20" s="30">
        <v>53</v>
      </c>
      <c r="J20" s="30">
        <v>107</v>
      </c>
      <c r="K20" s="30">
        <v>115</v>
      </c>
      <c r="L20" s="30">
        <v>61</v>
      </c>
      <c r="M20" s="30"/>
      <c r="N20" s="35">
        <f>SUM(Tabla3[[#This Row],[Enero]:[Diciembre]])</f>
        <v>1350</v>
      </c>
      <c r="O20" s="35">
        <f>AVERAGE(Tabla3[[#This Row],[Enero]:[Diciembre]])</f>
        <v>122.72727272727273</v>
      </c>
      <c r="R20" s="12" t="s">
        <v>26</v>
      </c>
      <c r="S20" s="30">
        <v>245</v>
      </c>
      <c r="T20" s="30">
        <v>186</v>
      </c>
      <c r="U20" s="30">
        <v>231</v>
      </c>
      <c r="V20" s="30">
        <v>70</v>
      </c>
      <c r="W20" s="30">
        <v>192</v>
      </c>
      <c r="X20" s="30">
        <v>207</v>
      </c>
      <c r="Y20" s="30">
        <v>134</v>
      </c>
      <c r="Z20" s="30">
        <v>341</v>
      </c>
      <c r="AA20" s="30">
        <v>202</v>
      </c>
      <c r="AB20" s="30">
        <v>154</v>
      </c>
      <c r="AC20" s="30"/>
      <c r="AD20" s="30"/>
      <c r="AE20" s="35">
        <f>SUM(Tabla314[[#This Row],[Enero]:[Diciembre]])</f>
        <v>1962</v>
      </c>
      <c r="AF20" s="35">
        <f>AVERAGE(Tabla314[[#This Row],[Enero]:[Diciembre]])</f>
        <v>196.2</v>
      </c>
    </row>
    <row r="21" spans="1:32" x14ac:dyDescent="0.35">
      <c r="A21" s="12" t="s">
        <v>60</v>
      </c>
      <c r="B21" s="30">
        <v>314</v>
      </c>
      <c r="C21" s="30">
        <v>590</v>
      </c>
      <c r="D21" s="30">
        <v>454</v>
      </c>
      <c r="E21" s="30">
        <v>250</v>
      </c>
      <c r="F21" s="30">
        <v>225</v>
      </c>
      <c r="G21" s="30">
        <v>140</v>
      </c>
      <c r="H21" s="30">
        <v>188</v>
      </c>
      <c r="I21" s="30">
        <v>121</v>
      </c>
      <c r="J21" s="30">
        <v>237</v>
      </c>
      <c r="K21" s="30">
        <v>314</v>
      </c>
      <c r="L21" s="30">
        <v>331</v>
      </c>
      <c r="M21" s="30"/>
      <c r="N21" s="35">
        <f>SUM(Tabla3[[#This Row],[Enero]:[Diciembre]])</f>
        <v>3164</v>
      </c>
      <c r="O21" s="35">
        <f>AVERAGE(Tabla3[[#This Row],[Enero]:[Diciembre]])</f>
        <v>287.63636363636363</v>
      </c>
      <c r="R21" s="12" t="s">
        <v>60</v>
      </c>
      <c r="S21" s="30">
        <v>247</v>
      </c>
      <c r="T21" s="30">
        <v>216</v>
      </c>
      <c r="U21" s="30">
        <v>318</v>
      </c>
      <c r="V21" s="30">
        <v>149</v>
      </c>
      <c r="W21" s="30">
        <v>332</v>
      </c>
      <c r="X21" s="30">
        <v>397</v>
      </c>
      <c r="Y21" s="30">
        <v>273</v>
      </c>
      <c r="Z21" s="30">
        <v>375</v>
      </c>
      <c r="AA21" s="30">
        <v>311</v>
      </c>
      <c r="AB21" s="30">
        <v>473</v>
      </c>
      <c r="AC21" s="30"/>
      <c r="AD21" s="30"/>
      <c r="AE21" s="35">
        <f>SUM(Tabla314[[#This Row],[Enero]:[Diciembre]])</f>
        <v>3091</v>
      </c>
      <c r="AF21" s="35">
        <f>AVERAGE(Tabla314[[#This Row],[Enero]:[Diciembre]])</f>
        <v>309.10000000000002</v>
      </c>
    </row>
    <row r="22" spans="1:32" x14ac:dyDescent="0.35">
      <c r="A22" s="12" t="s">
        <v>28</v>
      </c>
      <c r="B22" s="30">
        <v>0</v>
      </c>
      <c r="C22" s="30">
        <v>0</v>
      </c>
      <c r="D22" s="30">
        <v>266</v>
      </c>
      <c r="E22" s="30">
        <v>675</v>
      </c>
      <c r="F22" s="30">
        <v>667</v>
      </c>
      <c r="G22" s="30">
        <v>579</v>
      </c>
      <c r="H22" s="30">
        <v>436</v>
      </c>
      <c r="I22" s="30">
        <v>485</v>
      </c>
      <c r="J22" s="30">
        <v>537</v>
      </c>
      <c r="K22" s="30">
        <v>194</v>
      </c>
      <c r="L22" s="30">
        <v>284</v>
      </c>
      <c r="M22" s="30"/>
      <c r="N22" s="35">
        <f>SUM(Tabla3[[#This Row],[Enero]:[Diciembre]])</f>
        <v>4123</v>
      </c>
      <c r="O22" s="35">
        <f>AVERAGE(Tabla3[[#This Row],[Enero]:[Diciembre]])</f>
        <v>374.81818181818181</v>
      </c>
      <c r="R22" s="12" t="s">
        <v>28</v>
      </c>
      <c r="S22" s="30">
        <v>278</v>
      </c>
      <c r="T22" s="30">
        <v>421</v>
      </c>
      <c r="U22" s="30">
        <v>410</v>
      </c>
      <c r="V22" s="30">
        <v>322</v>
      </c>
      <c r="W22" s="30">
        <v>342</v>
      </c>
      <c r="X22" s="30">
        <v>347</v>
      </c>
      <c r="Y22" s="30">
        <v>198</v>
      </c>
      <c r="Z22" s="30">
        <v>419</v>
      </c>
      <c r="AA22" s="30">
        <v>412</v>
      </c>
      <c r="AB22" s="30">
        <v>358</v>
      </c>
      <c r="AC22" s="30"/>
      <c r="AD22" s="30"/>
      <c r="AE22" s="35">
        <f>SUM(Tabla314[[#This Row],[Enero]:[Diciembre]])</f>
        <v>3507</v>
      </c>
      <c r="AF22" s="35">
        <f>AVERAGE(Tabla314[[#This Row],[Enero]:[Diciembre]])</f>
        <v>350.7</v>
      </c>
    </row>
    <row r="23" spans="1:32" x14ac:dyDescent="0.35">
      <c r="A23" s="12" t="s">
        <v>61</v>
      </c>
      <c r="B23" s="30">
        <v>95</v>
      </c>
      <c r="C23" s="30">
        <v>84</v>
      </c>
      <c r="D23" s="30">
        <v>147</v>
      </c>
      <c r="E23" s="30">
        <v>148</v>
      </c>
      <c r="F23" s="30">
        <v>0</v>
      </c>
      <c r="G23" s="30">
        <v>287</v>
      </c>
      <c r="H23" s="30">
        <v>148</v>
      </c>
      <c r="I23" s="30">
        <v>204</v>
      </c>
      <c r="J23" s="30">
        <v>168</v>
      </c>
      <c r="K23" s="30">
        <v>131</v>
      </c>
      <c r="L23" s="30">
        <v>147</v>
      </c>
      <c r="M23" s="30"/>
      <c r="N23" s="35">
        <f>SUM(Tabla3[[#This Row],[Enero]:[Diciembre]])</f>
        <v>1559</v>
      </c>
      <c r="O23" s="35">
        <f>AVERAGE(Tabla3[[#This Row],[Enero]:[Diciembre]])</f>
        <v>141.72727272727272</v>
      </c>
      <c r="R23" s="12" t="s">
        <v>61</v>
      </c>
      <c r="S23" s="30">
        <v>75</v>
      </c>
      <c r="T23" s="30">
        <v>113</v>
      </c>
      <c r="U23" s="30">
        <v>104</v>
      </c>
      <c r="V23" s="30">
        <v>222</v>
      </c>
      <c r="W23" s="30">
        <v>285</v>
      </c>
      <c r="X23" s="30">
        <v>220</v>
      </c>
      <c r="Y23" s="30">
        <v>96</v>
      </c>
      <c r="Z23" s="30">
        <v>142</v>
      </c>
      <c r="AA23" s="30">
        <v>285</v>
      </c>
      <c r="AB23" s="30">
        <v>504</v>
      </c>
      <c r="AC23" s="30"/>
      <c r="AD23" s="30"/>
      <c r="AE23" s="35">
        <f>SUM(Tabla314[[#This Row],[Enero]:[Diciembre]])</f>
        <v>2046</v>
      </c>
      <c r="AF23" s="35">
        <f>AVERAGE(Tabla314[[#This Row],[Enero]:[Diciembre]])</f>
        <v>204.6</v>
      </c>
    </row>
    <row r="24" spans="1:32" x14ac:dyDescent="0.35">
      <c r="A24" s="12" t="s">
        <v>30</v>
      </c>
      <c r="B24" s="30">
        <v>0</v>
      </c>
      <c r="C24" s="30">
        <v>186</v>
      </c>
      <c r="D24" s="30">
        <v>203</v>
      </c>
      <c r="E24" s="30">
        <v>155</v>
      </c>
      <c r="F24" s="30">
        <v>99</v>
      </c>
      <c r="G24" s="30">
        <v>72</v>
      </c>
      <c r="H24" s="30">
        <v>69</v>
      </c>
      <c r="I24" s="30">
        <v>127</v>
      </c>
      <c r="J24" s="30">
        <v>115</v>
      </c>
      <c r="K24" s="30">
        <v>130</v>
      </c>
      <c r="L24" s="30">
        <v>257</v>
      </c>
      <c r="M24" s="30"/>
      <c r="N24" s="35">
        <f>SUM(Tabla3[[#This Row],[Enero]:[Diciembre]])</f>
        <v>1413</v>
      </c>
      <c r="O24" s="35">
        <f>AVERAGE(Tabla3[[#This Row],[Enero]:[Diciembre]])</f>
        <v>128.45454545454547</v>
      </c>
      <c r="R24" s="12" t="s">
        <v>30</v>
      </c>
      <c r="S24" s="30">
        <v>261</v>
      </c>
      <c r="T24" s="30">
        <v>60</v>
      </c>
      <c r="U24" s="30">
        <v>144</v>
      </c>
      <c r="V24" s="30">
        <v>86</v>
      </c>
      <c r="W24" s="30">
        <v>82</v>
      </c>
      <c r="X24" s="30">
        <v>110</v>
      </c>
      <c r="Y24" s="30">
        <v>63</v>
      </c>
      <c r="Z24" s="30">
        <v>158</v>
      </c>
      <c r="AA24" s="30">
        <v>62</v>
      </c>
      <c r="AB24" s="30">
        <v>174</v>
      </c>
      <c r="AC24" s="30"/>
      <c r="AD24" s="30"/>
      <c r="AE24" s="35">
        <f>SUM(Tabla314[[#This Row],[Enero]:[Diciembre]])</f>
        <v>1200</v>
      </c>
      <c r="AF24" s="35">
        <f>AVERAGE(Tabla314[[#This Row],[Enero]:[Diciembre]])</f>
        <v>120</v>
      </c>
    </row>
    <row r="25" spans="1:32" x14ac:dyDescent="0.35">
      <c r="A25" s="12" t="s">
        <v>62</v>
      </c>
      <c r="B25" s="30">
        <v>209</v>
      </c>
      <c r="C25" s="30">
        <v>357</v>
      </c>
      <c r="D25" s="30">
        <v>571</v>
      </c>
      <c r="E25" s="30">
        <v>333</v>
      </c>
      <c r="F25" s="30">
        <v>81</v>
      </c>
      <c r="G25" s="30">
        <v>147</v>
      </c>
      <c r="H25" s="30">
        <v>297</v>
      </c>
      <c r="I25" s="30">
        <v>101</v>
      </c>
      <c r="J25" s="30">
        <v>126</v>
      </c>
      <c r="K25" s="30">
        <v>195</v>
      </c>
      <c r="L25" s="30">
        <v>228</v>
      </c>
      <c r="M25" s="30"/>
      <c r="N25" s="35">
        <f>SUM(Tabla3[[#This Row],[Enero]:[Diciembre]])</f>
        <v>2645</v>
      </c>
      <c r="O25" s="35">
        <f>AVERAGE(Tabla3[[#This Row],[Enero]:[Diciembre]])</f>
        <v>240.45454545454547</v>
      </c>
      <c r="R25" s="12" t="s">
        <v>62</v>
      </c>
      <c r="S25" s="30">
        <v>136</v>
      </c>
      <c r="T25" s="30">
        <v>118</v>
      </c>
      <c r="U25" s="30">
        <v>144</v>
      </c>
      <c r="V25" s="30">
        <v>152</v>
      </c>
      <c r="W25" s="30">
        <v>123</v>
      </c>
      <c r="X25" s="30">
        <v>154</v>
      </c>
      <c r="Y25" s="30">
        <v>168</v>
      </c>
      <c r="Z25" s="30">
        <v>152</v>
      </c>
      <c r="AA25" s="30">
        <v>173</v>
      </c>
      <c r="AB25" s="30">
        <v>223</v>
      </c>
      <c r="AC25" s="30"/>
      <c r="AD25" s="30"/>
      <c r="AE25" s="35">
        <f>SUM(Tabla314[[#This Row],[Enero]:[Diciembre]])</f>
        <v>1543</v>
      </c>
      <c r="AF25" s="35">
        <f>AVERAGE(Tabla314[[#This Row],[Enero]:[Diciembre]])</f>
        <v>154.30000000000001</v>
      </c>
    </row>
    <row r="26" spans="1:32" x14ac:dyDescent="0.35">
      <c r="A26" s="12" t="s">
        <v>32</v>
      </c>
      <c r="B26" s="30">
        <v>528</v>
      </c>
      <c r="C26" s="30">
        <v>404</v>
      </c>
      <c r="D26" s="30">
        <v>410</v>
      </c>
      <c r="E26" s="30">
        <v>393</v>
      </c>
      <c r="F26" s="30">
        <v>399</v>
      </c>
      <c r="G26" s="30">
        <v>311</v>
      </c>
      <c r="H26" s="30">
        <v>192</v>
      </c>
      <c r="I26" s="30">
        <v>509</v>
      </c>
      <c r="J26" s="30">
        <v>566</v>
      </c>
      <c r="K26" s="30">
        <v>530</v>
      </c>
      <c r="L26" s="30">
        <v>374</v>
      </c>
      <c r="M26" s="30"/>
      <c r="N26" s="35">
        <f>SUM(Tabla3[[#This Row],[Enero]:[Diciembre]])</f>
        <v>4616</v>
      </c>
      <c r="O26" s="35">
        <f>AVERAGE(Tabla3[[#This Row],[Enero]:[Diciembre]])</f>
        <v>419.63636363636363</v>
      </c>
      <c r="R26" s="12" t="s">
        <v>32</v>
      </c>
      <c r="S26" s="30">
        <v>372</v>
      </c>
      <c r="T26" s="30">
        <v>444</v>
      </c>
      <c r="U26" s="30">
        <v>393</v>
      </c>
      <c r="V26" s="30">
        <v>349</v>
      </c>
      <c r="W26" s="30">
        <v>313</v>
      </c>
      <c r="X26" s="30">
        <v>373</v>
      </c>
      <c r="Y26" s="30">
        <v>446</v>
      </c>
      <c r="Z26" s="30">
        <v>305</v>
      </c>
      <c r="AA26" s="30">
        <v>353</v>
      </c>
      <c r="AB26" s="30">
        <v>298</v>
      </c>
      <c r="AC26" s="30"/>
      <c r="AD26" s="30"/>
      <c r="AE26" s="35">
        <f>SUM(Tabla314[[#This Row],[Enero]:[Diciembre]])</f>
        <v>3646</v>
      </c>
      <c r="AF26" s="35">
        <f>AVERAGE(Tabla314[[#This Row],[Enero]:[Diciembre]])</f>
        <v>364.6</v>
      </c>
    </row>
    <row r="27" spans="1:32" x14ac:dyDescent="0.35">
      <c r="A27" s="12" t="s">
        <v>33</v>
      </c>
      <c r="B27" s="30">
        <v>0</v>
      </c>
      <c r="C27" s="30">
        <v>575</v>
      </c>
      <c r="D27" s="30">
        <v>484</v>
      </c>
      <c r="E27" s="30">
        <v>309</v>
      </c>
      <c r="F27" s="30">
        <v>578</v>
      </c>
      <c r="G27" s="30">
        <v>400</v>
      </c>
      <c r="H27" s="30">
        <v>298</v>
      </c>
      <c r="I27" s="30">
        <v>332</v>
      </c>
      <c r="J27" s="30">
        <v>436</v>
      </c>
      <c r="K27" s="30">
        <v>319</v>
      </c>
      <c r="L27" s="30">
        <v>367</v>
      </c>
      <c r="M27" s="30"/>
      <c r="N27" s="35">
        <f>SUM(Tabla3[[#This Row],[Enero]:[Diciembre]])</f>
        <v>4098</v>
      </c>
      <c r="O27" s="35">
        <f>AVERAGE(Tabla3[[#This Row],[Enero]:[Diciembre]])</f>
        <v>372.54545454545456</v>
      </c>
      <c r="R27" s="12" t="s">
        <v>33</v>
      </c>
      <c r="S27" s="30">
        <v>211</v>
      </c>
      <c r="T27" s="30">
        <v>576</v>
      </c>
      <c r="U27" s="30">
        <v>282</v>
      </c>
      <c r="V27" s="30">
        <v>505</v>
      </c>
      <c r="W27" s="30">
        <v>331</v>
      </c>
      <c r="X27" s="30">
        <v>301</v>
      </c>
      <c r="Y27" s="30">
        <v>170</v>
      </c>
      <c r="Z27" s="30">
        <v>388</v>
      </c>
      <c r="AA27" s="30">
        <v>212</v>
      </c>
      <c r="AB27" s="30">
        <v>192</v>
      </c>
      <c r="AC27" s="30"/>
      <c r="AD27" s="30"/>
      <c r="AE27" s="35">
        <f>SUM(Tabla314[[#This Row],[Enero]:[Diciembre]])</f>
        <v>3168</v>
      </c>
      <c r="AF27" s="35">
        <f>AVERAGE(Tabla314[[#This Row],[Enero]:[Diciembre]])</f>
        <v>316.8</v>
      </c>
    </row>
    <row r="28" spans="1:32" x14ac:dyDescent="0.35">
      <c r="A28" s="12" t="s">
        <v>34</v>
      </c>
      <c r="B28" s="30">
        <v>0</v>
      </c>
      <c r="C28" s="30">
        <v>0</v>
      </c>
      <c r="D28" s="30">
        <v>0</v>
      </c>
      <c r="E28" s="30">
        <v>367</v>
      </c>
      <c r="F28" s="30">
        <v>140</v>
      </c>
      <c r="G28" s="30">
        <v>0</v>
      </c>
      <c r="H28" s="30">
        <v>42</v>
      </c>
      <c r="I28" s="30">
        <v>165</v>
      </c>
      <c r="J28" s="30">
        <v>232</v>
      </c>
      <c r="K28" s="30">
        <v>225</v>
      </c>
      <c r="L28" s="30">
        <v>386</v>
      </c>
      <c r="M28" s="30"/>
      <c r="N28" s="35">
        <f>SUM(Tabla3[[#This Row],[Enero]:[Diciembre]])</f>
        <v>1557</v>
      </c>
      <c r="O28" s="35">
        <f>AVERAGE(Tabla3[[#This Row],[Enero]:[Diciembre]])</f>
        <v>141.54545454545453</v>
      </c>
      <c r="R28" s="12" t="s">
        <v>34</v>
      </c>
      <c r="S28" s="30">
        <v>336</v>
      </c>
      <c r="T28" s="30">
        <v>376</v>
      </c>
      <c r="U28" s="30">
        <v>428</v>
      </c>
      <c r="V28" s="30">
        <v>324</v>
      </c>
      <c r="W28" s="30">
        <v>520</v>
      </c>
      <c r="X28" s="30">
        <v>510</v>
      </c>
      <c r="Y28" s="30">
        <v>402</v>
      </c>
      <c r="Z28" s="30">
        <v>491</v>
      </c>
      <c r="AA28" s="30">
        <v>550</v>
      </c>
      <c r="AB28" s="30">
        <v>723</v>
      </c>
      <c r="AC28" s="30"/>
      <c r="AD28" s="30"/>
      <c r="AE28" s="35">
        <f>SUM(Tabla314[[#This Row],[Enero]:[Diciembre]])</f>
        <v>4660</v>
      </c>
      <c r="AF28" s="35">
        <f>AVERAGE(Tabla314[[#This Row],[Enero]:[Diciembre]])</f>
        <v>466</v>
      </c>
    </row>
    <row r="29" spans="1:32" x14ac:dyDescent="0.35">
      <c r="A29" s="12" t="s">
        <v>35</v>
      </c>
      <c r="B29" s="30">
        <v>113</v>
      </c>
      <c r="C29" s="30">
        <v>31</v>
      </c>
      <c r="D29" s="30">
        <v>8</v>
      </c>
      <c r="E29" s="30">
        <v>49</v>
      </c>
      <c r="F29" s="30">
        <v>167</v>
      </c>
      <c r="G29" s="30">
        <v>20</v>
      </c>
      <c r="H29" s="30">
        <v>6</v>
      </c>
      <c r="I29" s="30">
        <v>8</v>
      </c>
      <c r="J29" s="30">
        <v>214</v>
      </c>
      <c r="K29" s="30">
        <v>87</v>
      </c>
      <c r="L29" s="30">
        <v>176</v>
      </c>
      <c r="M29" s="30"/>
      <c r="N29" s="35">
        <f>SUM(Tabla3[[#This Row],[Enero]:[Diciembre]])</f>
        <v>879</v>
      </c>
      <c r="O29" s="35">
        <f>AVERAGE(Tabla3[[#This Row],[Enero]:[Diciembre]])</f>
        <v>79.909090909090907</v>
      </c>
      <c r="R29" s="12" t="s">
        <v>35</v>
      </c>
      <c r="S29" s="30">
        <v>168</v>
      </c>
      <c r="T29" s="30">
        <v>194</v>
      </c>
      <c r="U29" s="30">
        <v>365</v>
      </c>
      <c r="V29" s="30">
        <v>211</v>
      </c>
      <c r="W29" s="30">
        <v>293</v>
      </c>
      <c r="X29" s="30">
        <v>186</v>
      </c>
      <c r="Y29" s="30">
        <v>140</v>
      </c>
      <c r="Z29" s="30">
        <v>170</v>
      </c>
      <c r="AA29" s="30">
        <v>295</v>
      </c>
      <c r="AB29" s="30">
        <v>228</v>
      </c>
      <c r="AC29" s="30"/>
      <c r="AD29" s="30"/>
      <c r="AE29" s="35">
        <f>SUM(Tabla314[[#This Row],[Enero]:[Diciembre]])</f>
        <v>2250</v>
      </c>
      <c r="AF29" s="35">
        <f>AVERAGE(Tabla314[[#This Row],[Enero]:[Diciembre]])</f>
        <v>225</v>
      </c>
    </row>
    <row r="30" spans="1:32" x14ac:dyDescent="0.35">
      <c r="A30" s="12" t="s">
        <v>63</v>
      </c>
      <c r="B30" s="30">
        <v>0</v>
      </c>
      <c r="C30" s="30">
        <v>2</v>
      </c>
      <c r="D30" s="30">
        <v>66</v>
      </c>
      <c r="E30" s="30">
        <v>0</v>
      </c>
      <c r="F30" s="30">
        <v>0</v>
      </c>
      <c r="G30" s="30">
        <v>0</v>
      </c>
      <c r="H30" s="30">
        <v>84</v>
      </c>
      <c r="I30" s="30">
        <v>0</v>
      </c>
      <c r="J30" s="30">
        <v>0</v>
      </c>
      <c r="K30" s="30">
        <v>25</v>
      </c>
      <c r="L30" s="30">
        <v>11</v>
      </c>
      <c r="M30" s="30"/>
      <c r="N30" s="35">
        <f>SUM(Tabla3[[#This Row],[Enero]:[Diciembre]])</f>
        <v>188</v>
      </c>
      <c r="O30" s="35">
        <f>AVERAGE(Tabla3[[#This Row],[Enero]:[Diciembre]])</f>
        <v>17.09090909090909</v>
      </c>
      <c r="R30" s="12" t="s">
        <v>63</v>
      </c>
      <c r="S30" s="30">
        <v>35</v>
      </c>
      <c r="T30" s="30">
        <v>66</v>
      </c>
      <c r="U30" s="30">
        <v>87</v>
      </c>
      <c r="V30" s="30">
        <v>41</v>
      </c>
      <c r="W30" s="30">
        <v>52</v>
      </c>
      <c r="X30" s="30">
        <v>46</v>
      </c>
      <c r="Y30" s="30">
        <v>55</v>
      </c>
      <c r="Z30" s="30">
        <v>121</v>
      </c>
      <c r="AA30" s="30">
        <v>17</v>
      </c>
      <c r="AB30" s="30">
        <v>140</v>
      </c>
      <c r="AC30" s="30"/>
      <c r="AD30" s="30"/>
      <c r="AE30" s="35">
        <f>SUM(Tabla314[[#This Row],[Enero]:[Diciembre]])</f>
        <v>660</v>
      </c>
      <c r="AF30" s="35">
        <f>AVERAGE(Tabla314[[#This Row],[Enero]:[Diciembre]])</f>
        <v>66</v>
      </c>
    </row>
    <row r="31" spans="1:32" x14ac:dyDescent="0.35">
      <c r="A31" s="12" t="s">
        <v>37</v>
      </c>
      <c r="B31" s="30">
        <v>196</v>
      </c>
      <c r="C31" s="30">
        <v>268</v>
      </c>
      <c r="D31" s="30">
        <v>100</v>
      </c>
      <c r="E31" s="30">
        <v>0</v>
      </c>
      <c r="F31" s="30">
        <v>118</v>
      </c>
      <c r="G31" s="30">
        <v>97</v>
      </c>
      <c r="H31" s="30">
        <v>41</v>
      </c>
      <c r="I31" s="30">
        <v>87</v>
      </c>
      <c r="J31" s="30">
        <v>345</v>
      </c>
      <c r="K31" s="30">
        <v>195</v>
      </c>
      <c r="L31" s="30">
        <v>174</v>
      </c>
      <c r="M31" s="30"/>
      <c r="N31" s="35">
        <f>SUM(Tabla3[[#This Row],[Enero]:[Diciembre]])</f>
        <v>1621</v>
      </c>
      <c r="O31" s="35">
        <f>AVERAGE(Tabla3[[#This Row],[Enero]:[Diciembre]])</f>
        <v>147.36363636363637</v>
      </c>
      <c r="R31" s="12" t="s">
        <v>37</v>
      </c>
      <c r="S31" s="30">
        <v>166</v>
      </c>
      <c r="T31" s="30">
        <v>122</v>
      </c>
      <c r="U31" s="30">
        <v>202</v>
      </c>
      <c r="V31" s="30">
        <v>82</v>
      </c>
      <c r="W31" s="30">
        <v>215</v>
      </c>
      <c r="X31" s="30">
        <v>198</v>
      </c>
      <c r="Y31" s="30">
        <v>253</v>
      </c>
      <c r="Z31" s="30">
        <v>233</v>
      </c>
      <c r="AA31" s="30">
        <v>149</v>
      </c>
      <c r="AB31" s="30">
        <v>88</v>
      </c>
      <c r="AC31" s="30"/>
      <c r="AD31" s="30"/>
      <c r="AE31" s="35">
        <f>SUM(Tabla314[[#This Row],[Enero]:[Diciembre]])</f>
        <v>1708</v>
      </c>
      <c r="AF31" s="35">
        <f>AVERAGE(Tabla314[[#This Row],[Enero]:[Diciembre]])</f>
        <v>170.8</v>
      </c>
    </row>
    <row r="32" spans="1:32" x14ac:dyDescent="0.35">
      <c r="A32" s="12" t="s">
        <v>64</v>
      </c>
      <c r="B32" s="30">
        <v>3803</v>
      </c>
      <c r="C32" s="30">
        <v>1850</v>
      </c>
      <c r="D32" s="30">
        <v>2233</v>
      </c>
      <c r="E32" s="30">
        <v>2435</v>
      </c>
      <c r="F32" s="30">
        <v>865</v>
      </c>
      <c r="G32" s="30">
        <v>2970</v>
      </c>
      <c r="H32" s="30">
        <v>2475</v>
      </c>
      <c r="I32" s="30">
        <v>1979</v>
      </c>
      <c r="J32" s="30">
        <v>1723</v>
      </c>
      <c r="K32" s="30">
        <v>2128</v>
      </c>
      <c r="L32" s="30">
        <v>1626</v>
      </c>
      <c r="M32" s="30"/>
      <c r="N32" s="35">
        <f>SUM(Tabla3[[#This Row],[Enero]:[Diciembre]])</f>
        <v>24087</v>
      </c>
      <c r="O32" s="35">
        <f>AVERAGE(Tabla3[[#This Row],[Enero]:[Diciembre]])</f>
        <v>2189.7272727272725</v>
      </c>
      <c r="R32" s="12" t="s">
        <v>64</v>
      </c>
      <c r="S32" s="30">
        <v>938</v>
      </c>
      <c r="T32" s="30">
        <v>1087</v>
      </c>
      <c r="U32" s="30">
        <v>1101</v>
      </c>
      <c r="V32" s="30">
        <v>1123</v>
      </c>
      <c r="W32" s="30">
        <v>1084</v>
      </c>
      <c r="X32" s="30">
        <v>566</v>
      </c>
      <c r="Y32" s="30">
        <v>936</v>
      </c>
      <c r="Z32" s="30">
        <v>701</v>
      </c>
      <c r="AA32" s="30">
        <v>506</v>
      </c>
      <c r="AB32" s="30">
        <v>1157</v>
      </c>
      <c r="AC32" s="30"/>
      <c r="AD32" s="30"/>
      <c r="AE32" s="35">
        <f>SUM(Tabla314[[#This Row],[Enero]:[Diciembre]])</f>
        <v>9199</v>
      </c>
      <c r="AF32" s="35">
        <f>AVERAGE(Tabla314[[#This Row],[Enero]:[Diciembre]])</f>
        <v>919.9</v>
      </c>
    </row>
    <row r="33" spans="1:32" x14ac:dyDescent="0.35">
      <c r="A33" s="12" t="s">
        <v>65</v>
      </c>
      <c r="B33" s="30">
        <v>1809</v>
      </c>
      <c r="C33" s="30">
        <v>0</v>
      </c>
      <c r="D33" s="30">
        <v>957</v>
      </c>
      <c r="E33" s="30">
        <v>1297</v>
      </c>
      <c r="F33" s="30">
        <v>1484</v>
      </c>
      <c r="G33" s="30">
        <v>2034</v>
      </c>
      <c r="H33" s="30">
        <v>1357</v>
      </c>
      <c r="I33" s="30">
        <v>1752</v>
      </c>
      <c r="J33" s="30">
        <v>527</v>
      </c>
      <c r="K33" s="30">
        <v>1971</v>
      </c>
      <c r="L33" s="30">
        <v>442</v>
      </c>
      <c r="M33" s="30"/>
      <c r="N33" s="35">
        <f>SUM(Tabla3[[#This Row],[Enero]:[Diciembre]])</f>
        <v>13630</v>
      </c>
      <c r="O33" s="35">
        <f>AVERAGE(Tabla3[[#This Row],[Enero]:[Diciembre]])</f>
        <v>1239.090909090909</v>
      </c>
      <c r="R33" s="12" t="s">
        <v>65</v>
      </c>
      <c r="S33" s="30">
        <v>6269</v>
      </c>
      <c r="T33" s="30">
        <v>1864</v>
      </c>
      <c r="U33" s="30">
        <v>1581</v>
      </c>
      <c r="V33" s="30">
        <v>1080</v>
      </c>
      <c r="W33" s="30">
        <v>2053</v>
      </c>
      <c r="X33" s="30">
        <v>1408</v>
      </c>
      <c r="Y33" s="30">
        <v>1574</v>
      </c>
      <c r="Z33" s="30">
        <v>1220</v>
      </c>
      <c r="AA33" s="30">
        <v>2254</v>
      </c>
      <c r="AB33" s="30">
        <v>1045</v>
      </c>
      <c r="AC33" s="30"/>
      <c r="AD33" s="30"/>
      <c r="AE33" s="35">
        <f>SUM(Tabla314[[#This Row],[Enero]:[Diciembre]])</f>
        <v>20348</v>
      </c>
      <c r="AF33" s="35">
        <f>AVERAGE(Tabla314[[#This Row],[Enero]:[Diciembre]])</f>
        <v>2034.8</v>
      </c>
    </row>
    <row r="34" spans="1:32" x14ac:dyDescent="0.35">
      <c r="A34" s="12" t="s">
        <v>38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29</v>
      </c>
      <c r="J34" s="30">
        <v>19</v>
      </c>
      <c r="K34" s="30">
        <v>27</v>
      </c>
      <c r="L34" s="30">
        <v>18</v>
      </c>
      <c r="M34" s="30"/>
      <c r="N34" s="35">
        <f>SUM(Tabla3[[#This Row],[Enero]:[Diciembre]])</f>
        <v>93</v>
      </c>
      <c r="O34" s="35">
        <f>AVERAGE(Tabla3[[#This Row],[Enero]:[Diciembre]])</f>
        <v>8.454545454545455</v>
      </c>
      <c r="R34" s="12" t="s">
        <v>38</v>
      </c>
      <c r="S34" s="30">
        <v>50</v>
      </c>
      <c r="T34" s="30">
        <v>17</v>
      </c>
      <c r="U34" s="30">
        <v>62</v>
      </c>
      <c r="V34" s="30">
        <v>64</v>
      </c>
      <c r="W34" s="30">
        <v>60</v>
      </c>
      <c r="X34" s="30">
        <v>42</v>
      </c>
      <c r="Y34" s="30">
        <v>105</v>
      </c>
      <c r="Z34" s="30">
        <v>179</v>
      </c>
      <c r="AA34" s="30">
        <v>120</v>
      </c>
      <c r="AB34" s="30">
        <v>196</v>
      </c>
      <c r="AC34" s="30"/>
      <c r="AD34" s="30"/>
      <c r="AE34" s="35">
        <f>SUM(Tabla314[[#This Row],[Enero]:[Diciembre]])</f>
        <v>895</v>
      </c>
      <c r="AF34" s="35">
        <f>AVERAGE(Tabla314[[#This Row],[Enero]:[Diciembre]])</f>
        <v>89.5</v>
      </c>
    </row>
    <row r="35" spans="1:32" x14ac:dyDescent="0.35">
      <c r="A35" s="12" t="s">
        <v>39</v>
      </c>
      <c r="B35" s="30">
        <v>312</v>
      </c>
      <c r="C35" s="30">
        <v>97</v>
      </c>
      <c r="D35" s="30">
        <v>335</v>
      </c>
      <c r="E35" s="30">
        <v>425</v>
      </c>
      <c r="F35" s="30">
        <v>440</v>
      </c>
      <c r="G35" s="30">
        <v>502</v>
      </c>
      <c r="H35" s="30">
        <v>226</v>
      </c>
      <c r="I35" s="30">
        <v>0</v>
      </c>
      <c r="J35" s="30">
        <v>136</v>
      </c>
      <c r="K35" s="30">
        <v>202</v>
      </c>
      <c r="L35" s="30">
        <v>157</v>
      </c>
      <c r="M35" s="30"/>
      <c r="N35" s="35">
        <f>SUM(Tabla3[[#This Row],[Enero]:[Diciembre]])</f>
        <v>2832</v>
      </c>
      <c r="O35" s="35">
        <f>AVERAGE(Tabla3[[#This Row],[Enero]:[Diciembre]])</f>
        <v>257.45454545454544</v>
      </c>
      <c r="R35" s="12" t="s">
        <v>39</v>
      </c>
      <c r="S35" s="30">
        <v>189</v>
      </c>
      <c r="T35" s="30">
        <v>125</v>
      </c>
      <c r="U35" s="30">
        <v>98</v>
      </c>
      <c r="V35" s="30">
        <v>59</v>
      </c>
      <c r="W35" s="30">
        <v>237</v>
      </c>
      <c r="X35" s="30">
        <v>638</v>
      </c>
      <c r="Y35" s="30">
        <v>394</v>
      </c>
      <c r="Z35" s="30">
        <v>662</v>
      </c>
      <c r="AA35" s="30">
        <v>438</v>
      </c>
      <c r="AB35" s="30">
        <v>421</v>
      </c>
      <c r="AC35" s="30"/>
      <c r="AD35" s="30"/>
      <c r="AE35" s="35">
        <f>SUM(Tabla314[[#This Row],[Enero]:[Diciembre]])</f>
        <v>3261</v>
      </c>
      <c r="AF35" s="35">
        <f>AVERAGE(Tabla314[[#This Row],[Enero]:[Diciembre]])</f>
        <v>326.10000000000002</v>
      </c>
    </row>
    <row r="36" spans="1:32" x14ac:dyDescent="0.35">
      <c r="A36" s="12" t="s">
        <v>40</v>
      </c>
      <c r="B36" s="30">
        <v>62</v>
      </c>
      <c r="C36" s="30">
        <v>66</v>
      </c>
      <c r="D36" s="30">
        <v>311</v>
      </c>
      <c r="E36" s="30">
        <v>672</v>
      </c>
      <c r="F36" s="30">
        <v>3</v>
      </c>
      <c r="G36" s="30">
        <v>335</v>
      </c>
      <c r="H36" s="30">
        <v>25</v>
      </c>
      <c r="I36" s="30">
        <v>203</v>
      </c>
      <c r="J36" s="30">
        <v>225</v>
      </c>
      <c r="K36" s="30">
        <v>409</v>
      </c>
      <c r="L36" s="30">
        <v>583</v>
      </c>
      <c r="M36" s="30"/>
      <c r="N36" s="35">
        <f>SUM(Tabla3[[#This Row],[Enero]:[Diciembre]])</f>
        <v>2894</v>
      </c>
      <c r="O36" s="35">
        <f>AVERAGE(Tabla3[[#This Row],[Enero]:[Diciembre]])</f>
        <v>263.09090909090907</v>
      </c>
      <c r="R36" s="12" t="s">
        <v>40</v>
      </c>
      <c r="S36" s="30">
        <v>205</v>
      </c>
      <c r="T36" s="30">
        <v>147</v>
      </c>
      <c r="U36" s="30">
        <v>80</v>
      </c>
      <c r="V36" s="30">
        <v>84</v>
      </c>
      <c r="W36" s="30">
        <v>230</v>
      </c>
      <c r="X36" s="30">
        <v>584</v>
      </c>
      <c r="Y36" s="30">
        <v>544</v>
      </c>
      <c r="Z36" s="30">
        <v>629</v>
      </c>
      <c r="AA36" s="30">
        <v>745</v>
      </c>
      <c r="AB36" s="30">
        <v>303</v>
      </c>
      <c r="AC36" s="30"/>
      <c r="AD36" s="30"/>
      <c r="AE36" s="35">
        <f>SUM(Tabla314[[#This Row],[Enero]:[Diciembre]])</f>
        <v>3551</v>
      </c>
      <c r="AF36" s="35">
        <f>AVERAGE(Tabla314[[#This Row],[Enero]:[Diciembre]])</f>
        <v>355.1</v>
      </c>
    </row>
    <row r="37" spans="1:32" x14ac:dyDescent="0.35">
      <c r="A37" s="12" t="s">
        <v>41</v>
      </c>
      <c r="B37" s="30">
        <v>0</v>
      </c>
      <c r="C37" s="30">
        <v>0</v>
      </c>
      <c r="D37" s="30">
        <v>94</v>
      </c>
      <c r="E37" s="30">
        <v>74</v>
      </c>
      <c r="F37" s="30">
        <v>40</v>
      </c>
      <c r="G37" s="30">
        <v>0</v>
      </c>
      <c r="H37" s="30">
        <v>20</v>
      </c>
      <c r="I37" s="30">
        <v>1</v>
      </c>
      <c r="J37" s="30">
        <v>44</v>
      </c>
      <c r="K37" s="30">
        <v>47</v>
      </c>
      <c r="L37" s="30">
        <v>37</v>
      </c>
      <c r="M37" s="30"/>
      <c r="N37" s="35">
        <f>SUM(Tabla3[[#This Row],[Enero]:[Diciembre]])</f>
        <v>357</v>
      </c>
      <c r="O37" s="35">
        <f>AVERAGE(Tabla3[[#This Row],[Enero]:[Diciembre]])</f>
        <v>32.454545454545453</v>
      </c>
      <c r="R37" s="12" t="s">
        <v>41</v>
      </c>
      <c r="S37" s="30">
        <v>35</v>
      </c>
      <c r="T37" s="30">
        <v>23</v>
      </c>
      <c r="U37" s="30">
        <v>114</v>
      </c>
      <c r="V37" s="30">
        <v>105</v>
      </c>
      <c r="W37" s="30">
        <v>169</v>
      </c>
      <c r="X37" s="30">
        <v>109</v>
      </c>
      <c r="Y37" s="30">
        <v>78</v>
      </c>
      <c r="Z37" s="30">
        <v>142</v>
      </c>
      <c r="AA37" s="30">
        <v>69</v>
      </c>
      <c r="AB37" s="30">
        <v>84</v>
      </c>
      <c r="AC37" s="30"/>
      <c r="AD37" s="30"/>
      <c r="AE37" s="35">
        <f>SUM(Tabla314[[#This Row],[Enero]:[Diciembre]])</f>
        <v>928</v>
      </c>
      <c r="AF37" s="35">
        <f>AVERAGE(Tabla314[[#This Row],[Enero]:[Diciembre]])</f>
        <v>92.8</v>
      </c>
    </row>
    <row r="38" spans="1:32" x14ac:dyDescent="0.35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5"/>
      <c r="O38" s="35"/>
      <c r="R38" s="12" t="s">
        <v>66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84</v>
      </c>
      <c r="Y38" s="30">
        <v>0</v>
      </c>
      <c r="Z38" s="30">
        <v>74</v>
      </c>
      <c r="AA38" s="30">
        <v>0</v>
      </c>
      <c r="AB38" s="30">
        <v>30</v>
      </c>
      <c r="AC38" s="30"/>
      <c r="AD38" s="30"/>
      <c r="AE38" s="35">
        <f>SUM(Tabla314[[#This Row],[Enero]:[Diciembre]])</f>
        <v>188</v>
      </c>
      <c r="AF38" s="35">
        <f>AVERAGE(Tabla314[[#This Row],[Enero]:[Diciembre]])</f>
        <v>18.8</v>
      </c>
    </row>
    <row r="39" spans="1:32" x14ac:dyDescent="0.35">
      <c r="A39" s="9" t="s">
        <v>42</v>
      </c>
      <c r="B39" s="11">
        <f t="shared" ref="B39:M39" si="0">SUM(B3:B37)</f>
        <v>18013</v>
      </c>
      <c r="C39" s="11">
        <f t="shared" si="0"/>
        <v>8907</v>
      </c>
      <c r="D39" s="11">
        <f t="shared" si="0"/>
        <v>12264</v>
      </c>
      <c r="E39" s="11">
        <f t="shared" si="0"/>
        <v>39766</v>
      </c>
      <c r="F39" s="11">
        <f t="shared" si="0"/>
        <v>31709</v>
      </c>
      <c r="G39" s="11">
        <f t="shared" si="0"/>
        <v>35441</v>
      </c>
      <c r="H39" s="11">
        <f t="shared" si="0"/>
        <v>24056</v>
      </c>
      <c r="I39" s="11">
        <f t="shared" si="0"/>
        <v>31420</v>
      </c>
      <c r="J39" s="11">
        <f t="shared" si="0"/>
        <v>31713</v>
      </c>
      <c r="K39" s="11">
        <f t="shared" si="0"/>
        <v>21734</v>
      </c>
      <c r="L39" s="11">
        <f t="shared" si="0"/>
        <v>22485</v>
      </c>
      <c r="M39" s="11">
        <f t="shared" si="0"/>
        <v>0</v>
      </c>
      <c r="N39" s="41">
        <f>SUBTOTAL(109,Tabla3[[Total Sucursal ]])</f>
        <v>277508</v>
      </c>
      <c r="O39" s="41">
        <f>SUBTOTAL(109,Tabla3[Promedio Sucursal])</f>
        <v>25227.999999999989</v>
      </c>
      <c r="R39" s="9" t="s">
        <v>42</v>
      </c>
      <c r="S39" s="11">
        <f t="shared" ref="S39:AD39" si="1">SUM(S3:S37)</f>
        <v>26377</v>
      </c>
      <c r="T39" s="11">
        <f>SUBTOTAL(109,Tabla314[Febrero])</f>
        <v>19444</v>
      </c>
      <c r="U39" s="11">
        <f>SUBTOTAL(109,Tabla314[Marzo])</f>
        <v>38309</v>
      </c>
      <c r="V39" s="11">
        <f>SUBTOTAL(109,Tabla314[Abril])</f>
        <v>19454</v>
      </c>
      <c r="W39" s="11">
        <f>SUBTOTAL(109,Tabla314[Mayo])</f>
        <v>20914</v>
      </c>
      <c r="X39" s="11">
        <f>SUBTOTAL(109,Tabla314[Junio])</f>
        <v>24261</v>
      </c>
      <c r="Y39" s="11">
        <f>SUBTOTAL(109,Tabla314[Julio])</f>
        <v>24833</v>
      </c>
      <c r="Z39" s="11">
        <f>SUBTOTAL(109,Tabla314[Agosto])</f>
        <v>31091</v>
      </c>
      <c r="AA39" s="11">
        <f>SUBTOTAL(109,Tabla314[Septiembre])</f>
        <v>27628</v>
      </c>
      <c r="AB39" s="11">
        <f>SUBTOTAL(109,Tabla314[Octubre])</f>
        <v>23661</v>
      </c>
      <c r="AC39" s="11">
        <f t="shared" si="1"/>
        <v>0</v>
      </c>
      <c r="AD39" s="11">
        <f t="shared" si="1"/>
        <v>0</v>
      </c>
      <c r="AE39" s="41">
        <f>SUBTOTAL(109,Tabla314[[Total Sucursal ]])</f>
        <v>255972</v>
      </c>
      <c r="AF39" s="41">
        <f>SUBTOTAL(109,Tabla314[Promedio Sucursal])</f>
        <v>25597.19999999999</v>
      </c>
    </row>
    <row r="41" spans="1:32" x14ac:dyDescent="0.35">
      <c r="S41" s="163"/>
      <c r="T41" s="144"/>
      <c r="U41" s="144"/>
      <c r="V41" s="144"/>
      <c r="X41" s="139"/>
    </row>
    <row r="42" spans="1:32" x14ac:dyDescent="0.35">
      <c r="S42" s="163"/>
      <c r="T42" s="163"/>
      <c r="U42" s="173"/>
      <c r="V42" s="163"/>
      <c r="AB42" s="187" t="s">
        <v>44</v>
      </c>
      <c r="AC42" s="188">
        <f>MAX(S39:AB39)</f>
        <v>38309</v>
      </c>
    </row>
    <row r="43" spans="1:32" x14ac:dyDescent="0.35">
      <c r="AB43" s="187" t="s">
        <v>43</v>
      </c>
      <c r="AC43" s="188">
        <f>MIN(S39:AB39)</f>
        <v>19444</v>
      </c>
    </row>
    <row r="44" spans="1:32" x14ac:dyDescent="0.35">
      <c r="AB44" s="187" t="s">
        <v>67</v>
      </c>
      <c r="AC44" s="188">
        <f>+AVERAGE(S39:AB39)</f>
        <v>25597.200000000001</v>
      </c>
    </row>
  </sheetData>
  <phoneticPr fontId="3" type="noConversion"/>
  <pageMargins left="0.7" right="0.7" top="0.75" bottom="0.75" header="0.3" footer="0.3"/>
  <headerFooter>
    <oddFooter>&amp;C_x000D_&amp;1#&amp;"Calibri"&amp;10&amp;K008000 DOCUMENTO PÚBLICO</oddFooter>
  </headerFooter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2"/>
  <sheetViews>
    <sheetView topLeftCell="I47" zoomScale="70" zoomScaleNormal="70" workbookViewId="0">
      <selection activeCell="AA66" sqref="AA66"/>
    </sheetView>
  </sheetViews>
  <sheetFormatPr baseColWidth="10" defaultColWidth="11.453125" defaultRowHeight="14.5" x14ac:dyDescent="0.35"/>
  <cols>
    <col min="1" max="1" width="18.453125" customWidth="1"/>
    <col min="2" max="2" width="14.36328125" customWidth="1"/>
    <col min="3" max="3" width="13.453125" customWidth="1"/>
    <col min="4" max="4" width="12.1796875" customWidth="1"/>
    <col min="5" max="5" width="13.1796875" customWidth="1"/>
    <col min="6" max="6" width="12.1796875" customWidth="1"/>
    <col min="7" max="7" width="13" customWidth="1"/>
    <col min="8" max="8" width="12.1796875" customWidth="1"/>
    <col min="9" max="9" width="12.81640625" customWidth="1"/>
    <col min="10" max="10" width="12.1796875" customWidth="1"/>
    <col min="11" max="11" width="13.1796875" customWidth="1"/>
    <col min="12" max="12" width="12.1796875" customWidth="1"/>
    <col min="13" max="13" width="13.1796875" customWidth="1"/>
    <col min="14" max="14" width="12.36328125" customWidth="1"/>
    <col min="15" max="15" width="13.08984375" customWidth="1"/>
    <col min="16" max="16" width="12.1796875" customWidth="1"/>
    <col min="17" max="17" width="13.1796875" customWidth="1"/>
    <col min="18" max="18" width="12.453125" customWidth="1"/>
    <col min="19" max="19" width="13.1796875" customWidth="1"/>
    <col min="20" max="20" width="11.1796875" customWidth="1"/>
    <col min="21" max="21" width="12.54296875" customWidth="1"/>
    <col min="22" max="22" width="11.54296875" customWidth="1"/>
    <col min="23" max="23" width="17.36328125" customWidth="1"/>
    <col min="24" max="24" width="11.1796875" customWidth="1"/>
    <col min="25" max="25" width="17.81640625" customWidth="1"/>
    <col min="26" max="26" width="16.54296875" bestFit="1" customWidth="1"/>
    <col min="27" max="27" width="16.1796875" customWidth="1"/>
  </cols>
  <sheetData>
    <row r="1" spans="1:27" ht="21.65" customHeight="1" x14ac:dyDescent="0.35">
      <c r="A1" s="6" t="s">
        <v>68</v>
      </c>
      <c r="B1" s="6"/>
      <c r="C1" s="6"/>
      <c r="D1" s="6"/>
      <c r="E1" s="6"/>
    </row>
    <row r="2" spans="1:27" x14ac:dyDescent="0.35">
      <c r="A2" s="16"/>
      <c r="B2" s="151" t="s">
        <v>3</v>
      </c>
      <c r="C2" s="151"/>
      <c r="D2" s="149" t="s">
        <v>4</v>
      </c>
      <c r="E2" s="149"/>
      <c r="F2" s="149" t="s">
        <v>5</v>
      </c>
      <c r="G2" s="149"/>
      <c r="H2" s="149" t="s">
        <v>6</v>
      </c>
      <c r="I2" s="149"/>
      <c r="J2" s="149" t="s">
        <v>7</v>
      </c>
      <c r="K2" s="149"/>
      <c r="L2" s="149" t="s">
        <v>8</v>
      </c>
      <c r="M2" s="149"/>
      <c r="N2" s="149" t="s">
        <v>9</v>
      </c>
      <c r="O2" s="149"/>
      <c r="P2" s="149" t="s">
        <v>10</v>
      </c>
      <c r="Q2" s="149"/>
      <c r="R2" s="149" t="s">
        <v>11</v>
      </c>
      <c r="S2" s="149"/>
      <c r="T2" s="149" t="s">
        <v>12</v>
      </c>
      <c r="U2" s="149"/>
      <c r="V2" s="149" t="s">
        <v>13</v>
      </c>
      <c r="W2" s="149"/>
      <c r="X2" s="150" t="s">
        <v>14</v>
      </c>
      <c r="Y2" s="150"/>
    </row>
    <row r="3" spans="1:27" ht="29.5" thickBot="1" x14ac:dyDescent="0.4">
      <c r="A3" s="14" t="s">
        <v>2</v>
      </c>
      <c r="B3" s="15" t="s">
        <v>69</v>
      </c>
      <c r="C3" s="170" t="s">
        <v>187</v>
      </c>
      <c r="D3" s="15" t="s">
        <v>70</v>
      </c>
      <c r="E3" s="170" t="s">
        <v>188</v>
      </c>
      <c r="F3" s="15" t="s">
        <v>71</v>
      </c>
      <c r="G3" s="170" t="s">
        <v>189</v>
      </c>
      <c r="H3" s="15" t="s">
        <v>72</v>
      </c>
      <c r="I3" s="170" t="s">
        <v>190</v>
      </c>
      <c r="J3" s="15" t="s">
        <v>73</v>
      </c>
      <c r="K3" s="170" t="s">
        <v>191</v>
      </c>
      <c r="L3" s="15" t="s">
        <v>74</v>
      </c>
      <c r="M3" s="170" t="s">
        <v>192</v>
      </c>
      <c r="N3" s="15" t="s">
        <v>75</v>
      </c>
      <c r="O3" s="170" t="s">
        <v>193</v>
      </c>
      <c r="P3" s="15" t="s">
        <v>76</v>
      </c>
      <c r="Q3" s="170" t="s">
        <v>194</v>
      </c>
      <c r="R3" s="15" t="s">
        <v>77</v>
      </c>
      <c r="S3" s="170" t="s">
        <v>195</v>
      </c>
      <c r="T3" s="15" t="s">
        <v>78</v>
      </c>
      <c r="U3" s="170" t="s">
        <v>196</v>
      </c>
      <c r="V3" s="15" t="s">
        <v>79</v>
      </c>
      <c r="W3" s="170" t="s">
        <v>197</v>
      </c>
      <c r="X3" s="15" t="s">
        <v>80</v>
      </c>
      <c r="Y3" s="170" t="s">
        <v>198</v>
      </c>
      <c r="Z3" s="44" t="s">
        <v>81</v>
      </c>
      <c r="AA3" s="44" t="s">
        <v>82</v>
      </c>
    </row>
    <row r="4" spans="1:27" x14ac:dyDescent="0.35">
      <c r="A4" s="13" t="s">
        <v>17</v>
      </c>
      <c r="B4" s="17"/>
      <c r="C4" s="18"/>
      <c r="D4" s="27">
        <v>3</v>
      </c>
      <c r="E4" s="22"/>
      <c r="F4" s="27">
        <v>11</v>
      </c>
      <c r="G4" s="22">
        <v>1</v>
      </c>
      <c r="H4" s="27">
        <v>50</v>
      </c>
      <c r="I4" s="22">
        <v>1</v>
      </c>
      <c r="J4" s="27"/>
      <c r="K4" s="27"/>
      <c r="L4" s="21"/>
      <c r="M4" s="22">
        <v>1</v>
      </c>
      <c r="N4" s="27"/>
      <c r="O4" s="22">
        <v>2</v>
      </c>
      <c r="P4" s="27"/>
      <c r="Q4" s="22">
        <v>2</v>
      </c>
      <c r="R4" s="27">
        <v>125</v>
      </c>
      <c r="S4" s="22">
        <v>3</v>
      </c>
      <c r="T4" s="27">
        <v>8</v>
      </c>
      <c r="U4" s="22">
        <v>55</v>
      </c>
      <c r="V4" s="27">
        <v>5</v>
      </c>
      <c r="W4" s="22">
        <v>7</v>
      </c>
      <c r="X4" s="27">
        <v>2</v>
      </c>
      <c r="Y4" s="22">
        <v>4</v>
      </c>
      <c r="Z4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204</v>
      </c>
      <c r="AA4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76</v>
      </c>
    </row>
    <row r="5" spans="1:27" x14ac:dyDescent="0.35">
      <c r="A5" s="13" t="s">
        <v>18</v>
      </c>
      <c r="B5" s="19">
        <v>1</v>
      </c>
      <c r="C5" s="20"/>
      <c r="D5" s="14"/>
      <c r="E5" s="24"/>
      <c r="F5" s="14"/>
      <c r="G5" s="24"/>
      <c r="H5" s="14">
        <v>2</v>
      </c>
      <c r="I5" s="24"/>
      <c r="J5" s="14">
        <v>145</v>
      </c>
      <c r="K5" s="14"/>
      <c r="L5" s="23">
        <v>3</v>
      </c>
      <c r="M5" s="24"/>
      <c r="N5" s="14"/>
      <c r="O5" s="24"/>
      <c r="P5" s="14">
        <v>1</v>
      </c>
      <c r="Q5" s="24"/>
      <c r="R5" s="14">
        <v>4</v>
      </c>
      <c r="S5" s="24"/>
      <c r="T5" s="14">
        <v>2</v>
      </c>
      <c r="U5" s="24"/>
      <c r="V5" s="14"/>
      <c r="W5" s="24"/>
      <c r="X5" s="14"/>
      <c r="Y5" s="24"/>
      <c r="Z5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158</v>
      </c>
      <c r="AA5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6" spans="1:27" x14ac:dyDescent="0.35">
      <c r="A6" s="13" t="s">
        <v>83</v>
      </c>
      <c r="B6" s="19">
        <v>504</v>
      </c>
      <c r="C6" s="20">
        <v>42</v>
      </c>
      <c r="D6" s="14">
        <v>382</v>
      </c>
      <c r="E6" s="24">
        <v>79</v>
      </c>
      <c r="F6" s="14">
        <v>473</v>
      </c>
      <c r="G6" s="24">
        <v>18</v>
      </c>
      <c r="H6" s="14">
        <v>568</v>
      </c>
      <c r="I6" s="24"/>
      <c r="J6" s="14">
        <v>244</v>
      </c>
      <c r="K6" s="14">
        <v>8</v>
      </c>
      <c r="L6" s="23">
        <v>450</v>
      </c>
      <c r="M6" s="24">
        <v>20</v>
      </c>
      <c r="N6" s="14">
        <v>296</v>
      </c>
      <c r="O6" s="24">
        <v>12</v>
      </c>
      <c r="P6" s="14">
        <v>294</v>
      </c>
      <c r="Q6" s="24">
        <v>25</v>
      </c>
      <c r="R6" s="14">
        <v>264</v>
      </c>
      <c r="S6" s="24">
        <v>65</v>
      </c>
      <c r="T6" s="14">
        <v>153</v>
      </c>
      <c r="U6" s="24">
        <v>57</v>
      </c>
      <c r="V6" s="14">
        <v>144</v>
      </c>
      <c r="W6" s="24">
        <v>77</v>
      </c>
      <c r="X6" s="14">
        <v>405</v>
      </c>
      <c r="Y6" s="24">
        <v>9</v>
      </c>
      <c r="Z6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4177</v>
      </c>
      <c r="AA6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412</v>
      </c>
    </row>
    <row r="7" spans="1:27" x14ac:dyDescent="0.35">
      <c r="A7" s="13" t="s">
        <v>21</v>
      </c>
      <c r="B7" s="19">
        <v>53</v>
      </c>
      <c r="C7" s="20"/>
      <c r="D7" s="14">
        <v>38</v>
      </c>
      <c r="E7" s="24"/>
      <c r="F7" s="14">
        <v>75</v>
      </c>
      <c r="G7" s="24"/>
      <c r="H7" s="14">
        <v>2</v>
      </c>
      <c r="I7" s="24"/>
      <c r="J7" s="14">
        <v>19</v>
      </c>
      <c r="K7" s="14"/>
      <c r="L7" s="23">
        <v>4</v>
      </c>
      <c r="M7" s="24"/>
      <c r="N7" s="14">
        <v>23</v>
      </c>
      <c r="O7" s="24"/>
      <c r="P7" s="14">
        <v>16</v>
      </c>
      <c r="Q7" s="24">
        <v>1</v>
      </c>
      <c r="R7" s="14">
        <v>11</v>
      </c>
      <c r="S7" s="24">
        <v>1</v>
      </c>
      <c r="T7" s="14">
        <v>26</v>
      </c>
      <c r="U7" s="24"/>
      <c r="V7" s="14">
        <v>3</v>
      </c>
      <c r="W7" s="24">
        <v>1</v>
      </c>
      <c r="X7" s="14">
        <v>6</v>
      </c>
      <c r="Y7" s="24"/>
      <c r="Z7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276</v>
      </c>
      <c r="AA7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3</v>
      </c>
    </row>
    <row r="8" spans="1:27" x14ac:dyDescent="0.35">
      <c r="A8" s="13" t="s">
        <v>22</v>
      </c>
      <c r="B8" s="19"/>
      <c r="C8" s="20"/>
      <c r="D8" s="14">
        <v>6</v>
      </c>
      <c r="E8" s="24"/>
      <c r="F8" s="14">
        <v>1</v>
      </c>
      <c r="G8" s="24"/>
      <c r="H8" s="14">
        <v>3</v>
      </c>
      <c r="I8" s="24"/>
      <c r="J8" s="14">
        <v>3</v>
      </c>
      <c r="K8" s="14"/>
      <c r="L8" s="23">
        <v>3</v>
      </c>
      <c r="M8" s="24"/>
      <c r="N8" s="14">
        <v>4</v>
      </c>
      <c r="O8" s="24"/>
      <c r="P8" s="14"/>
      <c r="Q8" s="24"/>
      <c r="R8" s="14">
        <v>125</v>
      </c>
      <c r="S8" s="24"/>
      <c r="T8" s="14"/>
      <c r="U8" s="24"/>
      <c r="V8" s="14"/>
      <c r="W8" s="24"/>
      <c r="X8" s="14"/>
      <c r="Y8" s="24"/>
      <c r="Z8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145</v>
      </c>
      <c r="AA8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9" spans="1:27" x14ac:dyDescent="0.35">
      <c r="A9" s="13" t="s">
        <v>23</v>
      </c>
      <c r="B9" s="19">
        <v>15</v>
      </c>
      <c r="C9" s="20"/>
      <c r="D9" s="14">
        <v>11</v>
      </c>
      <c r="E9" s="24">
        <v>2</v>
      </c>
      <c r="F9" s="14">
        <v>14</v>
      </c>
      <c r="G9" s="24">
        <v>53</v>
      </c>
      <c r="H9" s="14">
        <v>5</v>
      </c>
      <c r="I9" s="24">
        <v>33</v>
      </c>
      <c r="J9" s="14">
        <v>8</v>
      </c>
      <c r="K9" s="14"/>
      <c r="L9" s="23">
        <v>7</v>
      </c>
      <c r="M9" s="24"/>
      <c r="N9" s="14">
        <v>204</v>
      </c>
      <c r="O9" s="24"/>
      <c r="P9" s="14">
        <v>3</v>
      </c>
      <c r="Q9" s="24"/>
      <c r="R9" s="14">
        <v>87</v>
      </c>
      <c r="S9" s="24">
        <v>7</v>
      </c>
      <c r="T9" s="14">
        <v>5</v>
      </c>
      <c r="U9" s="24">
        <v>2</v>
      </c>
      <c r="V9" s="14">
        <v>1</v>
      </c>
      <c r="W9" s="24">
        <v>1</v>
      </c>
      <c r="X9" s="14">
        <v>9</v>
      </c>
      <c r="Y9" s="24"/>
      <c r="Z9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369</v>
      </c>
      <c r="AA9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98</v>
      </c>
    </row>
    <row r="10" spans="1:27" x14ac:dyDescent="0.35">
      <c r="A10" s="13" t="s">
        <v>24</v>
      </c>
      <c r="B10" s="19">
        <v>8</v>
      </c>
      <c r="C10" s="20"/>
      <c r="D10" s="14">
        <v>8</v>
      </c>
      <c r="E10" s="24"/>
      <c r="F10" s="14">
        <v>4</v>
      </c>
      <c r="G10" s="24"/>
      <c r="H10" s="14">
        <v>5</v>
      </c>
      <c r="I10" s="24"/>
      <c r="J10" s="14">
        <v>8</v>
      </c>
      <c r="K10" s="14"/>
      <c r="L10" s="23">
        <v>6</v>
      </c>
      <c r="M10" s="24"/>
      <c r="N10" s="14">
        <v>7</v>
      </c>
      <c r="O10" s="24"/>
      <c r="P10" s="14">
        <v>5</v>
      </c>
      <c r="Q10" s="24">
        <v>9</v>
      </c>
      <c r="R10" s="14">
        <v>6</v>
      </c>
      <c r="S10" s="24">
        <v>1</v>
      </c>
      <c r="T10" s="14">
        <v>5</v>
      </c>
      <c r="U10" s="24">
        <v>7</v>
      </c>
      <c r="V10" s="14">
        <v>11</v>
      </c>
      <c r="W10" s="24">
        <v>4</v>
      </c>
      <c r="X10" s="14">
        <v>10</v>
      </c>
      <c r="Y10" s="24">
        <v>2</v>
      </c>
      <c r="Z10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83</v>
      </c>
      <c r="AA10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23</v>
      </c>
    </row>
    <row r="11" spans="1:27" x14ac:dyDescent="0.35">
      <c r="A11" s="13" t="s">
        <v>25</v>
      </c>
      <c r="B11" s="19">
        <v>15</v>
      </c>
      <c r="C11" s="20"/>
      <c r="D11" s="14">
        <v>40</v>
      </c>
      <c r="E11" s="24"/>
      <c r="F11" s="14">
        <v>37</v>
      </c>
      <c r="G11" s="24"/>
      <c r="H11" s="14">
        <v>27</v>
      </c>
      <c r="I11" s="24"/>
      <c r="J11" s="14">
        <v>60</v>
      </c>
      <c r="K11" s="14"/>
      <c r="L11" s="23">
        <v>30</v>
      </c>
      <c r="M11" s="24"/>
      <c r="N11" s="14">
        <v>29</v>
      </c>
      <c r="O11" s="24"/>
      <c r="P11" s="14">
        <v>47</v>
      </c>
      <c r="Q11" s="24"/>
      <c r="R11" s="14">
        <v>43</v>
      </c>
      <c r="S11" s="24"/>
      <c r="T11" s="14">
        <v>54</v>
      </c>
      <c r="U11" s="24"/>
      <c r="V11" s="14">
        <v>40</v>
      </c>
      <c r="W11" s="24"/>
      <c r="X11" s="14">
        <v>33</v>
      </c>
      <c r="Y11" s="24"/>
      <c r="Z11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455</v>
      </c>
      <c r="AA11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12" spans="1:27" x14ac:dyDescent="0.35">
      <c r="A12" s="13" t="s">
        <v>26</v>
      </c>
      <c r="B12" s="19"/>
      <c r="C12" s="20"/>
      <c r="D12" s="14">
        <v>6</v>
      </c>
      <c r="E12" s="24"/>
      <c r="F12" s="14">
        <v>172</v>
      </c>
      <c r="G12" s="24"/>
      <c r="H12" s="14">
        <v>6</v>
      </c>
      <c r="I12" s="24"/>
      <c r="J12" s="14">
        <v>1</v>
      </c>
      <c r="K12" s="14"/>
      <c r="L12" s="23">
        <v>50</v>
      </c>
      <c r="M12" s="24"/>
      <c r="N12" s="14">
        <v>1</v>
      </c>
      <c r="O12" s="24"/>
      <c r="P12" s="14"/>
      <c r="Q12" s="24"/>
      <c r="R12" s="14"/>
      <c r="S12" s="24"/>
      <c r="T12" s="14">
        <v>2</v>
      </c>
      <c r="U12" s="24"/>
      <c r="V12" s="14">
        <v>1</v>
      </c>
      <c r="W12" s="24"/>
      <c r="X12" s="14"/>
      <c r="Y12" s="24"/>
      <c r="Z12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239</v>
      </c>
      <c r="AA12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13" spans="1:27" x14ac:dyDescent="0.35">
      <c r="A13" s="13" t="s">
        <v>60</v>
      </c>
      <c r="B13" s="19">
        <v>216</v>
      </c>
      <c r="C13" s="20"/>
      <c r="D13" s="14">
        <v>36</v>
      </c>
      <c r="E13" s="24">
        <v>69</v>
      </c>
      <c r="F13" s="14">
        <v>27</v>
      </c>
      <c r="G13" s="24">
        <v>22</v>
      </c>
      <c r="H13" s="14">
        <v>66</v>
      </c>
      <c r="I13" s="24">
        <v>27</v>
      </c>
      <c r="J13" s="14">
        <v>233</v>
      </c>
      <c r="K13" s="14">
        <v>1</v>
      </c>
      <c r="L13" s="23">
        <v>30</v>
      </c>
      <c r="M13" s="24">
        <v>4</v>
      </c>
      <c r="N13" s="14">
        <v>68</v>
      </c>
      <c r="O13" s="24">
        <v>2</v>
      </c>
      <c r="P13" s="14">
        <v>29</v>
      </c>
      <c r="Q13" s="24">
        <v>15</v>
      </c>
      <c r="R13" s="14">
        <v>43</v>
      </c>
      <c r="S13" s="24">
        <v>29</v>
      </c>
      <c r="T13" s="14">
        <v>29</v>
      </c>
      <c r="U13" s="24">
        <v>52</v>
      </c>
      <c r="V13" s="14">
        <v>66</v>
      </c>
      <c r="W13" s="24">
        <v>9</v>
      </c>
      <c r="X13" s="14">
        <v>38</v>
      </c>
      <c r="Y13" s="24">
        <v>4</v>
      </c>
      <c r="Z13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881</v>
      </c>
      <c r="AA13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234</v>
      </c>
    </row>
    <row r="14" spans="1:27" x14ac:dyDescent="0.35">
      <c r="A14" s="13" t="s">
        <v>28</v>
      </c>
      <c r="B14" s="19">
        <v>95</v>
      </c>
      <c r="C14" s="20"/>
      <c r="D14" s="14">
        <v>147</v>
      </c>
      <c r="E14" s="24"/>
      <c r="F14" s="14">
        <v>159</v>
      </c>
      <c r="G14" s="24"/>
      <c r="H14" s="14">
        <v>72</v>
      </c>
      <c r="I14" s="24"/>
      <c r="J14" s="14">
        <v>70</v>
      </c>
      <c r="K14" s="14"/>
      <c r="L14" s="23">
        <v>34</v>
      </c>
      <c r="M14" s="24"/>
      <c r="N14" s="14">
        <v>65</v>
      </c>
      <c r="O14" s="24"/>
      <c r="P14" s="14">
        <v>97</v>
      </c>
      <c r="Q14" s="24"/>
      <c r="R14" s="14">
        <v>55</v>
      </c>
      <c r="S14" s="24">
        <v>9</v>
      </c>
      <c r="T14" s="14">
        <v>27</v>
      </c>
      <c r="U14" s="24"/>
      <c r="V14" s="14">
        <v>23</v>
      </c>
      <c r="W14" s="24"/>
      <c r="X14" s="14">
        <v>5</v>
      </c>
      <c r="Y14" s="24"/>
      <c r="Z14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849</v>
      </c>
      <c r="AA14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9</v>
      </c>
    </row>
    <row r="15" spans="1:27" x14ac:dyDescent="0.35">
      <c r="A15" s="13" t="s">
        <v>61</v>
      </c>
      <c r="B15" s="19">
        <v>29</v>
      </c>
      <c r="C15" s="20">
        <v>1</v>
      </c>
      <c r="D15" s="14">
        <v>20</v>
      </c>
      <c r="E15" s="24">
        <v>7</v>
      </c>
      <c r="F15" s="14">
        <v>12</v>
      </c>
      <c r="G15" s="24">
        <v>7</v>
      </c>
      <c r="H15" s="14">
        <v>8</v>
      </c>
      <c r="I15" s="24">
        <v>8</v>
      </c>
      <c r="J15" s="14">
        <v>2</v>
      </c>
      <c r="K15" s="14">
        <v>6</v>
      </c>
      <c r="L15" s="23">
        <v>11</v>
      </c>
      <c r="M15" s="24">
        <v>10</v>
      </c>
      <c r="N15" s="14">
        <v>16</v>
      </c>
      <c r="O15" s="24">
        <v>7</v>
      </c>
      <c r="P15" s="14">
        <v>4</v>
      </c>
      <c r="Q15" s="24">
        <v>8</v>
      </c>
      <c r="R15" s="14">
        <v>28</v>
      </c>
      <c r="S15" s="24">
        <v>20</v>
      </c>
      <c r="T15" s="14">
        <v>3</v>
      </c>
      <c r="U15" s="24">
        <v>17</v>
      </c>
      <c r="V15" s="14">
        <v>113</v>
      </c>
      <c r="W15" s="24">
        <v>18</v>
      </c>
      <c r="X15" s="14">
        <v>13</v>
      </c>
      <c r="Y15" s="24">
        <v>91</v>
      </c>
      <c r="Z15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259</v>
      </c>
      <c r="AA15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200</v>
      </c>
    </row>
    <row r="16" spans="1:27" x14ac:dyDescent="0.35">
      <c r="A16" s="13" t="s">
        <v>30</v>
      </c>
      <c r="B16" s="19">
        <v>21</v>
      </c>
      <c r="C16" s="20">
        <v>42</v>
      </c>
      <c r="D16" s="14"/>
      <c r="E16" s="24">
        <v>96</v>
      </c>
      <c r="F16" s="14"/>
      <c r="G16" s="24">
        <v>52</v>
      </c>
      <c r="H16" s="14">
        <v>50</v>
      </c>
      <c r="I16" s="24">
        <v>156</v>
      </c>
      <c r="J16" s="14">
        <v>133</v>
      </c>
      <c r="K16" s="14">
        <v>126</v>
      </c>
      <c r="L16" s="23">
        <v>40</v>
      </c>
      <c r="M16" s="24">
        <v>18</v>
      </c>
      <c r="N16" s="14">
        <v>159</v>
      </c>
      <c r="O16" s="24">
        <v>181</v>
      </c>
      <c r="P16" s="14">
        <v>65</v>
      </c>
      <c r="Q16" s="24">
        <v>104</v>
      </c>
      <c r="R16" s="14">
        <v>30</v>
      </c>
      <c r="S16" s="24">
        <v>187</v>
      </c>
      <c r="T16" s="14">
        <v>36</v>
      </c>
      <c r="U16" s="24">
        <v>130</v>
      </c>
      <c r="V16" s="14">
        <v>9</v>
      </c>
      <c r="W16" s="24">
        <v>103</v>
      </c>
      <c r="X16" s="14">
        <v>18</v>
      </c>
      <c r="Y16" s="24">
        <v>119</v>
      </c>
      <c r="Z16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561</v>
      </c>
      <c r="AA16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1314</v>
      </c>
    </row>
    <row r="17" spans="1:30" x14ac:dyDescent="0.35">
      <c r="A17" s="13" t="s">
        <v>62</v>
      </c>
      <c r="B17" s="19"/>
      <c r="C17" s="20">
        <v>4</v>
      </c>
      <c r="D17" s="14"/>
      <c r="E17" s="24"/>
      <c r="F17" s="14"/>
      <c r="G17" s="24">
        <v>3</v>
      </c>
      <c r="H17" s="14"/>
      <c r="I17" s="24"/>
      <c r="J17" s="14"/>
      <c r="K17" s="14"/>
      <c r="L17" s="23"/>
      <c r="M17" s="24"/>
      <c r="N17" s="14"/>
      <c r="O17" s="24"/>
      <c r="P17" s="14"/>
      <c r="Q17" s="24"/>
      <c r="R17" s="14"/>
      <c r="S17" s="24"/>
      <c r="T17" s="14"/>
      <c r="U17" s="24"/>
      <c r="V17" s="14"/>
      <c r="W17" s="24"/>
      <c r="X17" s="14"/>
      <c r="Y17" s="24"/>
      <c r="Z17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0</v>
      </c>
      <c r="AA17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7</v>
      </c>
    </row>
    <row r="18" spans="1:30" x14ac:dyDescent="0.35">
      <c r="A18" s="13" t="s">
        <v>32</v>
      </c>
      <c r="B18" s="19">
        <v>2</v>
      </c>
      <c r="C18" s="20"/>
      <c r="D18" s="14">
        <v>24</v>
      </c>
      <c r="E18" s="24"/>
      <c r="F18" s="14">
        <v>8</v>
      </c>
      <c r="G18" s="24"/>
      <c r="H18" s="14">
        <v>120</v>
      </c>
      <c r="I18" s="24"/>
      <c r="J18" s="14">
        <v>9</v>
      </c>
      <c r="K18" s="14"/>
      <c r="L18" s="23">
        <v>20</v>
      </c>
      <c r="M18" s="24"/>
      <c r="N18" s="14">
        <v>7</v>
      </c>
      <c r="O18" s="24"/>
      <c r="P18" s="14">
        <v>48</v>
      </c>
      <c r="Q18" s="24"/>
      <c r="R18" s="14">
        <v>64</v>
      </c>
      <c r="S18" s="24"/>
      <c r="T18" s="14">
        <v>46</v>
      </c>
      <c r="U18" s="24"/>
      <c r="V18" s="14">
        <v>9</v>
      </c>
      <c r="W18" s="24"/>
      <c r="X18" s="14">
        <v>18</v>
      </c>
      <c r="Y18" s="24"/>
      <c r="Z18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375</v>
      </c>
      <c r="AA18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19" spans="1:30" x14ac:dyDescent="0.35">
      <c r="A19" s="13" t="s">
        <v>33</v>
      </c>
      <c r="B19" s="19"/>
      <c r="C19" s="20"/>
      <c r="D19" s="14">
        <v>26</v>
      </c>
      <c r="E19" s="24"/>
      <c r="F19" s="14">
        <v>13</v>
      </c>
      <c r="G19" s="24"/>
      <c r="H19" s="14"/>
      <c r="I19" s="24"/>
      <c r="J19" s="14"/>
      <c r="K19" s="14"/>
      <c r="L19" s="23"/>
      <c r="M19" s="24"/>
      <c r="N19" s="14"/>
      <c r="O19" s="24"/>
      <c r="P19" s="14">
        <v>5</v>
      </c>
      <c r="Q19" s="24"/>
      <c r="R19" s="14">
        <v>255</v>
      </c>
      <c r="S19" s="24"/>
      <c r="T19" s="14"/>
      <c r="U19" s="24">
        <v>6</v>
      </c>
      <c r="V19" s="14"/>
      <c r="W19" s="24"/>
      <c r="X19" s="14"/>
      <c r="Y19" s="24"/>
      <c r="Z19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299</v>
      </c>
      <c r="AA19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6</v>
      </c>
    </row>
    <row r="20" spans="1:30" x14ac:dyDescent="0.35">
      <c r="A20" s="13" t="s">
        <v>34</v>
      </c>
      <c r="B20" s="19">
        <v>3</v>
      </c>
      <c r="C20" s="20"/>
      <c r="D20" s="14">
        <v>259</v>
      </c>
      <c r="E20" s="24"/>
      <c r="F20" s="14">
        <v>1</v>
      </c>
      <c r="G20" s="24"/>
      <c r="H20" s="14">
        <v>1</v>
      </c>
      <c r="I20" s="24"/>
      <c r="J20" s="14">
        <v>1</v>
      </c>
      <c r="K20" s="14"/>
      <c r="L20" s="23">
        <v>2</v>
      </c>
      <c r="M20" s="24"/>
      <c r="N20" s="14">
        <v>1</v>
      </c>
      <c r="O20" s="24"/>
      <c r="P20" s="14"/>
      <c r="Q20" s="24"/>
      <c r="R20" s="14"/>
      <c r="S20" s="24"/>
      <c r="T20" s="14">
        <v>30</v>
      </c>
      <c r="U20" s="24"/>
      <c r="V20" s="14">
        <v>1</v>
      </c>
      <c r="W20" s="24"/>
      <c r="X20" s="14">
        <v>231</v>
      </c>
      <c r="Y20" s="24"/>
      <c r="Z20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530</v>
      </c>
      <c r="AA20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</row>
    <row r="21" spans="1:30" ht="15" thickBot="1" x14ac:dyDescent="0.4">
      <c r="A21" s="13" t="s">
        <v>35</v>
      </c>
      <c r="B21" s="19"/>
      <c r="C21" s="20">
        <v>3</v>
      </c>
      <c r="D21" s="14">
        <v>2</v>
      </c>
      <c r="E21" s="24">
        <v>6</v>
      </c>
      <c r="F21" s="14"/>
      <c r="G21" s="24"/>
      <c r="H21" s="14"/>
      <c r="I21" s="24"/>
      <c r="J21" s="14"/>
      <c r="K21" s="14"/>
      <c r="L21" s="23">
        <v>4</v>
      </c>
      <c r="M21" s="24">
        <v>2</v>
      </c>
      <c r="N21" s="14">
        <v>4</v>
      </c>
      <c r="O21" s="24"/>
      <c r="P21" s="14"/>
      <c r="Q21" s="24"/>
      <c r="R21" s="14"/>
      <c r="S21" s="24"/>
      <c r="T21" s="14"/>
      <c r="U21" s="24"/>
      <c r="V21" s="14">
        <v>70</v>
      </c>
      <c r="W21" s="24"/>
      <c r="X21" s="14"/>
      <c r="Y21" s="24"/>
      <c r="Z21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80</v>
      </c>
      <c r="AA21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11</v>
      </c>
    </row>
    <row r="22" spans="1:30" ht="15.5" thickTop="1" thickBot="1" x14ac:dyDescent="0.4">
      <c r="A22" s="13" t="s">
        <v>63</v>
      </c>
      <c r="B22" s="19"/>
      <c r="C22" s="20"/>
      <c r="D22" s="14"/>
      <c r="E22" s="24"/>
      <c r="F22" s="14"/>
      <c r="G22" s="24"/>
      <c r="H22" s="14">
        <v>33</v>
      </c>
      <c r="I22" s="24"/>
      <c r="J22" s="14"/>
      <c r="K22" s="14"/>
      <c r="L22" s="23">
        <v>50</v>
      </c>
      <c r="M22" s="24"/>
      <c r="N22" s="14"/>
      <c r="O22" s="24"/>
      <c r="P22" s="14">
        <v>171</v>
      </c>
      <c r="Q22" s="24"/>
      <c r="R22" s="14">
        <v>30</v>
      </c>
      <c r="S22" s="24"/>
      <c r="T22" s="14">
        <v>250</v>
      </c>
      <c r="U22" s="24"/>
      <c r="V22" s="14">
        <v>50</v>
      </c>
      <c r="W22" s="24"/>
      <c r="X22" s="14"/>
      <c r="Y22" s="24"/>
      <c r="Z22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584</v>
      </c>
      <c r="AA22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  <c r="AD22" s="175"/>
    </row>
    <row r="23" spans="1:30" ht="15.5" thickTop="1" thickBot="1" x14ac:dyDescent="0.4">
      <c r="A23" s="13" t="s">
        <v>37</v>
      </c>
      <c r="B23" s="19"/>
      <c r="C23" s="20"/>
      <c r="D23" s="14"/>
      <c r="E23" s="24"/>
      <c r="F23" s="14"/>
      <c r="G23" s="24"/>
      <c r="H23" s="14"/>
      <c r="I23" s="24"/>
      <c r="J23" s="14">
        <v>3</v>
      </c>
      <c r="K23" s="14"/>
      <c r="L23" s="23">
        <v>9</v>
      </c>
      <c r="M23" s="24"/>
      <c r="N23" s="14"/>
      <c r="O23" s="24"/>
      <c r="P23" s="14"/>
      <c r="Q23" s="24"/>
      <c r="R23" s="14">
        <v>70</v>
      </c>
      <c r="S23" s="24"/>
      <c r="T23" s="14"/>
      <c r="U23" s="24"/>
      <c r="V23" s="14">
        <v>30</v>
      </c>
      <c r="W23" s="24"/>
      <c r="X23" s="14"/>
      <c r="Y23" s="24"/>
      <c r="Z23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112</v>
      </c>
      <c r="AA23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  <c r="AD23" s="175"/>
    </row>
    <row r="24" spans="1:30" ht="15.5" thickTop="1" thickBot="1" x14ac:dyDescent="0.4">
      <c r="A24" s="13" t="s">
        <v>38</v>
      </c>
      <c r="B24" s="19">
        <v>11</v>
      </c>
      <c r="C24" s="20"/>
      <c r="D24" s="14">
        <v>14</v>
      </c>
      <c r="E24" s="24"/>
      <c r="F24" s="14">
        <v>10</v>
      </c>
      <c r="G24" s="24"/>
      <c r="H24" s="14">
        <v>5</v>
      </c>
      <c r="I24" s="24"/>
      <c r="J24" s="14">
        <v>6</v>
      </c>
      <c r="K24" s="14"/>
      <c r="L24" s="23">
        <v>3</v>
      </c>
      <c r="M24" s="24"/>
      <c r="N24" s="14"/>
      <c r="O24" s="24"/>
      <c r="P24" s="14">
        <v>3</v>
      </c>
      <c r="Q24" s="24"/>
      <c r="R24" s="14">
        <v>1</v>
      </c>
      <c r="S24" s="24"/>
      <c r="T24" s="14">
        <v>278</v>
      </c>
      <c r="U24" s="24"/>
      <c r="V24" s="14"/>
      <c r="W24" s="24"/>
      <c r="X24" s="14"/>
      <c r="Y24" s="24"/>
      <c r="Z24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331</v>
      </c>
      <c r="AA24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  <c r="AD24" s="175"/>
    </row>
    <row r="25" spans="1:30" ht="15.5" thickTop="1" thickBot="1" x14ac:dyDescent="0.4">
      <c r="A25" s="13" t="s">
        <v>39</v>
      </c>
      <c r="B25" s="19">
        <v>1</v>
      </c>
      <c r="C25" s="20">
        <v>3</v>
      </c>
      <c r="D25" s="14">
        <v>11</v>
      </c>
      <c r="E25" s="24"/>
      <c r="F25" s="14">
        <v>11</v>
      </c>
      <c r="G25" s="24">
        <v>13</v>
      </c>
      <c r="H25" s="14">
        <v>3</v>
      </c>
      <c r="I25" s="24">
        <v>1</v>
      </c>
      <c r="J25" s="14">
        <v>23</v>
      </c>
      <c r="K25" s="14">
        <v>4</v>
      </c>
      <c r="L25" s="23"/>
      <c r="M25" s="24">
        <v>2</v>
      </c>
      <c r="N25" s="14">
        <v>32</v>
      </c>
      <c r="O25" s="24"/>
      <c r="P25" s="14">
        <v>6</v>
      </c>
      <c r="Q25" s="24">
        <v>7</v>
      </c>
      <c r="R25" s="14">
        <v>2</v>
      </c>
      <c r="S25" s="24"/>
      <c r="T25" s="14">
        <v>9</v>
      </c>
      <c r="U25" s="24">
        <v>1</v>
      </c>
      <c r="V25" s="14">
        <v>7</v>
      </c>
      <c r="W25" s="24">
        <v>3</v>
      </c>
      <c r="X25" s="14"/>
      <c r="Y25" s="24">
        <v>2</v>
      </c>
      <c r="Z25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105</v>
      </c>
      <c r="AA25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36</v>
      </c>
      <c r="AD25" s="175"/>
    </row>
    <row r="26" spans="1:30" ht="15.5" thickTop="1" thickBot="1" x14ac:dyDescent="0.4">
      <c r="A26" s="13" t="s">
        <v>40</v>
      </c>
      <c r="B26" s="19">
        <v>55</v>
      </c>
      <c r="C26" s="20">
        <v>8</v>
      </c>
      <c r="D26" s="14">
        <v>19</v>
      </c>
      <c r="E26" s="24"/>
      <c r="F26" s="14">
        <v>20</v>
      </c>
      <c r="G26" s="24">
        <v>3</v>
      </c>
      <c r="H26" s="14">
        <v>3</v>
      </c>
      <c r="I26" s="24">
        <v>7</v>
      </c>
      <c r="J26" s="14">
        <v>17</v>
      </c>
      <c r="K26" s="14"/>
      <c r="L26" s="23">
        <v>68</v>
      </c>
      <c r="M26" s="24">
        <v>52</v>
      </c>
      <c r="N26" s="14">
        <v>23</v>
      </c>
      <c r="O26" s="24"/>
      <c r="P26" s="14">
        <v>13</v>
      </c>
      <c r="Q26" s="24"/>
      <c r="R26" s="14">
        <v>21</v>
      </c>
      <c r="S26" s="24">
        <v>369</v>
      </c>
      <c r="T26" s="14">
        <v>13</v>
      </c>
      <c r="U26" s="24">
        <v>231</v>
      </c>
      <c r="V26" s="14">
        <v>6</v>
      </c>
      <c r="W26" s="24">
        <v>9</v>
      </c>
      <c r="X26" s="14">
        <v>4</v>
      </c>
      <c r="Y26" s="24"/>
      <c r="Z26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262</v>
      </c>
      <c r="AA26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679</v>
      </c>
      <c r="AD26" s="175">
        <v>985</v>
      </c>
    </row>
    <row r="27" spans="1:30" ht="15.5" thickTop="1" thickBot="1" x14ac:dyDescent="0.4">
      <c r="A27" s="13" t="s">
        <v>41</v>
      </c>
      <c r="B27" s="19">
        <v>103</v>
      </c>
      <c r="C27" s="20"/>
      <c r="D27" s="14"/>
      <c r="E27" s="24"/>
      <c r="F27" s="14"/>
      <c r="G27" s="24"/>
      <c r="H27" s="14"/>
      <c r="I27" s="24"/>
      <c r="J27" s="14"/>
      <c r="K27" s="14"/>
      <c r="L27" s="23"/>
      <c r="M27" s="24"/>
      <c r="N27" s="14"/>
      <c r="O27" s="24"/>
      <c r="P27" s="14"/>
      <c r="Q27" s="24"/>
      <c r="R27" s="14"/>
      <c r="S27" s="24"/>
      <c r="T27" s="14"/>
      <c r="U27" s="24"/>
      <c r="V27" s="14">
        <v>82</v>
      </c>
      <c r="W27" s="24"/>
      <c r="X27" s="14"/>
      <c r="Y27" s="24"/>
      <c r="Z27" s="45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185</v>
      </c>
      <c r="AA27" s="45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0</v>
      </c>
      <c r="AD27" s="175">
        <v>824</v>
      </c>
    </row>
    <row r="28" spans="1:30" ht="15.5" thickTop="1" thickBot="1" x14ac:dyDescent="0.4">
      <c r="A28" s="9" t="s">
        <v>42</v>
      </c>
      <c r="B28" s="25">
        <f>SUM(B4:B27)</f>
        <v>1132</v>
      </c>
      <c r="C28" s="176">
        <f>SUM(C4:C27)</f>
        <v>103</v>
      </c>
      <c r="D28" s="176">
        <f>SUM(D4:D27)</f>
        <v>1052</v>
      </c>
      <c r="E28" s="176">
        <f>SUM(E4:E27)</f>
        <v>259</v>
      </c>
      <c r="F28" s="176">
        <f>SUM(F4:F27)</f>
        <v>1048</v>
      </c>
      <c r="G28" s="176">
        <f>SUM(G4:G27)</f>
        <v>172</v>
      </c>
      <c r="H28" s="176">
        <f>SUM(H4:H27)</f>
        <v>1029</v>
      </c>
      <c r="I28" s="176">
        <f>SUM(I4:I27)</f>
        <v>233</v>
      </c>
      <c r="J28" s="176">
        <f>SUM(J4:J27)</f>
        <v>985</v>
      </c>
      <c r="K28" s="176">
        <f>SUM(K4:K27)</f>
        <v>145</v>
      </c>
      <c r="L28" s="25">
        <f>SUM(L4:L27)</f>
        <v>824</v>
      </c>
      <c r="M28" s="176">
        <f>SUM(M4:M27)</f>
        <v>109</v>
      </c>
      <c r="N28" s="176">
        <f>SUM(N4:N27)</f>
        <v>939</v>
      </c>
      <c r="O28" s="176">
        <f>SUM(O4:O27)</f>
        <v>204</v>
      </c>
      <c r="P28" s="176">
        <f>SUM(P4:P27)</f>
        <v>807</v>
      </c>
      <c r="Q28" s="176">
        <f>SUM(Q4:Q27)</f>
        <v>171</v>
      </c>
      <c r="R28" s="176">
        <f>SUM(R4:R27)</f>
        <v>1264</v>
      </c>
      <c r="S28" s="176">
        <f>SUM(S4:S27)</f>
        <v>691</v>
      </c>
      <c r="T28" s="176">
        <f>SUM(T4:T27)</f>
        <v>976</v>
      </c>
      <c r="U28" s="176">
        <f>SUM(U4:U27)</f>
        <v>558</v>
      </c>
      <c r="V28" s="176">
        <f>SUM(V4:V27)</f>
        <v>671</v>
      </c>
      <c r="W28" s="176">
        <f>SUM(W4:W27)</f>
        <v>232</v>
      </c>
      <c r="X28" s="176">
        <f>SUM(X4:X27)</f>
        <v>792</v>
      </c>
      <c r="Y28" s="176">
        <f>SUM(Y4:Y27)</f>
        <v>231</v>
      </c>
      <c r="Z28" s="43">
        <f>Tabla10[[#This Row],[Consultas1]]+Tabla10[[#This Row],[Consultas2]]+Tabla10[[#This Row],[Consultas3]]+Tabla10[[#This Row],[Consultas4]]+Tabla10[[#This Row],[Consultas5]]+Tabla10[[#This Row],[Consultas6]]+Tabla10[[#This Row],[Consultas7]]+Tabla10[[#This Row],[Consultas8]]+Tabla10[[#This Row],[Consultas9]]+Tabla10[[#This Row],[Consultas10]]+Tabla10[[#This Row],[Consultas11]]+Tabla10[[#This Row],[Consultas12]]</f>
        <v>11519</v>
      </c>
      <c r="AA28" s="43">
        <f>Tabla10[[#This Row],[Prestamos atendidos]]+Tabla10[[#This Row],[Prestamos atendidos2]]+Tabla10[[#This Row],[Prestamos atendidos3]]+Tabla10[[#This Row],[Prestamos atendidos4]]+Tabla10[[#This Row],[Prestamos atendidos5]]+Tabla10[[#This Row],[Prestamos atendidos6]]+Tabla10[[#This Row],[Prestamos atendidos7]]+Tabla10[[#This Row],[Prestamos atendidos8]]+Tabla10[[#This Row],[Prestamos atendidos9]]+Tabla10[[#This Row],[Prestamos atendidos10]]+Tabla10[[#This Row],[Prestamos atendidos11]]+Tabla10[[#This Row],[Prestamos atendidos12]]</f>
        <v>3108</v>
      </c>
      <c r="AD28" s="175">
        <v>939</v>
      </c>
    </row>
    <row r="29" spans="1:30" ht="15.5" thickTop="1" thickBot="1" x14ac:dyDescent="0.4">
      <c r="A29" s="182"/>
      <c r="B29" s="183"/>
      <c r="C29" s="184"/>
      <c r="D29" s="185"/>
      <c r="E29" s="185"/>
      <c r="F29" s="185"/>
      <c r="G29" s="185"/>
      <c r="H29" s="185"/>
      <c r="I29" s="185"/>
      <c r="J29" s="185"/>
      <c r="K29" s="185"/>
      <c r="L29" s="179"/>
      <c r="M29" s="180"/>
      <c r="N29" s="184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6"/>
      <c r="AA29" s="186"/>
      <c r="AD29" s="175">
        <v>807</v>
      </c>
    </row>
    <row r="30" spans="1:30" ht="15.5" thickTop="1" thickBot="1" x14ac:dyDescent="0.4">
      <c r="B30" s="164"/>
      <c r="C30" s="168"/>
      <c r="D30" s="10"/>
      <c r="F30" s="10"/>
      <c r="H30" s="10"/>
      <c r="J30" s="10"/>
      <c r="N30" s="175"/>
      <c r="P30" s="10"/>
      <c r="R30" s="10"/>
      <c r="T30" s="10"/>
      <c r="AD30" s="175">
        <v>1264</v>
      </c>
    </row>
    <row r="31" spans="1:30" ht="15.5" thickTop="1" thickBot="1" x14ac:dyDescent="0.4">
      <c r="B31" s="164"/>
      <c r="C31" s="164"/>
      <c r="L31" s="10"/>
      <c r="V31" s="10"/>
      <c r="X31" s="10"/>
      <c r="AD31" s="175">
        <v>976</v>
      </c>
    </row>
    <row r="32" spans="1:30" ht="15.5" thickTop="1" thickBot="1" x14ac:dyDescent="0.4">
      <c r="B32" s="164"/>
      <c r="C32" s="164"/>
      <c r="AD32" s="175">
        <v>671</v>
      </c>
    </row>
    <row r="33" spans="1:30" ht="15.5" thickTop="1" thickBot="1" x14ac:dyDescent="0.4">
      <c r="AD33" s="175">
        <v>792</v>
      </c>
    </row>
    <row r="34" spans="1:30" ht="15" thickTop="1" x14ac:dyDescent="0.35"/>
    <row r="35" spans="1:30" ht="21.65" customHeight="1" x14ac:dyDescent="0.35">
      <c r="A35" s="6" t="s">
        <v>84</v>
      </c>
      <c r="B35" s="6"/>
      <c r="C35" s="6"/>
      <c r="D35" s="6"/>
      <c r="E35" s="6"/>
    </row>
    <row r="36" spans="1:30" x14ac:dyDescent="0.35">
      <c r="A36" s="16"/>
      <c r="B36" s="151" t="s">
        <v>3</v>
      </c>
      <c r="C36" s="151"/>
      <c r="D36" s="149" t="s">
        <v>4</v>
      </c>
      <c r="E36" s="149"/>
      <c r="F36" s="149" t="s">
        <v>5</v>
      </c>
      <c r="G36" s="149"/>
      <c r="H36" s="149" t="s">
        <v>6</v>
      </c>
      <c r="I36" s="149"/>
      <c r="J36" s="149" t="s">
        <v>7</v>
      </c>
      <c r="K36" s="149"/>
      <c r="L36" s="149" t="s">
        <v>8</v>
      </c>
      <c r="M36" s="149"/>
      <c r="N36" s="149" t="s">
        <v>9</v>
      </c>
      <c r="O36" s="149"/>
      <c r="P36" s="149" t="s">
        <v>10</v>
      </c>
      <c r="Q36" s="149"/>
      <c r="R36" s="149" t="s">
        <v>11</v>
      </c>
      <c r="S36" s="149"/>
      <c r="T36" s="149" t="s">
        <v>12</v>
      </c>
      <c r="U36" s="149"/>
      <c r="V36" s="149" t="s">
        <v>13</v>
      </c>
      <c r="W36" s="149"/>
      <c r="X36" s="150" t="s">
        <v>14</v>
      </c>
      <c r="Y36" s="150"/>
    </row>
    <row r="37" spans="1:30" ht="29.5" thickBot="1" x14ac:dyDescent="0.4">
      <c r="A37" s="14" t="s">
        <v>2</v>
      </c>
      <c r="B37" s="15" t="s">
        <v>69</v>
      </c>
      <c r="C37" s="169" t="s">
        <v>187</v>
      </c>
      <c r="D37" s="15" t="s">
        <v>70</v>
      </c>
      <c r="E37" s="170" t="s">
        <v>188</v>
      </c>
      <c r="F37" s="15" t="s">
        <v>71</v>
      </c>
      <c r="G37" s="170" t="s">
        <v>189</v>
      </c>
      <c r="H37" s="15" t="s">
        <v>72</v>
      </c>
      <c r="I37" s="170" t="s">
        <v>190</v>
      </c>
      <c r="J37" s="15" t="s">
        <v>73</v>
      </c>
      <c r="K37" s="170" t="s">
        <v>191</v>
      </c>
      <c r="L37" s="15" t="s">
        <v>74</v>
      </c>
      <c r="M37" s="170" t="s">
        <v>192</v>
      </c>
      <c r="N37" s="15" t="s">
        <v>75</v>
      </c>
      <c r="O37" s="170" t="s">
        <v>193</v>
      </c>
      <c r="P37" s="15" t="s">
        <v>76</v>
      </c>
      <c r="Q37" s="170" t="s">
        <v>194</v>
      </c>
      <c r="R37" s="15" t="s">
        <v>77</v>
      </c>
      <c r="S37" s="170" t="s">
        <v>195</v>
      </c>
      <c r="T37" s="15" t="s">
        <v>78</v>
      </c>
      <c r="U37" s="170" t="s">
        <v>196</v>
      </c>
      <c r="V37" s="15" t="s">
        <v>79</v>
      </c>
      <c r="W37" s="170" t="s">
        <v>197</v>
      </c>
      <c r="X37" s="15" t="s">
        <v>80</v>
      </c>
      <c r="Y37" s="170" t="s">
        <v>198</v>
      </c>
      <c r="Z37" s="44" t="s">
        <v>81</v>
      </c>
      <c r="AA37" s="44" t="s">
        <v>82</v>
      </c>
    </row>
    <row r="38" spans="1:30" x14ac:dyDescent="0.35">
      <c r="A38" s="13" t="s">
        <v>17</v>
      </c>
      <c r="B38" s="17">
        <v>9</v>
      </c>
      <c r="C38" s="18">
        <v>9</v>
      </c>
      <c r="D38" s="27">
        <v>15</v>
      </c>
      <c r="E38" s="22">
        <v>15</v>
      </c>
      <c r="F38" s="27">
        <v>7</v>
      </c>
      <c r="G38" s="22">
        <v>7</v>
      </c>
      <c r="H38" s="27">
        <v>7</v>
      </c>
      <c r="I38" s="22">
        <v>7</v>
      </c>
      <c r="J38" s="27">
        <v>6</v>
      </c>
      <c r="K38" s="27">
        <v>6</v>
      </c>
      <c r="L38" s="21">
        <v>3</v>
      </c>
      <c r="M38" s="22">
        <v>3</v>
      </c>
      <c r="N38" s="27">
        <v>2</v>
      </c>
      <c r="O38" s="22">
        <v>2</v>
      </c>
      <c r="P38" s="27"/>
      <c r="Q38" s="22"/>
      <c r="R38" s="27"/>
      <c r="S38" s="22"/>
      <c r="T38" s="27"/>
      <c r="U38" s="22"/>
      <c r="V38" s="27"/>
      <c r="W38" s="22"/>
      <c r="X38" s="27"/>
      <c r="Y38" s="22"/>
      <c r="Z38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49</v>
      </c>
      <c r="AA38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49</v>
      </c>
    </row>
    <row r="39" spans="1:30" x14ac:dyDescent="0.35">
      <c r="A39" s="13" t="s">
        <v>18</v>
      </c>
      <c r="B39" s="19"/>
      <c r="C39" s="20"/>
      <c r="D39" s="14"/>
      <c r="E39" s="24"/>
      <c r="F39" s="14">
        <v>0</v>
      </c>
      <c r="G39" s="24">
        <v>0</v>
      </c>
      <c r="H39" s="14">
        <v>0</v>
      </c>
      <c r="I39" s="24">
        <v>0</v>
      </c>
      <c r="J39" s="14">
        <v>17</v>
      </c>
      <c r="K39" s="14">
        <v>17</v>
      </c>
      <c r="L39" s="23">
        <v>22</v>
      </c>
      <c r="M39" s="24">
        <v>22</v>
      </c>
      <c r="N39" s="14">
        <v>27</v>
      </c>
      <c r="O39" s="24">
        <v>27</v>
      </c>
      <c r="P39" s="14">
        <v>50</v>
      </c>
      <c r="Q39" s="24">
        <v>50</v>
      </c>
      <c r="R39" s="14">
        <v>1099</v>
      </c>
      <c r="S39" s="24">
        <v>1099</v>
      </c>
      <c r="T39" s="14">
        <v>55</v>
      </c>
      <c r="U39" s="24">
        <v>55</v>
      </c>
      <c r="V39" s="14"/>
      <c r="W39" s="24"/>
      <c r="X39" s="14"/>
      <c r="Y39" s="24"/>
      <c r="Z39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1270</v>
      </c>
      <c r="AA39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1270</v>
      </c>
    </row>
    <row r="40" spans="1:30" x14ac:dyDescent="0.35">
      <c r="A40" s="13" t="s">
        <v>83</v>
      </c>
      <c r="B40" s="19">
        <v>238</v>
      </c>
      <c r="C40" s="20">
        <v>233</v>
      </c>
      <c r="D40" s="14">
        <v>362</v>
      </c>
      <c r="E40" s="24">
        <v>354</v>
      </c>
      <c r="F40" s="14">
        <v>776</v>
      </c>
      <c r="G40" s="24">
        <v>772</v>
      </c>
      <c r="H40" s="14">
        <v>331</v>
      </c>
      <c r="I40" s="24">
        <v>327</v>
      </c>
      <c r="J40" s="14">
        <v>546</v>
      </c>
      <c r="K40" s="14">
        <v>542</v>
      </c>
      <c r="L40" s="23">
        <v>429</v>
      </c>
      <c r="M40" s="24">
        <v>429</v>
      </c>
      <c r="N40" s="14">
        <v>206</v>
      </c>
      <c r="O40" s="24">
        <v>206</v>
      </c>
      <c r="P40" s="14">
        <v>420</v>
      </c>
      <c r="Q40" s="24">
        <v>414</v>
      </c>
      <c r="R40" s="14">
        <v>389</v>
      </c>
      <c r="S40" s="24">
        <v>388</v>
      </c>
      <c r="T40" s="14">
        <v>461</v>
      </c>
      <c r="U40" s="24">
        <v>461</v>
      </c>
      <c r="V40" s="14"/>
      <c r="W40" s="24"/>
      <c r="X40" s="14"/>
      <c r="Y40" s="24"/>
      <c r="Z40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4158</v>
      </c>
      <c r="AA40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4126</v>
      </c>
    </row>
    <row r="41" spans="1:30" x14ac:dyDescent="0.35">
      <c r="A41" s="13" t="s">
        <v>21</v>
      </c>
      <c r="B41" s="19"/>
      <c r="C41" s="20"/>
      <c r="D41" s="14"/>
      <c r="E41" s="24"/>
      <c r="F41" s="14">
        <v>0</v>
      </c>
      <c r="G41" s="24">
        <v>0</v>
      </c>
      <c r="H41" s="14">
        <v>0</v>
      </c>
      <c r="I41" s="24">
        <v>0</v>
      </c>
      <c r="J41" s="14">
        <v>0</v>
      </c>
      <c r="K41" s="14">
        <v>0</v>
      </c>
      <c r="L41" s="23">
        <v>10</v>
      </c>
      <c r="M41" s="24">
        <v>10</v>
      </c>
      <c r="N41" s="14"/>
      <c r="O41" s="24"/>
      <c r="P41" s="14"/>
      <c r="Q41" s="24"/>
      <c r="R41" s="14"/>
      <c r="S41" s="24"/>
      <c r="T41" s="14">
        <v>25</v>
      </c>
      <c r="U41" s="24">
        <v>25</v>
      </c>
      <c r="V41" s="14"/>
      <c r="W41" s="24"/>
      <c r="X41" s="14"/>
      <c r="Y41" s="24"/>
      <c r="Z41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35</v>
      </c>
      <c r="AA41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35</v>
      </c>
    </row>
    <row r="42" spans="1:30" x14ac:dyDescent="0.35">
      <c r="A42" s="13" t="s">
        <v>22</v>
      </c>
      <c r="B42" s="19">
        <v>12</v>
      </c>
      <c r="C42" s="20">
        <v>12</v>
      </c>
      <c r="D42" s="14"/>
      <c r="E42" s="24"/>
      <c r="F42" s="14">
        <v>0</v>
      </c>
      <c r="G42" s="24">
        <v>0</v>
      </c>
      <c r="H42" s="14">
        <v>1</v>
      </c>
      <c r="I42" s="24">
        <v>1</v>
      </c>
      <c r="J42" s="14">
        <v>0</v>
      </c>
      <c r="K42" s="14">
        <v>0</v>
      </c>
      <c r="L42" s="23"/>
      <c r="M42" s="24"/>
      <c r="N42" s="14"/>
      <c r="O42" s="24"/>
      <c r="P42" s="14">
        <v>3</v>
      </c>
      <c r="Q42" s="24">
        <v>3</v>
      </c>
      <c r="R42" s="14">
        <v>7</v>
      </c>
      <c r="S42" s="24">
        <v>7</v>
      </c>
      <c r="T42" s="14">
        <v>4</v>
      </c>
      <c r="U42" s="24">
        <v>4</v>
      </c>
      <c r="V42" s="14"/>
      <c r="W42" s="24"/>
      <c r="X42" s="14"/>
      <c r="Y42" s="24"/>
      <c r="Z42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27</v>
      </c>
      <c r="AA42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27</v>
      </c>
    </row>
    <row r="43" spans="1:30" x14ac:dyDescent="0.35">
      <c r="A43" s="13" t="s">
        <v>23</v>
      </c>
      <c r="B43" s="19">
        <v>3</v>
      </c>
      <c r="C43" s="20">
        <v>3</v>
      </c>
      <c r="D43" s="14">
        <v>39</v>
      </c>
      <c r="E43" s="24">
        <v>39</v>
      </c>
      <c r="F43" s="14">
        <v>20</v>
      </c>
      <c r="G43" s="24">
        <v>20</v>
      </c>
      <c r="H43" s="14">
        <v>80</v>
      </c>
      <c r="I43" s="24">
        <v>79</v>
      </c>
      <c r="J43" s="14">
        <v>30</v>
      </c>
      <c r="K43" s="14">
        <v>27</v>
      </c>
      <c r="L43" s="23">
        <v>19</v>
      </c>
      <c r="M43" s="24">
        <v>19</v>
      </c>
      <c r="N43" s="14">
        <v>7</v>
      </c>
      <c r="O43" s="24">
        <v>7</v>
      </c>
      <c r="P43" s="14">
        <v>63</v>
      </c>
      <c r="Q43" s="24">
        <v>63</v>
      </c>
      <c r="R43" s="14">
        <v>17</v>
      </c>
      <c r="S43" s="24">
        <v>17</v>
      </c>
      <c r="T43" s="14">
        <v>4</v>
      </c>
      <c r="U43" s="24">
        <v>3</v>
      </c>
      <c r="V43" s="14"/>
      <c r="W43" s="24"/>
      <c r="X43" s="14"/>
      <c r="Y43" s="24"/>
      <c r="Z43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282</v>
      </c>
      <c r="AA43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277</v>
      </c>
    </row>
    <row r="44" spans="1:30" x14ac:dyDescent="0.35">
      <c r="A44" s="13" t="s">
        <v>24</v>
      </c>
      <c r="B44" s="19">
        <v>3</v>
      </c>
      <c r="C44" s="20">
        <v>3</v>
      </c>
      <c r="D44" s="14">
        <v>9</v>
      </c>
      <c r="E44" s="24">
        <v>9</v>
      </c>
      <c r="F44" s="14">
        <v>15</v>
      </c>
      <c r="G44" s="24">
        <v>15</v>
      </c>
      <c r="H44" s="14">
        <v>5</v>
      </c>
      <c r="I44" s="24">
        <v>5</v>
      </c>
      <c r="J44" s="14">
        <v>0</v>
      </c>
      <c r="K44" s="14">
        <v>0</v>
      </c>
      <c r="L44" s="23"/>
      <c r="M44" s="24"/>
      <c r="N44" s="14"/>
      <c r="O44" s="24"/>
      <c r="P44" s="14">
        <v>1</v>
      </c>
      <c r="Q44" s="24">
        <v>1</v>
      </c>
      <c r="R44" s="14">
        <v>4</v>
      </c>
      <c r="S44" s="24">
        <v>4</v>
      </c>
      <c r="T44" s="14">
        <v>62</v>
      </c>
      <c r="U44" s="24">
        <v>62</v>
      </c>
      <c r="V44" s="14"/>
      <c r="W44" s="24"/>
      <c r="X44" s="14"/>
      <c r="Y44" s="24"/>
      <c r="Z44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99</v>
      </c>
      <c r="AA44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99</v>
      </c>
    </row>
    <row r="45" spans="1:30" x14ac:dyDescent="0.35">
      <c r="A45" s="13" t="s">
        <v>25</v>
      </c>
      <c r="B45" s="19">
        <v>18</v>
      </c>
      <c r="C45" s="20">
        <v>18</v>
      </c>
      <c r="D45" s="14">
        <v>38</v>
      </c>
      <c r="E45" s="24">
        <v>38</v>
      </c>
      <c r="F45" s="14">
        <v>46</v>
      </c>
      <c r="G45" s="24">
        <v>46</v>
      </c>
      <c r="H45" s="14">
        <v>10</v>
      </c>
      <c r="I45" s="24">
        <v>10</v>
      </c>
      <c r="J45" s="14">
        <v>69</v>
      </c>
      <c r="K45" s="14">
        <v>69</v>
      </c>
      <c r="L45" s="23">
        <v>82</v>
      </c>
      <c r="M45" s="24">
        <v>82</v>
      </c>
      <c r="N45" s="14">
        <v>11</v>
      </c>
      <c r="O45" s="24">
        <v>11</v>
      </c>
      <c r="P45" s="14">
        <v>34</v>
      </c>
      <c r="Q45" s="24">
        <v>34</v>
      </c>
      <c r="R45" s="14">
        <v>17</v>
      </c>
      <c r="S45" s="24">
        <v>17</v>
      </c>
      <c r="T45" s="14"/>
      <c r="U45" s="24"/>
      <c r="V45" s="14"/>
      <c r="W45" s="24"/>
      <c r="X45" s="14"/>
      <c r="Y45" s="24"/>
      <c r="Z45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325</v>
      </c>
      <c r="AA45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325</v>
      </c>
    </row>
    <row r="46" spans="1:30" x14ac:dyDescent="0.35">
      <c r="A46" s="13" t="s">
        <v>26</v>
      </c>
      <c r="B46" s="19"/>
      <c r="C46" s="20"/>
      <c r="D46" s="14"/>
      <c r="E46" s="24"/>
      <c r="F46" s="14">
        <v>0</v>
      </c>
      <c r="G46" s="24">
        <v>0</v>
      </c>
      <c r="H46" s="14">
        <v>1</v>
      </c>
      <c r="I46" s="24">
        <v>1</v>
      </c>
      <c r="J46" s="14">
        <v>0</v>
      </c>
      <c r="K46" s="14">
        <v>0</v>
      </c>
      <c r="L46" s="23"/>
      <c r="M46" s="24"/>
      <c r="N46" s="14"/>
      <c r="O46" s="24"/>
      <c r="P46" s="14"/>
      <c r="Q46" s="24"/>
      <c r="R46" s="14"/>
      <c r="S46" s="24"/>
      <c r="T46" s="14"/>
      <c r="U46" s="24"/>
      <c r="V46" s="14"/>
      <c r="W46" s="24"/>
      <c r="X46" s="14"/>
      <c r="Y46" s="24"/>
      <c r="Z46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</v>
      </c>
      <c r="AA46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</v>
      </c>
    </row>
    <row r="47" spans="1:30" x14ac:dyDescent="0.35">
      <c r="A47" s="13" t="s">
        <v>60</v>
      </c>
      <c r="B47" s="19"/>
      <c r="C47" s="20"/>
      <c r="D47" s="14">
        <v>30</v>
      </c>
      <c r="E47" s="24">
        <v>30</v>
      </c>
      <c r="F47" s="14">
        <v>48</v>
      </c>
      <c r="G47" s="24">
        <v>48</v>
      </c>
      <c r="H47" s="14">
        <v>13</v>
      </c>
      <c r="I47" s="24">
        <v>13</v>
      </c>
      <c r="J47" s="14">
        <v>87</v>
      </c>
      <c r="K47" s="14">
        <v>87</v>
      </c>
      <c r="L47" s="23">
        <v>9</v>
      </c>
      <c r="M47" s="24">
        <v>9</v>
      </c>
      <c r="N47" s="14">
        <v>14</v>
      </c>
      <c r="O47" s="24">
        <v>14</v>
      </c>
      <c r="P47" s="14">
        <v>45</v>
      </c>
      <c r="Q47" s="24">
        <v>45</v>
      </c>
      <c r="R47" s="14">
        <v>8</v>
      </c>
      <c r="S47" s="24">
        <v>8</v>
      </c>
      <c r="T47" s="14"/>
      <c r="U47" s="24"/>
      <c r="V47" s="14"/>
      <c r="W47" s="24"/>
      <c r="X47" s="14"/>
      <c r="Y47" s="24"/>
      <c r="Z47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254</v>
      </c>
      <c r="AA47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254</v>
      </c>
    </row>
    <row r="48" spans="1:30" x14ac:dyDescent="0.35">
      <c r="A48" s="13" t="s">
        <v>28</v>
      </c>
      <c r="B48" s="19"/>
      <c r="C48" s="20"/>
      <c r="D48" s="14">
        <v>1</v>
      </c>
      <c r="E48" s="24">
        <v>1</v>
      </c>
      <c r="F48" s="14">
        <v>0</v>
      </c>
      <c r="G48" s="24">
        <v>0</v>
      </c>
      <c r="H48" s="14">
        <v>0</v>
      </c>
      <c r="I48" s="24">
        <v>0</v>
      </c>
      <c r="J48" s="14">
        <v>2</v>
      </c>
      <c r="K48" s="14">
        <v>2</v>
      </c>
      <c r="L48" s="23"/>
      <c r="M48" s="24"/>
      <c r="N48" s="14">
        <v>1</v>
      </c>
      <c r="O48" s="24">
        <v>1</v>
      </c>
      <c r="P48" s="14">
        <v>1</v>
      </c>
      <c r="Q48" s="24">
        <v>1</v>
      </c>
      <c r="R48" s="14"/>
      <c r="S48" s="24"/>
      <c r="T48" s="14"/>
      <c r="U48" s="24"/>
      <c r="V48" s="14"/>
      <c r="W48" s="24"/>
      <c r="X48" s="14"/>
      <c r="Y48" s="24"/>
      <c r="Z48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5</v>
      </c>
      <c r="AA48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5</v>
      </c>
    </row>
    <row r="49" spans="1:29" x14ac:dyDescent="0.35">
      <c r="A49" s="13" t="s">
        <v>61</v>
      </c>
      <c r="B49" s="19">
        <v>70</v>
      </c>
      <c r="C49" s="20">
        <v>70</v>
      </c>
      <c r="D49" s="14">
        <v>57</v>
      </c>
      <c r="E49" s="24">
        <v>57</v>
      </c>
      <c r="F49" s="14">
        <v>54</v>
      </c>
      <c r="G49" s="24">
        <v>54</v>
      </c>
      <c r="H49" s="14">
        <v>11</v>
      </c>
      <c r="I49" s="24">
        <v>11</v>
      </c>
      <c r="J49" s="14">
        <v>44</v>
      </c>
      <c r="K49" s="14">
        <v>44</v>
      </c>
      <c r="L49" s="23">
        <v>19</v>
      </c>
      <c r="M49" s="24">
        <v>18</v>
      </c>
      <c r="N49" s="14">
        <v>13</v>
      </c>
      <c r="O49" s="24">
        <v>11</v>
      </c>
      <c r="P49" s="14">
        <v>20</v>
      </c>
      <c r="Q49" s="24">
        <v>20</v>
      </c>
      <c r="R49" s="14">
        <v>18</v>
      </c>
      <c r="S49" s="24">
        <v>13</v>
      </c>
      <c r="T49" s="14">
        <v>3</v>
      </c>
      <c r="U49" s="24">
        <v>2</v>
      </c>
      <c r="V49" s="14"/>
      <c r="W49" s="24"/>
      <c r="X49" s="14"/>
      <c r="Y49" s="24"/>
      <c r="Z49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309</v>
      </c>
      <c r="AA49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300</v>
      </c>
    </row>
    <row r="50" spans="1:29" x14ac:dyDescent="0.35">
      <c r="A50" s="13" t="s">
        <v>30</v>
      </c>
      <c r="B50" s="19">
        <v>164</v>
      </c>
      <c r="C50" s="20">
        <v>164</v>
      </c>
      <c r="D50" s="14">
        <v>151</v>
      </c>
      <c r="E50" s="24">
        <v>151</v>
      </c>
      <c r="F50" s="14">
        <v>119</v>
      </c>
      <c r="G50" s="24">
        <v>119</v>
      </c>
      <c r="H50" s="14">
        <v>95</v>
      </c>
      <c r="I50" s="24">
        <v>95</v>
      </c>
      <c r="J50" s="14">
        <v>94</v>
      </c>
      <c r="K50" s="14">
        <v>94</v>
      </c>
      <c r="L50" s="23">
        <v>219</v>
      </c>
      <c r="M50" s="24">
        <v>219</v>
      </c>
      <c r="N50" s="14">
        <v>114</v>
      </c>
      <c r="O50" s="24">
        <v>114</v>
      </c>
      <c r="P50" s="14">
        <v>134</v>
      </c>
      <c r="Q50" s="24">
        <v>134</v>
      </c>
      <c r="R50" s="14">
        <v>159</v>
      </c>
      <c r="S50" s="24">
        <v>159</v>
      </c>
      <c r="T50" s="14">
        <v>155</v>
      </c>
      <c r="U50" s="24">
        <v>155</v>
      </c>
      <c r="V50" s="14"/>
      <c r="W50" s="24"/>
      <c r="X50" s="14"/>
      <c r="Y50" s="24"/>
      <c r="Z50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1404</v>
      </c>
      <c r="AA50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1404</v>
      </c>
    </row>
    <row r="51" spans="1:29" x14ac:dyDescent="0.35">
      <c r="A51" s="13" t="s">
        <v>62</v>
      </c>
      <c r="B51" s="19"/>
      <c r="C51" s="20"/>
      <c r="D51" s="14"/>
      <c r="E51" s="24"/>
      <c r="F51" s="14">
        <v>0</v>
      </c>
      <c r="G51" s="24">
        <v>0</v>
      </c>
      <c r="H51" s="14">
        <v>0</v>
      </c>
      <c r="I51" s="24">
        <v>0</v>
      </c>
      <c r="J51" s="14">
        <v>0</v>
      </c>
      <c r="K51" s="14">
        <v>0</v>
      </c>
      <c r="L51" s="23"/>
      <c r="M51" s="24"/>
      <c r="N51" s="14"/>
      <c r="O51" s="24"/>
      <c r="P51" s="14"/>
      <c r="Q51" s="24"/>
      <c r="R51" s="14"/>
      <c r="S51" s="24"/>
      <c r="T51" s="14"/>
      <c r="U51" s="24"/>
      <c r="V51" s="14"/>
      <c r="W51" s="24"/>
      <c r="X51" s="14"/>
      <c r="Y51" s="24"/>
      <c r="Z51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0</v>
      </c>
      <c r="AA51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0</v>
      </c>
    </row>
    <row r="52" spans="1:29" x14ac:dyDescent="0.35">
      <c r="A52" s="13" t="s">
        <v>32</v>
      </c>
      <c r="B52" s="19">
        <v>6</v>
      </c>
      <c r="C52" s="20">
        <v>6</v>
      </c>
      <c r="D52" s="14">
        <v>10</v>
      </c>
      <c r="E52" s="24">
        <v>10</v>
      </c>
      <c r="F52" s="14">
        <v>8</v>
      </c>
      <c r="G52" s="24">
        <v>8</v>
      </c>
      <c r="H52" s="14">
        <v>5</v>
      </c>
      <c r="I52" s="24">
        <v>5</v>
      </c>
      <c r="J52" s="14">
        <v>26</v>
      </c>
      <c r="K52" s="14">
        <v>26</v>
      </c>
      <c r="L52" s="23">
        <v>18</v>
      </c>
      <c r="M52" s="24">
        <v>18</v>
      </c>
      <c r="N52" s="14">
        <v>9</v>
      </c>
      <c r="O52" s="24">
        <v>9</v>
      </c>
      <c r="P52" s="14">
        <v>51</v>
      </c>
      <c r="Q52" s="24">
        <v>51</v>
      </c>
      <c r="R52" s="14">
        <v>4</v>
      </c>
      <c r="S52" s="24">
        <v>4</v>
      </c>
      <c r="T52" s="14">
        <v>6</v>
      </c>
      <c r="U52" s="24">
        <v>6</v>
      </c>
      <c r="V52" s="14"/>
      <c r="W52" s="24"/>
      <c r="X52" s="14"/>
      <c r="Y52" s="24"/>
      <c r="Z52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143</v>
      </c>
      <c r="AA52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143</v>
      </c>
    </row>
    <row r="53" spans="1:29" x14ac:dyDescent="0.35">
      <c r="A53" s="13" t="s">
        <v>33</v>
      </c>
      <c r="B53" s="19"/>
      <c r="C53" s="20"/>
      <c r="D53" s="14"/>
      <c r="E53" s="24"/>
      <c r="F53" s="14">
        <v>0</v>
      </c>
      <c r="G53" s="24">
        <v>0</v>
      </c>
      <c r="H53" s="14">
        <v>0</v>
      </c>
      <c r="I53" s="24">
        <v>0</v>
      </c>
      <c r="J53" s="14">
        <v>0</v>
      </c>
      <c r="K53" s="14">
        <v>0</v>
      </c>
      <c r="L53" s="23"/>
      <c r="M53" s="24"/>
      <c r="N53" s="14"/>
      <c r="O53" s="24"/>
      <c r="P53" s="14"/>
      <c r="Q53" s="24"/>
      <c r="R53" s="14"/>
      <c r="S53" s="24"/>
      <c r="T53" s="14"/>
      <c r="U53" s="24"/>
      <c r="V53" s="14"/>
      <c r="W53" s="24"/>
      <c r="X53" s="14"/>
      <c r="Y53" s="24"/>
      <c r="Z53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0</v>
      </c>
      <c r="AA53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0</v>
      </c>
    </row>
    <row r="54" spans="1:29" x14ac:dyDescent="0.35">
      <c r="A54" s="13" t="s">
        <v>34</v>
      </c>
      <c r="B54" s="19"/>
      <c r="C54" s="20"/>
      <c r="D54" s="14">
        <v>1</v>
      </c>
      <c r="E54" s="24">
        <v>1</v>
      </c>
      <c r="F54" s="14">
        <v>1</v>
      </c>
      <c r="G54" s="24">
        <v>1</v>
      </c>
      <c r="H54" s="14">
        <v>1</v>
      </c>
      <c r="I54" s="24">
        <v>0</v>
      </c>
      <c r="J54" s="14">
        <v>8</v>
      </c>
      <c r="K54" s="14">
        <v>8</v>
      </c>
      <c r="L54" s="23">
        <v>4</v>
      </c>
      <c r="M54" s="24">
        <v>4</v>
      </c>
      <c r="N54" s="14"/>
      <c r="O54" s="24"/>
      <c r="P54" s="14">
        <v>2</v>
      </c>
      <c r="Q54" s="24">
        <v>2</v>
      </c>
      <c r="R54" s="14">
        <v>1</v>
      </c>
      <c r="S54" s="24">
        <v>1</v>
      </c>
      <c r="T54" s="14">
        <v>1</v>
      </c>
      <c r="U54" s="24">
        <v>1</v>
      </c>
      <c r="V54" s="14"/>
      <c r="W54" s="24"/>
      <c r="X54" s="14"/>
      <c r="Y54" s="24"/>
      <c r="Z54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19</v>
      </c>
      <c r="AA54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18</v>
      </c>
    </row>
    <row r="55" spans="1:29" x14ac:dyDescent="0.35">
      <c r="A55" s="13" t="s">
        <v>35</v>
      </c>
      <c r="B55" s="19"/>
      <c r="C55" s="20"/>
      <c r="D55" s="14"/>
      <c r="E55" s="24"/>
      <c r="F55" s="14">
        <v>0</v>
      </c>
      <c r="G55" s="24">
        <v>0</v>
      </c>
      <c r="H55" s="14">
        <v>1</v>
      </c>
      <c r="I55" s="24">
        <v>1</v>
      </c>
      <c r="J55" s="14">
        <v>0</v>
      </c>
      <c r="K55" s="14">
        <v>0</v>
      </c>
      <c r="L55" s="23"/>
      <c r="M55" s="24"/>
      <c r="N55" s="14"/>
      <c r="O55" s="24"/>
      <c r="P55" s="14"/>
      <c r="Q55" s="24"/>
      <c r="R55" s="14"/>
      <c r="S55" s="24"/>
      <c r="T55" s="14"/>
      <c r="U55" s="24"/>
      <c r="V55" s="14"/>
      <c r="W55" s="24"/>
      <c r="X55" s="14"/>
      <c r="Y55" s="24"/>
      <c r="Z55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</v>
      </c>
      <c r="AA55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</v>
      </c>
    </row>
    <row r="56" spans="1:29" x14ac:dyDescent="0.35">
      <c r="A56" s="13" t="s">
        <v>63</v>
      </c>
      <c r="B56" s="19"/>
      <c r="C56" s="20"/>
      <c r="D56" s="14"/>
      <c r="E56" s="24"/>
      <c r="F56" s="14">
        <v>0</v>
      </c>
      <c r="G56" s="24">
        <v>0</v>
      </c>
      <c r="H56" s="14">
        <v>0</v>
      </c>
      <c r="I56" s="24">
        <v>0</v>
      </c>
      <c r="J56" s="14">
        <v>0</v>
      </c>
      <c r="K56" s="14">
        <v>0</v>
      </c>
      <c r="L56" s="23"/>
      <c r="M56" s="24"/>
      <c r="N56" s="14"/>
      <c r="O56" s="24"/>
      <c r="P56" s="14"/>
      <c r="Q56" s="24"/>
      <c r="R56" s="14">
        <v>1</v>
      </c>
      <c r="S56" s="24">
        <v>1</v>
      </c>
      <c r="T56" s="14"/>
      <c r="U56" s="24"/>
      <c r="V56" s="14"/>
      <c r="W56" s="24"/>
      <c r="X56" s="14"/>
      <c r="Y56" s="24"/>
      <c r="Z56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</v>
      </c>
      <c r="AA56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</v>
      </c>
    </row>
    <row r="57" spans="1:29" x14ac:dyDescent="0.35">
      <c r="A57" s="13" t="s">
        <v>37</v>
      </c>
      <c r="B57" s="19"/>
      <c r="C57" s="20"/>
      <c r="D57" s="14"/>
      <c r="E57" s="24"/>
      <c r="F57" s="14">
        <v>0</v>
      </c>
      <c r="G57" s="24">
        <v>0</v>
      </c>
      <c r="H57" s="14">
        <v>0</v>
      </c>
      <c r="I57" s="24">
        <v>0</v>
      </c>
      <c r="J57" s="14">
        <v>2</v>
      </c>
      <c r="K57" s="14">
        <v>2</v>
      </c>
      <c r="L57" s="23"/>
      <c r="M57" s="24"/>
      <c r="N57" s="14"/>
      <c r="O57" s="24"/>
      <c r="P57" s="14"/>
      <c r="Q57" s="24"/>
      <c r="R57" s="14"/>
      <c r="S57" s="24"/>
      <c r="T57" s="14"/>
      <c r="U57" s="24"/>
      <c r="V57" s="14"/>
      <c r="W57" s="24"/>
      <c r="X57" s="14"/>
      <c r="Y57" s="24"/>
      <c r="Z57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2</v>
      </c>
      <c r="AA57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2</v>
      </c>
    </row>
    <row r="58" spans="1:29" x14ac:dyDescent="0.35">
      <c r="A58" s="13" t="s">
        <v>38</v>
      </c>
      <c r="B58" s="19"/>
      <c r="C58" s="20"/>
      <c r="D58" s="14"/>
      <c r="E58" s="24"/>
      <c r="F58" s="14">
        <v>0</v>
      </c>
      <c r="G58" s="24">
        <v>0</v>
      </c>
      <c r="H58" s="14">
        <v>0</v>
      </c>
      <c r="I58" s="24">
        <v>0</v>
      </c>
      <c r="J58" s="14">
        <v>0</v>
      </c>
      <c r="K58" s="14">
        <v>0</v>
      </c>
      <c r="L58" s="23"/>
      <c r="M58" s="24"/>
      <c r="N58" s="14"/>
      <c r="O58" s="24"/>
      <c r="P58" s="14"/>
      <c r="Q58" s="24"/>
      <c r="R58" s="14"/>
      <c r="S58" s="24"/>
      <c r="T58" s="14"/>
      <c r="U58" s="24"/>
      <c r="V58" s="14"/>
      <c r="W58" s="24"/>
      <c r="X58" s="14"/>
      <c r="Y58" s="24"/>
      <c r="Z58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0</v>
      </c>
      <c r="AA58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0</v>
      </c>
    </row>
    <row r="59" spans="1:29" x14ac:dyDescent="0.35">
      <c r="A59" s="13" t="s">
        <v>39</v>
      </c>
      <c r="B59" s="19">
        <v>1</v>
      </c>
      <c r="C59" s="20">
        <v>1</v>
      </c>
      <c r="D59" s="14">
        <v>5</v>
      </c>
      <c r="E59" s="24">
        <v>5</v>
      </c>
      <c r="F59" s="14">
        <v>8</v>
      </c>
      <c r="G59" s="24">
        <v>8</v>
      </c>
      <c r="H59" s="14">
        <v>1</v>
      </c>
      <c r="I59" s="24">
        <v>1</v>
      </c>
      <c r="J59" s="14">
        <v>2</v>
      </c>
      <c r="K59" s="14">
        <v>2</v>
      </c>
      <c r="L59" s="23"/>
      <c r="M59" s="24"/>
      <c r="N59" s="14">
        <v>1</v>
      </c>
      <c r="O59" s="24">
        <v>1</v>
      </c>
      <c r="P59" s="14">
        <v>9</v>
      </c>
      <c r="Q59" s="24">
        <v>9</v>
      </c>
      <c r="R59" s="14">
        <v>3</v>
      </c>
      <c r="S59" s="24">
        <v>3</v>
      </c>
      <c r="T59" s="14">
        <v>1</v>
      </c>
      <c r="U59" s="24">
        <v>1</v>
      </c>
      <c r="V59" s="14"/>
      <c r="W59" s="24"/>
      <c r="X59" s="14"/>
      <c r="Y59" s="24"/>
      <c r="Z59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31</v>
      </c>
      <c r="AA59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31</v>
      </c>
    </row>
    <row r="60" spans="1:29" x14ac:dyDescent="0.35">
      <c r="A60" s="13" t="s">
        <v>40</v>
      </c>
      <c r="B60" s="19">
        <v>27</v>
      </c>
      <c r="C60" s="20">
        <v>27</v>
      </c>
      <c r="D60" s="14">
        <v>59</v>
      </c>
      <c r="E60" s="24">
        <v>59</v>
      </c>
      <c r="F60" s="14">
        <v>6</v>
      </c>
      <c r="G60" s="24">
        <v>6</v>
      </c>
      <c r="H60" s="14">
        <v>2</v>
      </c>
      <c r="I60" s="24">
        <v>2</v>
      </c>
      <c r="J60" s="14">
        <v>4</v>
      </c>
      <c r="K60" s="14">
        <v>4</v>
      </c>
      <c r="L60" s="23">
        <v>287</v>
      </c>
      <c r="M60" s="24">
        <v>287</v>
      </c>
      <c r="N60" s="14">
        <v>1</v>
      </c>
      <c r="O60" s="24">
        <v>1</v>
      </c>
      <c r="P60" s="14">
        <v>4</v>
      </c>
      <c r="Q60" s="24">
        <v>4</v>
      </c>
      <c r="R60" s="14">
        <v>9</v>
      </c>
      <c r="S60" s="24">
        <v>9</v>
      </c>
      <c r="T60" s="14">
        <v>4</v>
      </c>
      <c r="U60" s="24">
        <v>4</v>
      </c>
      <c r="V60" s="14"/>
      <c r="W60" s="24"/>
      <c r="X60" s="14"/>
      <c r="Y60" s="24"/>
      <c r="Z60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403</v>
      </c>
      <c r="AA60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403</v>
      </c>
    </row>
    <row r="61" spans="1:29" x14ac:dyDescent="0.35">
      <c r="A61" s="13" t="s">
        <v>41</v>
      </c>
      <c r="B61" s="19"/>
      <c r="C61" s="20"/>
      <c r="D61" s="14"/>
      <c r="E61" s="24"/>
      <c r="F61" s="14">
        <v>0</v>
      </c>
      <c r="G61" s="24">
        <v>0</v>
      </c>
      <c r="H61" s="14">
        <v>1</v>
      </c>
      <c r="I61" s="24">
        <v>1</v>
      </c>
      <c r="J61" s="14">
        <v>0</v>
      </c>
      <c r="K61" s="14">
        <v>0</v>
      </c>
      <c r="L61" s="23"/>
      <c r="M61" s="24"/>
      <c r="N61" s="14"/>
      <c r="O61" s="24"/>
      <c r="P61" s="14">
        <v>94</v>
      </c>
      <c r="Q61" s="24">
        <v>94</v>
      </c>
      <c r="R61" s="14">
        <v>282</v>
      </c>
      <c r="S61" s="24">
        <v>282</v>
      </c>
      <c r="T61" s="14">
        <v>1062</v>
      </c>
      <c r="U61" s="24">
        <v>1062</v>
      </c>
      <c r="V61" s="14"/>
      <c r="W61" s="24"/>
      <c r="X61" s="14"/>
      <c r="Y61" s="24"/>
      <c r="Z61" s="45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1439</v>
      </c>
      <c r="AA61" s="45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1439</v>
      </c>
    </row>
    <row r="62" spans="1:29" ht="15" thickBot="1" x14ac:dyDescent="0.4">
      <c r="A62" s="9" t="s">
        <v>42</v>
      </c>
      <c r="B62" s="25">
        <f>SUM(B38:B60)</f>
        <v>551</v>
      </c>
      <c r="C62" s="26">
        <f>SUBTOTAL(109,C38:C60)</f>
        <v>546</v>
      </c>
      <c r="D62" s="28">
        <f t="shared" ref="D62:X62" si="0">SUM(D38:D60)</f>
        <v>777</v>
      </c>
      <c r="E62" s="26">
        <f t="shared" si="0"/>
        <v>769</v>
      </c>
      <c r="F62" s="28">
        <f t="shared" si="0"/>
        <v>1108</v>
      </c>
      <c r="G62" s="26">
        <f t="shared" si="0"/>
        <v>1104</v>
      </c>
      <c r="H62" s="28">
        <f t="shared" si="0"/>
        <v>564</v>
      </c>
      <c r="I62" s="26">
        <f t="shared" si="0"/>
        <v>558</v>
      </c>
      <c r="J62" s="28">
        <f t="shared" si="0"/>
        <v>937</v>
      </c>
      <c r="K62" s="28">
        <f t="shared" si="0"/>
        <v>930</v>
      </c>
      <c r="L62" s="25">
        <f t="shared" si="0"/>
        <v>1121</v>
      </c>
      <c r="M62" s="29">
        <f t="shared" si="0"/>
        <v>1120</v>
      </c>
      <c r="N62" s="172">
        <f t="shared" si="0"/>
        <v>406</v>
      </c>
      <c r="O62" s="29">
        <f t="shared" si="0"/>
        <v>404</v>
      </c>
      <c r="P62" s="28">
        <f>+SUM(P38:P61)</f>
        <v>931</v>
      </c>
      <c r="Q62" s="29">
        <f>SUM(Q38:Q61)</f>
        <v>925</v>
      </c>
      <c r="R62" s="172">
        <f>+SUM(R38:R61)</f>
        <v>2018</v>
      </c>
      <c r="S62" s="29">
        <f>SUM(S38:S61)</f>
        <v>2012</v>
      </c>
      <c r="T62" s="28">
        <f>SUM(T38:T61)</f>
        <v>1843</v>
      </c>
      <c r="U62" s="29">
        <f>SUM(U38:U61)</f>
        <v>1841</v>
      </c>
      <c r="V62" s="28">
        <f t="shared" si="0"/>
        <v>0</v>
      </c>
      <c r="W62" s="29">
        <f t="shared" si="0"/>
        <v>0</v>
      </c>
      <c r="X62" s="28">
        <f t="shared" si="0"/>
        <v>0</v>
      </c>
      <c r="Y62" s="29">
        <f t="shared" ref="Y62" si="1">SUM(Y38:Y60)</f>
        <v>0</v>
      </c>
      <c r="Z62" s="43">
        <f>Tabla1015[[#This Row],[Consultas1]]+Tabla1015[[#This Row],[Consultas2]]+Tabla1015[[#This Row],[Consultas3]]+Tabla1015[[#This Row],[Consultas4]]+Tabla1015[[#This Row],[Consultas5]]+Tabla1015[[#This Row],[Consultas6]]+Tabla1015[[#This Row],[Consultas7]]+Tabla1015[[#This Row],[Consultas8]]+Tabla1015[[#This Row],[Consultas9]]+Tabla1015[[#This Row],[Consultas10]]+Tabla1015[[#This Row],[Consultas11]]+Tabla1015[[#This Row],[Consultas12]]</f>
        <v>10256</v>
      </c>
      <c r="AA62" s="43">
        <f>Tabla1015[[#This Row],[Prestamos atendidos]]+Tabla1015[[#This Row],[Prestamos atendidos2]]+Tabla1015[[#This Row],[Prestamos atendidos3]]+Tabla1015[[#This Row],[Prestamos atendidos4]]+Tabla1015[[#This Row],[Prestamos atendidos5]]+Tabla1015[[#This Row],[Prestamos atendidos6]]+Tabla1015[[#This Row],[Prestamos atendidos7]]+Tabla1015[[#This Row],[Prestamos atendidos8]]+Tabla1015[[#This Row],[Prestamos atendidos9]]+Tabla1015[[#This Row],[Prestamos atendidos10]]+Tabla1015[[#This Row],[Prestamos atendidos11]]+Tabla1015[[#This Row],[Prestamos atendidos12]]</f>
        <v>10209</v>
      </c>
    </row>
    <row r="64" spans="1:29" x14ac:dyDescent="0.35">
      <c r="A64" s="171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</row>
    <row r="65" spans="1:29" x14ac:dyDescent="0.35">
      <c r="A65" s="163"/>
      <c r="B65" s="163"/>
      <c r="C65" s="163"/>
      <c r="D65" s="163"/>
      <c r="E65" s="163"/>
      <c r="F65" s="163"/>
      <c r="G65" s="163"/>
      <c r="H65" s="144"/>
      <c r="I65" s="145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</row>
    <row r="66" spans="1:29" x14ac:dyDescent="0.35">
      <c r="A66" s="163"/>
      <c r="B66" s="143" t="s">
        <v>43</v>
      </c>
      <c r="C66" s="168" t="s">
        <v>44</v>
      </c>
      <c r="D66" s="166"/>
      <c r="E66" s="174" t="s">
        <v>67</v>
      </c>
      <c r="F66" s="163"/>
      <c r="G66" s="163"/>
      <c r="H66" s="144"/>
      <c r="I66" s="145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</row>
    <row r="67" spans="1:29" x14ac:dyDescent="0.35">
      <c r="A67" s="163"/>
      <c r="B67" s="164">
        <f>+N62</f>
        <v>406</v>
      </c>
      <c r="C67" s="164">
        <v>2018</v>
      </c>
      <c r="D67" s="163"/>
      <c r="E67" s="10">
        <f>+AVERAGE(B62,D62,F62,H62,J62,L62,N62,P62,R62,T62,B28,D28,F28,H28,J28,L28,N28,P28,R28,T28,V28,X28)</f>
        <v>989.77272727272725</v>
      </c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</row>
    <row r="68" spans="1:29" x14ac:dyDescent="0.35">
      <c r="A68" s="163"/>
      <c r="B68" s="163"/>
      <c r="C68" s="163"/>
      <c r="D68" s="166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</row>
    <row r="69" spans="1:29" x14ac:dyDescent="0.3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</row>
    <row r="70" spans="1:29" x14ac:dyDescent="0.3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</row>
    <row r="71" spans="1:29" x14ac:dyDescent="0.3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</row>
    <row r="72" spans="1:29" x14ac:dyDescent="0.3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</row>
  </sheetData>
  <mergeCells count="24">
    <mergeCell ref="B2:C2"/>
    <mergeCell ref="D2:E2"/>
    <mergeCell ref="F2:G2"/>
    <mergeCell ref="H2:I2"/>
    <mergeCell ref="J2:K2"/>
    <mergeCell ref="L2:M2"/>
    <mergeCell ref="X2:Y2"/>
    <mergeCell ref="V2:W2"/>
    <mergeCell ref="T2:U2"/>
    <mergeCell ref="R2:S2"/>
    <mergeCell ref="P2:Q2"/>
    <mergeCell ref="N2:O2"/>
    <mergeCell ref="P36:Q36"/>
    <mergeCell ref="R36:S36"/>
    <mergeCell ref="T36:U36"/>
    <mergeCell ref="B36:C36"/>
    <mergeCell ref="D36:E36"/>
    <mergeCell ref="F36:G36"/>
    <mergeCell ref="H36:I36"/>
    <mergeCell ref="J36:K36"/>
    <mergeCell ref="V36:W36"/>
    <mergeCell ref="X36:Y36"/>
    <mergeCell ref="L36:M36"/>
    <mergeCell ref="N36:O36"/>
  </mergeCells>
  <phoneticPr fontId="3" type="noConversion"/>
  <pageMargins left="0.7" right="0.7" top="0.75" bottom="0.75" header="0.3" footer="0.3"/>
  <headerFooter>
    <oddFooter>&amp;C_x000D_&amp;1#&amp;"Calibri"&amp;10&amp;K008000 DOCUMENTO PÚBLICO</oddFooter>
  </headerFooter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zoomScale="75" zoomScaleNormal="75" workbookViewId="0"/>
  </sheetViews>
  <sheetFormatPr baseColWidth="10" defaultColWidth="11.453125" defaultRowHeight="14.5" x14ac:dyDescent="0.35"/>
  <cols>
    <col min="1" max="1" width="22.1796875" customWidth="1"/>
    <col min="9" max="9" width="12.453125" customWidth="1"/>
    <col min="11" max="11" width="11.1796875" customWidth="1"/>
    <col min="12" max="12" width="17" customWidth="1"/>
    <col min="13" max="13" width="13" customWidth="1"/>
  </cols>
  <sheetData>
    <row r="1" spans="1:13" ht="21" customHeight="1" x14ac:dyDescent="0.35">
      <c r="A1" s="6" t="s">
        <v>85</v>
      </c>
      <c r="B1" s="6"/>
      <c r="C1" s="6"/>
    </row>
    <row r="2" spans="1:13" x14ac:dyDescent="0.35">
      <c r="A2" s="31" t="s">
        <v>2</v>
      </c>
      <c r="B2" s="31" t="s">
        <v>4</v>
      </c>
      <c r="C2" s="31" t="s">
        <v>5</v>
      </c>
      <c r="D2" s="31" t="s">
        <v>6</v>
      </c>
      <c r="E2" s="31" t="s">
        <v>7</v>
      </c>
      <c r="F2" s="31" t="s">
        <v>8</v>
      </c>
      <c r="G2" s="31" t="s">
        <v>9</v>
      </c>
      <c r="H2" s="31" t="s">
        <v>10</v>
      </c>
      <c r="I2" s="31" t="s">
        <v>11</v>
      </c>
      <c r="J2" s="31" t="s">
        <v>12</v>
      </c>
      <c r="K2" s="31" t="s">
        <v>14</v>
      </c>
      <c r="L2" s="46" t="s">
        <v>15</v>
      </c>
      <c r="M2" s="46" t="s">
        <v>67</v>
      </c>
    </row>
    <row r="3" spans="1:13" x14ac:dyDescent="0.35">
      <c r="A3" s="34" t="s">
        <v>17</v>
      </c>
      <c r="B3" s="30"/>
      <c r="C3" s="30"/>
      <c r="D3" s="30"/>
      <c r="E3" s="30">
        <v>44</v>
      </c>
      <c r="F3" s="30"/>
      <c r="G3" s="30"/>
      <c r="H3" s="30"/>
      <c r="I3" s="30"/>
      <c r="J3" s="30"/>
      <c r="K3" s="30"/>
      <c r="L3" s="35">
        <f>SUM(Tabla4[[#This Row],[Febrero]:[Diciembre]])</f>
        <v>44</v>
      </c>
      <c r="M3" s="35">
        <f>AVERAGE(Tabla4[[#This Row],[Febrero]:[Diciembre]])</f>
        <v>44</v>
      </c>
    </row>
    <row r="4" spans="1:13" x14ac:dyDescent="0.35">
      <c r="A4" s="34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5">
        <f>SUM(Tabla4[[#This Row],[Febrero]:[Diciembre]])</f>
        <v>0</v>
      </c>
      <c r="M4" s="35">
        <v>0</v>
      </c>
    </row>
    <row r="5" spans="1:13" x14ac:dyDescent="0.35">
      <c r="A5" s="34" t="s">
        <v>86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5">
        <f>SUM(Tabla4[[#This Row],[Febrero]:[Diciembre]])</f>
        <v>0</v>
      </c>
      <c r="M5" s="35">
        <v>0</v>
      </c>
    </row>
    <row r="6" spans="1:13" x14ac:dyDescent="0.35">
      <c r="A6" s="34" t="s">
        <v>87</v>
      </c>
      <c r="B6" s="30"/>
      <c r="C6" s="30">
        <v>62</v>
      </c>
      <c r="D6" s="30"/>
      <c r="E6" s="30"/>
      <c r="F6" s="30"/>
      <c r="G6" s="30"/>
      <c r="H6" s="30"/>
      <c r="I6" s="30">
        <v>83</v>
      </c>
      <c r="J6" s="30">
        <v>128</v>
      </c>
      <c r="K6" s="30">
        <v>117</v>
      </c>
      <c r="L6" s="35">
        <f>SUM(Tabla4[[#This Row],[Febrero]:[Diciembre]])</f>
        <v>390</v>
      </c>
      <c r="M6" s="35">
        <f>AVERAGE(Tabla4[[#This Row],[Febrero]:[Diciembre]])</f>
        <v>97.5</v>
      </c>
    </row>
    <row r="7" spans="1:13" x14ac:dyDescent="0.35">
      <c r="A7" s="34" t="s">
        <v>88</v>
      </c>
      <c r="B7" s="30">
        <v>339</v>
      </c>
      <c r="C7" s="30">
        <v>180</v>
      </c>
      <c r="D7" s="30">
        <v>7</v>
      </c>
      <c r="E7" s="30"/>
      <c r="F7" s="30"/>
      <c r="G7" s="30">
        <v>498</v>
      </c>
      <c r="H7" s="30"/>
      <c r="I7" s="30">
        <v>221</v>
      </c>
      <c r="J7" s="30">
        <v>113</v>
      </c>
      <c r="K7" s="30"/>
      <c r="L7" s="35">
        <f>SUM(Tabla4[[#This Row],[Febrero]:[Diciembre]])</f>
        <v>1358</v>
      </c>
      <c r="M7" s="35">
        <f>AVERAGE(Tabla4[[#This Row],[Febrero]:[Diciembre]])</f>
        <v>226.33333333333334</v>
      </c>
    </row>
    <row r="8" spans="1:13" x14ac:dyDescent="0.35">
      <c r="A8" s="34" t="s">
        <v>21</v>
      </c>
      <c r="B8" s="30">
        <v>100</v>
      </c>
      <c r="C8" s="30"/>
      <c r="D8" s="30"/>
      <c r="E8" s="30"/>
      <c r="F8" s="30">
        <v>100</v>
      </c>
      <c r="G8" s="30"/>
      <c r="H8" s="30">
        <v>90</v>
      </c>
      <c r="I8" s="30"/>
      <c r="J8" s="30"/>
      <c r="K8" s="30"/>
      <c r="L8" s="35">
        <f>SUM(Tabla4[[#This Row],[Febrero]:[Diciembre]])</f>
        <v>290</v>
      </c>
      <c r="M8" s="35">
        <f>AVERAGE(Tabla4[[#This Row],[Febrero]:[Diciembre]])</f>
        <v>96.666666666666671</v>
      </c>
    </row>
    <row r="9" spans="1:13" x14ac:dyDescent="0.35">
      <c r="A9" s="34" t="s">
        <v>22</v>
      </c>
      <c r="B9" s="30"/>
      <c r="C9" s="30">
        <v>76</v>
      </c>
      <c r="D9" s="30"/>
      <c r="E9" s="30"/>
      <c r="F9" s="30"/>
      <c r="G9" s="30"/>
      <c r="H9" s="30"/>
      <c r="I9" s="30"/>
      <c r="J9" s="30"/>
      <c r="K9" s="30"/>
      <c r="L9" s="35">
        <f>SUM(Tabla4[[#This Row],[Febrero]:[Diciembre]])</f>
        <v>76</v>
      </c>
      <c r="M9" s="35">
        <f>AVERAGE(Tabla4[[#This Row],[Febrero]:[Diciembre]])</f>
        <v>76</v>
      </c>
    </row>
    <row r="10" spans="1:13" x14ac:dyDescent="0.35">
      <c r="A10" s="34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5">
        <f>SUM(Tabla4[[#This Row],[Febrero]:[Diciembre]])</f>
        <v>0</v>
      </c>
      <c r="M10" s="35">
        <v>0</v>
      </c>
    </row>
    <row r="11" spans="1:13" x14ac:dyDescent="0.35">
      <c r="A11" s="34" t="s">
        <v>24</v>
      </c>
      <c r="B11" s="30"/>
      <c r="C11" s="30"/>
      <c r="D11" s="30"/>
      <c r="E11" s="30"/>
      <c r="F11" s="30">
        <v>53</v>
      </c>
      <c r="G11" s="30"/>
      <c r="H11" s="30"/>
      <c r="I11" s="30"/>
      <c r="J11" s="30"/>
      <c r="K11" s="30"/>
      <c r="L11" s="35">
        <f>SUM(Tabla4[[#This Row],[Febrero]:[Diciembre]])</f>
        <v>53</v>
      </c>
      <c r="M11" s="35">
        <f>AVERAGE(Tabla4[[#This Row],[Febrero]:[Diciembre]])</f>
        <v>53</v>
      </c>
    </row>
    <row r="12" spans="1:13" x14ac:dyDescent="0.35">
      <c r="A12" s="34" t="s">
        <v>89</v>
      </c>
      <c r="B12" s="30"/>
      <c r="C12" s="30"/>
      <c r="D12" s="30"/>
      <c r="E12" s="30"/>
      <c r="F12" s="30"/>
      <c r="G12" s="30"/>
      <c r="H12" s="30">
        <v>30</v>
      </c>
      <c r="I12" s="30"/>
      <c r="J12" s="30"/>
      <c r="K12" s="30"/>
      <c r="L12" s="35">
        <f>SUM(Tabla4[[#This Row],[Febrero]:[Diciembre]])</f>
        <v>30</v>
      </c>
      <c r="M12" s="35">
        <f>AVERAGE(Tabla4[[#This Row],[Febrero]:[Diciembre]])</f>
        <v>30</v>
      </c>
    </row>
    <row r="13" spans="1:13" x14ac:dyDescent="0.35">
      <c r="A13" s="34" t="s">
        <v>90</v>
      </c>
      <c r="B13" s="30"/>
      <c r="C13" s="30"/>
      <c r="D13" s="30"/>
      <c r="E13" s="30">
        <v>234</v>
      </c>
      <c r="F13" s="30"/>
      <c r="G13" s="30"/>
      <c r="H13" s="30"/>
      <c r="I13" s="30"/>
      <c r="J13" s="30"/>
      <c r="K13" s="30"/>
      <c r="L13" s="35">
        <f>SUM(Tabla4[[#This Row],[Febrero]:[Diciembre]])</f>
        <v>234</v>
      </c>
      <c r="M13" s="35">
        <f>AVERAGE(Tabla4[[#This Row],[Febrero]:[Diciembre]])</f>
        <v>234</v>
      </c>
    </row>
    <row r="14" spans="1:13" x14ac:dyDescent="0.35">
      <c r="A14" s="34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5">
        <f>SUM(Tabla4[[#This Row],[Febrero]:[Diciembre]])</f>
        <v>0</v>
      </c>
      <c r="M14" s="35">
        <v>0</v>
      </c>
    </row>
    <row r="15" spans="1:13" x14ac:dyDescent="0.35">
      <c r="A15" s="34" t="s">
        <v>27</v>
      </c>
      <c r="B15" s="30"/>
      <c r="C15" s="30">
        <v>101</v>
      </c>
      <c r="D15" s="30"/>
      <c r="E15" s="30"/>
      <c r="F15" s="30"/>
      <c r="G15" s="30"/>
      <c r="H15" s="30"/>
      <c r="I15" s="30"/>
      <c r="J15" s="30"/>
      <c r="K15" s="30"/>
      <c r="L15" s="35">
        <f>SUM(Tabla4[[#This Row],[Febrero]:[Diciembre]])</f>
        <v>101</v>
      </c>
      <c r="M15" s="35">
        <f>AVERAGE(Tabla4[[#This Row],[Febrero]:[Diciembre]])</f>
        <v>101</v>
      </c>
    </row>
    <row r="16" spans="1:13" x14ac:dyDescent="0.35">
      <c r="A16" s="34" t="s">
        <v>60</v>
      </c>
      <c r="B16" s="30"/>
      <c r="C16" s="30"/>
      <c r="D16" s="30"/>
      <c r="E16" s="30"/>
      <c r="F16" s="30"/>
      <c r="G16" s="30"/>
      <c r="H16" s="30">
        <v>45</v>
      </c>
      <c r="I16" s="30"/>
      <c r="J16" s="30"/>
      <c r="K16" s="30"/>
      <c r="L16" s="35">
        <f>SUM(Tabla4[[#This Row],[Febrero]:[Diciembre]])</f>
        <v>45</v>
      </c>
      <c r="M16" s="35">
        <f>AVERAGE(Tabla4[[#This Row],[Febrero]:[Diciembre]])</f>
        <v>45</v>
      </c>
    </row>
    <row r="17" spans="1:13" x14ac:dyDescent="0.35">
      <c r="A17" s="34" t="s">
        <v>29</v>
      </c>
      <c r="B17" s="30"/>
      <c r="C17" s="30"/>
      <c r="D17" s="30"/>
      <c r="E17" s="30">
        <v>52</v>
      </c>
      <c r="F17" s="30"/>
      <c r="G17" s="30"/>
      <c r="H17" s="30"/>
      <c r="I17" s="30"/>
      <c r="J17" s="30"/>
      <c r="K17" s="30"/>
      <c r="L17" s="35">
        <f>SUM(Tabla4[[#This Row],[Febrero]:[Diciembre]])</f>
        <v>52</v>
      </c>
      <c r="M17" s="35">
        <f>AVERAGE(Tabla4[[#This Row],[Febrero]:[Diciembre]])</f>
        <v>52</v>
      </c>
    </row>
    <row r="18" spans="1:13" x14ac:dyDescent="0.35">
      <c r="A18" s="34" t="s">
        <v>31</v>
      </c>
      <c r="B18" s="30"/>
      <c r="C18" s="30"/>
      <c r="D18" s="30"/>
      <c r="E18" s="30"/>
      <c r="F18" s="30"/>
      <c r="G18" s="30"/>
      <c r="H18" s="30"/>
      <c r="I18" s="30"/>
      <c r="J18" s="30">
        <v>192</v>
      </c>
      <c r="K18" s="30"/>
      <c r="L18" s="35">
        <f>SUM(Tabla4[[#This Row],[Febrero]:[Diciembre]])</f>
        <v>192</v>
      </c>
      <c r="M18" s="35">
        <f>AVERAGE(Tabla4[[#This Row],[Febrero]:[Diciembre]])</f>
        <v>192</v>
      </c>
    </row>
    <row r="19" spans="1:13" x14ac:dyDescent="0.35">
      <c r="A19" s="34" t="s">
        <v>32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5">
        <f>SUM(Tabla4[[#This Row],[Febrero]:[Diciembre]])</f>
        <v>0</v>
      </c>
      <c r="M19" s="35">
        <v>0</v>
      </c>
    </row>
    <row r="20" spans="1:13" x14ac:dyDescent="0.35">
      <c r="A20" s="34" t="s">
        <v>33</v>
      </c>
      <c r="B20" s="30">
        <v>114</v>
      </c>
      <c r="C20" s="30"/>
      <c r="D20" s="30"/>
      <c r="E20" s="30"/>
      <c r="F20" s="30"/>
      <c r="G20" s="30"/>
      <c r="H20" s="30"/>
      <c r="I20" s="30"/>
      <c r="J20" s="30"/>
      <c r="K20" s="30"/>
      <c r="L20" s="35">
        <f>SUM(Tabla4[[#This Row],[Febrero]:[Diciembre]])</f>
        <v>114</v>
      </c>
      <c r="M20" s="35">
        <f>AVERAGE(Tabla4[[#This Row],[Febrero]:[Diciembre]])</f>
        <v>114</v>
      </c>
    </row>
    <row r="21" spans="1:13" x14ac:dyDescent="0.35">
      <c r="A21" s="34" t="s">
        <v>34</v>
      </c>
      <c r="B21" s="30"/>
      <c r="C21" s="30"/>
      <c r="D21" s="30"/>
      <c r="E21" s="30"/>
      <c r="F21" s="30"/>
      <c r="G21" s="30"/>
      <c r="H21" s="30">
        <v>79</v>
      </c>
      <c r="I21" s="30"/>
      <c r="J21" s="30"/>
      <c r="K21" s="30">
        <v>105</v>
      </c>
      <c r="L21" s="35">
        <f>SUM(Tabla4[[#This Row],[Febrero]:[Diciembre]])</f>
        <v>184</v>
      </c>
      <c r="M21" s="35">
        <f>AVERAGE(Tabla4[[#This Row],[Febrero]:[Diciembre]])</f>
        <v>92</v>
      </c>
    </row>
    <row r="22" spans="1:13" x14ac:dyDescent="0.35">
      <c r="A22" s="34" t="s">
        <v>63</v>
      </c>
      <c r="B22" s="30"/>
      <c r="C22" s="30"/>
      <c r="D22" s="30"/>
      <c r="E22" s="30">
        <v>28</v>
      </c>
      <c r="F22" s="30"/>
      <c r="G22" s="30"/>
      <c r="H22" s="30"/>
      <c r="I22" s="30"/>
      <c r="J22" s="30"/>
      <c r="K22" s="30"/>
      <c r="L22" s="35">
        <f>SUM(Tabla4[[#This Row],[Febrero]:[Diciembre]])</f>
        <v>28</v>
      </c>
      <c r="M22" s="35">
        <f>AVERAGE(Tabla4[[#This Row],[Febrero]:[Diciembre]])</f>
        <v>28</v>
      </c>
    </row>
    <row r="23" spans="1:13" x14ac:dyDescent="0.35">
      <c r="A23" s="34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5">
        <f>SUM(Tabla4[[#This Row],[Febrero]:[Diciembre]])</f>
        <v>0</v>
      </c>
      <c r="M23" s="35">
        <v>0</v>
      </c>
    </row>
    <row r="24" spans="1:13" x14ac:dyDescent="0.35">
      <c r="A24" s="34" t="s">
        <v>39</v>
      </c>
      <c r="B24" s="30"/>
      <c r="C24" s="30">
        <v>19</v>
      </c>
      <c r="D24" s="30">
        <v>137</v>
      </c>
      <c r="E24" s="30"/>
      <c r="F24" s="30"/>
      <c r="G24" s="30"/>
      <c r="H24" s="30"/>
      <c r="I24" s="30"/>
      <c r="J24" s="30"/>
      <c r="K24" s="30">
        <v>99</v>
      </c>
      <c r="L24" s="35">
        <f>SUM(Tabla4[[#This Row],[Febrero]:[Diciembre]])</f>
        <v>255</v>
      </c>
      <c r="M24" s="35">
        <f>AVERAGE(Tabla4[[#This Row],[Febrero]:[Diciembre]])</f>
        <v>85</v>
      </c>
    </row>
    <row r="25" spans="1:13" x14ac:dyDescent="0.35">
      <c r="A25" s="34" t="s">
        <v>40</v>
      </c>
      <c r="B25" s="30"/>
      <c r="C25" s="30"/>
      <c r="D25" s="30">
        <v>42</v>
      </c>
      <c r="E25" s="30"/>
      <c r="F25" s="30"/>
      <c r="G25" s="30">
        <v>81</v>
      </c>
      <c r="H25" s="30"/>
      <c r="I25" s="30"/>
      <c r="J25" s="30"/>
      <c r="K25" s="30">
        <v>179</v>
      </c>
      <c r="L25" s="35">
        <f>SUM(Tabla4[[#This Row],[Febrero]:[Diciembre]])</f>
        <v>302</v>
      </c>
      <c r="M25" s="35">
        <f>AVERAGE(Tabla4[[#This Row],[Febrero]:[Diciembre]])</f>
        <v>100.66666666666667</v>
      </c>
    </row>
    <row r="26" spans="1:13" x14ac:dyDescent="0.35">
      <c r="A26" s="34" t="s">
        <v>41</v>
      </c>
      <c r="B26" s="30"/>
      <c r="C26" s="30"/>
      <c r="D26" s="30"/>
      <c r="E26" s="30"/>
      <c r="F26" s="30"/>
      <c r="G26" s="30">
        <v>69</v>
      </c>
      <c r="H26" s="30"/>
      <c r="I26" s="30"/>
      <c r="J26" s="30"/>
      <c r="K26" s="30"/>
      <c r="L26" s="35">
        <f>SUM(Tabla4[[#This Row],[Febrero]:[Diciembre]])</f>
        <v>69</v>
      </c>
      <c r="M26" s="35">
        <f>AVERAGE(Tabla4[[#This Row],[Febrero]:[Diciembre]])</f>
        <v>69</v>
      </c>
    </row>
    <row r="27" spans="1:13" x14ac:dyDescent="0.35">
      <c r="A27" s="32" t="s">
        <v>91</v>
      </c>
      <c r="B27" s="33">
        <f>SUM(B3:B26)</f>
        <v>553</v>
      </c>
      <c r="C27" s="33">
        <f t="shared" ref="C27:K27" si="0">SUM(C3:C26)</f>
        <v>438</v>
      </c>
      <c r="D27" s="33">
        <f t="shared" si="0"/>
        <v>186</v>
      </c>
      <c r="E27" s="33">
        <f t="shared" si="0"/>
        <v>358</v>
      </c>
      <c r="F27" s="33">
        <f t="shared" si="0"/>
        <v>153</v>
      </c>
      <c r="G27" s="33">
        <f t="shared" si="0"/>
        <v>648</v>
      </c>
      <c r="H27" s="33">
        <f t="shared" si="0"/>
        <v>244</v>
      </c>
      <c r="I27" s="33">
        <f t="shared" si="0"/>
        <v>304</v>
      </c>
      <c r="J27" s="33">
        <f t="shared" si="0"/>
        <v>433</v>
      </c>
      <c r="K27" s="33">
        <f t="shared" si="0"/>
        <v>500</v>
      </c>
      <c r="L27" s="36">
        <f>SUM(Tabla4[[#This Row],[Febrero]:[Diciembre]])</f>
        <v>3817</v>
      </c>
      <c r="M27" s="36">
        <f>SUBTOTAL(109,M3:M26)</f>
        <v>1736.1666666666667</v>
      </c>
    </row>
    <row r="30" spans="1:13" ht="15.5" x14ac:dyDescent="0.35">
      <c r="A30" s="6" t="s">
        <v>92</v>
      </c>
    </row>
    <row r="31" spans="1:13" x14ac:dyDescent="0.35">
      <c r="A31" s="31" t="s">
        <v>2</v>
      </c>
      <c r="B31" s="31" t="s">
        <v>4</v>
      </c>
      <c r="C31" s="31" t="s">
        <v>5</v>
      </c>
      <c r="D31" s="31" t="s">
        <v>6</v>
      </c>
      <c r="E31" s="31" t="s">
        <v>7</v>
      </c>
      <c r="F31" s="31" t="s">
        <v>8</v>
      </c>
      <c r="G31" s="31" t="s">
        <v>9</v>
      </c>
      <c r="H31" s="31" t="s">
        <v>10</v>
      </c>
      <c r="I31" s="31" t="s">
        <v>11</v>
      </c>
      <c r="J31" s="31" t="s">
        <v>12</v>
      </c>
      <c r="K31" s="31" t="s">
        <v>14</v>
      </c>
      <c r="L31" s="46" t="s">
        <v>15</v>
      </c>
      <c r="M31" s="46" t="s">
        <v>67</v>
      </c>
    </row>
    <row r="32" spans="1:13" x14ac:dyDescent="0.35">
      <c r="A32" s="34" t="s">
        <v>17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5">
        <f>SUM(Tabla417[[#This Row],[Febrero]:[Diciembre]])</f>
        <v>0</v>
      </c>
      <c r="M32" s="35" t="e">
        <f>AVERAGE(Tabla417[[#This Row],[Febrero]:[Diciembre]])</f>
        <v>#DIV/0!</v>
      </c>
    </row>
    <row r="33" spans="1:13" x14ac:dyDescent="0.35">
      <c r="A33" s="34" t="s">
        <v>18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5">
        <f>SUM(Tabla417[[#This Row],[Febrero]:[Diciembre]])</f>
        <v>0</v>
      </c>
      <c r="M33" s="35">
        <v>0</v>
      </c>
    </row>
    <row r="34" spans="1:13" x14ac:dyDescent="0.35">
      <c r="A34" s="34" t="s">
        <v>86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5">
        <f>SUM(Tabla417[[#This Row],[Febrero]:[Diciembre]])</f>
        <v>0</v>
      </c>
      <c r="M34" s="35">
        <v>0</v>
      </c>
    </row>
    <row r="35" spans="1:13" x14ac:dyDescent="0.35">
      <c r="A35" s="34" t="s">
        <v>87</v>
      </c>
      <c r="B35" s="30">
        <v>161</v>
      </c>
      <c r="C35" s="30"/>
      <c r="D35" s="30"/>
      <c r="E35" s="30"/>
      <c r="F35" s="30"/>
      <c r="G35" s="30">
        <v>132</v>
      </c>
      <c r="H35" s="30"/>
      <c r="I35" s="30"/>
      <c r="J35" s="30"/>
      <c r="K35" s="30"/>
      <c r="L35" s="35">
        <f>SUM(Tabla417[[#This Row],[Febrero]:[Diciembre]])</f>
        <v>293</v>
      </c>
      <c r="M35" s="35">
        <f>AVERAGE(Tabla417[[#This Row],[Febrero]:[Diciembre]])</f>
        <v>146.5</v>
      </c>
    </row>
    <row r="36" spans="1:13" x14ac:dyDescent="0.35">
      <c r="A36" s="34" t="s">
        <v>88</v>
      </c>
      <c r="B36" s="30">
        <v>92</v>
      </c>
      <c r="C36" s="30">
        <v>60</v>
      </c>
      <c r="D36" s="30"/>
      <c r="E36" s="30"/>
      <c r="F36" s="30"/>
      <c r="G36" s="30"/>
      <c r="H36" s="30"/>
      <c r="I36" s="30"/>
      <c r="J36" s="30"/>
      <c r="K36" s="30"/>
      <c r="L36" s="35">
        <f>SUM(Tabla417[[#This Row],[Febrero]:[Diciembre]])</f>
        <v>152</v>
      </c>
      <c r="M36" s="35">
        <f>AVERAGE(Tabla417[[#This Row],[Febrero]:[Diciembre]])</f>
        <v>76</v>
      </c>
    </row>
    <row r="37" spans="1:13" x14ac:dyDescent="0.35">
      <c r="A37" s="34" t="s">
        <v>21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5">
        <f>SUM(Tabla417[[#This Row],[Febrero]:[Diciembre]])</f>
        <v>0</v>
      </c>
      <c r="M37" s="35" t="e">
        <f>AVERAGE(Tabla417[[#This Row],[Febrero]:[Diciembre]])</f>
        <v>#DIV/0!</v>
      </c>
    </row>
    <row r="38" spans="1:13" x14ac:dyDescent="0.35">
      <c r="A38" s="34" t="s">
        <v>22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5">
        <f>SUM(Tabla417[[#This Row],[Febrero]:[Diciembre]])</f>
        <v>0</v>
      </c>
      <c r="M38" s="35" t="e">
        <f>AVERAGE(Tabla417[[#This Row],[Febrero]:[Diciembre]])</f>
        <v>#DIV/0!</v>
      </c>
    </row>
    <row r="39" spans="1:13" x14ac:dyDescent="0.35">
      <c r="A39" s="34" t="s">
        <v>23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5">
        <f>SUM(Tabla417[[#This Row],[Febrero]:[Diciembre]])</f>
        <v>0</v>
      </c>
      <c r="M39" s="35">
        <v>0</v>
      </c>
    </row>
    <row r="40" spans="1:13" x14ac:dyDescent="0.35">
      <c r="A40" s="34" t="s">
        <v>24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5">
        <f>SUM(Tabla417[[#This Row],[Febrero]:[Diciembre]])</f>
        <v>0</v>
      </c>
      <c r="M40" s="35" t="e">
        <f>AVERAGE(Tabla417[[#This Row],[Febrero]:[Diciembre]])</f>
        <v>#DIV/0!</v>
      </c>
    </row>
    <row r="41" spans="1:13" x14ac:dyDescent="0.35">
      <c r="A41" s="34" t="s">
        <v>89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5">
        <f>SUM(Tabla417[[#This Row],[Febrero]:[Diciembre]])</f>
        <v>0</v>
      </c>
      <c r="M41" s="35" t="e">
        <f>AVERAGE(Tabla417[[#This Row],[Febrero]:[Diciembre]])</f>
        <v>#DIV/0!</v>
      </c>
    </row>
    <row r="42" spans="1:13" x14ac:dyDescent="0.35">
      <c r="A42" s="34" t="s">
        <v>90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5">
        <f>SUM(Tabla417[[#This Row],[Febrero]:[Diciembre]])</f>
        <v>0</v>
      </c>
      <c r="M42" s="35" t="e">
        <f>AVERAGE(Tabla417[[#This Row],[Febrero]:[Diciembre]])</f>
        <v>#DIV/0!</v>
      </c>
    </row>
    <row r="43" spans="1:13" x14ac:dyDescent="0.35">
      <c r="A43" s="34" t="s">
        <v>26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5">
        <f>SUM(Tabla417[[#This Row],[Febrero]:[Diciembre]])</f>
        <v>0</v>
      </c>
      <c r="M43" s="35">
        <v>0</v>
      </c>
    </row>
    <row r="44" spans="1:13" x14ac:dyDescent="0.35">
      <c r="A44" s="34" t="s">
        <v>27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5">
        <f>SUM(Tabla417[[#This Row],[Febrero]:[Diciembre]])</f>
        <v>0</v>
      </c>
      <c r="M44" s="35" t="e">
        <f>AVERAGE(Tabla417[[#This Row],[Febrero]:[Diciembre]])</f>
        <v>#DIV/0!</v>
      </c>
    </row>
    <row r="45" spans="1:13" x14ac:dyDescent="0.35">
      <c r="A45" s="34" t="s">
        <v>60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5">
        <f>SUM(Tabla417[[#This Row],[Febrero]:[Diciembre]])</f>
        <v>0</v>
      </c>
      <c r="M45" s="35" t="e">
        <f>AVERAGE(Tabla417[[#This Row],[Febrero]:[Diciembre]])</f>
        <v>#DIV/0!</v>
      </c>
    </row>
    <row r="46" spans="1:13" x14ac:dyDescent="0.35">
      <c r="A46" s="34" t="s">
        <v>29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5">
        <f>SUM(Tabla417[[#This Row],[Febrero]:[Diciembre]])</f>
        <v>0</v>
      </c>
      <c r="M46" s="35" t="e">
        <f>AVERAGE(Tabla417[[#This Row],[Febrero]:[Diciembre]])</f>
        <v>#DIV/0!</v>
      </c>
    </row>
    <row r="47" spans="1:13" x14ac:dyDescent="0.35">
      <c r="A47" s="34" t="s">
        <v>31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5">
        <f>SUM(Tabla417[[#This Row],[Febrero]:[Diciembre]])</f>
        <v>0</v>
      </c>
      <c r="M47" s="35" t="e">
        <f>AVERAGE(Tabla417[[#This Row],[Febrero]:[Diciembre]])</f>
        <v>#DIV/0!</v>
      </c>
    </row>
    <row r="48" spans="1:13" x14ac:dyDescent="0.35">
      <c r="A48" s="34" t="s">
        <v>32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5">
        <f>SUM(Tabla417[[#This Row],[Febrero]:[Diciembre]])</f>
        <v>0</v>
      </c>
      <c r="M48" s="35">
        <v>0</v>
      </c>
    </row>
    <row r="49" spans="1:13" x14ac:dyDescent="0.35">
      <c r="A49" s="34" t="s">
        <v>33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5">
        <f>SUM(Tabla417[[#This Row],[Febrero]:[Diciembre]])</f>
        <v>0</v>
      </c>
      <c r="M49" s="35" t="e">
        <f>AVERAGE(Tabla417[[#This Row],[Febrero]:[Diciembre]])</f>
        <v>#DIV/0!</v>
      </c>
    </row>
    <row r="50" spans="1:13" x14ac:dyDescent="0.35">
      <c r="A50" s="34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5">
        <f>SUM(Tabla417[[#This Row],[Febrero]:[Diciembre]])</f>
        <v>0</v>
      </c>
      <c r="M50" s="35" t="e">
        <f>AVERAGE(Tabla417[[#This Row],[Febrero]:[Diciembre]])</f>
        <v>#DIV/0!</v>
      </c>
    </row>
    <row r="51" spans="1:13" x14ac:dyDescent="0.35">
      <c r="A51" s="34" t="s">
        <v>63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5">
        <f>SUM(Tabla417[[#This Row],[Febrero]:[Diciembre]])</f>
        <v>0</v>
      </c>
      <c r="M51" s="35" t="e">
        <f>AVERAGE(Tabla417[[#This Row],[Febrero]:[Diciembre]])</f>
        <v>#DIV/0!</v>
      </c>
    </row>
    <row r="52" spans="1:13" x14ac:dyDescent="0.35">
      <c r="A52" s="34" t="s">
        <v>37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5">
        <f>SUM(Tabla417[[#This Row],[Febrero]:[Diciembre]])</f>
        <v>0</v>
      </c>
      <c r="M52" s="35">
        <v>0</v>
      </c>
    </row>
    <row r="53" spans="1:13" x14ac:dyDescent="0.35">
      <c r="A53" s="34" t="s">
        <v>39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5">
        <f>SUM(Tabla417[[#This Row],[Febrero]:[Diciembre]])</f>
        <v>0</v>
      </c>
      <c r="M53" s="35" t="e">
        <f>AVERAGE(Tabla417[[#This Row],[Febrero]:[Diciembre]])</f>
        <v>#DIV/0!</v>
      </c>
    </row>
    <row r="54" spans="1:13" x14ac:dyDescent="0.35">
      <c r="A54" s="34" t="s">
        <v>40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5">
        <f>SUM(Tabla417[[#This Row],[Febrero]:[Diciembre]])</f>
        <v>0</v>
      </c>
      <c r="M54" s="35" t="e">
        <f>AVERAGE(Tabla417[[#This Row],[Febrero]:[Diciembre]])</f>
        <v>#DIV/0!</v>
      </c>
    </row>
    <row r="55" spans="1:13" x14ac:dyDescent="0.35">
      <c r="A55" s="34" t="s">
        <v>41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5">
        <f>SUM(Tabla417[[#This Row],[Febrero]:[Diciembre]])</f>
        <v>0</v>
      </c>
      <c r="M55" s="35" t="e">
        <f>AVERAGE(Tabla417[[#This Row],[Febrero]:[Diciembre]])</f>
        <v>#DIV/0!</v>
      </c>
    </row>
    <row r="56" spans="1:13" x14ac:dyDescent="0.35">
      <c r="A56" s="32" t="s">
        <v>91</v>
      </c>
      <c r="B56" s="33">
        <f>SUM(B32:B55)</f>
        <v>253</v>
      </c>
      <c r="C56" s="33">
        <f t="shared" ref="C56:K56" si="1">SUM(C32:C55)</f>
        <v>60</v>
      </c>
      <c r="D56" s="33">
        <f t="shared" si="1"/>
        <v>0</v>
      </c>
      <c r="E56" s="33">
        <f t="shared" si="1"/>
        <v>0</v>
      </c>
      <c r="F56" s="33">
        <f t="shared" si="1"/>
        <v>0</v>
      </c>
      <c r="G56" s="33">
        <f t="shared" si="1"/>
        <v>132</v>
      </c>
      <c r="H56" s="33">
        <f t="shared" si="1"/>
        <v>0</v>
      </c>
      <c r="I56" s="33">
        <f t="shared" si="1"/>
        <v>0</v>
      </c>
      <c r="J56" s="33">
        <f t="shared" si="1"/>
        <v>0</v>
      </c>
      <c r="K56" s="33">
        <f t="shared" si="1"/>
        <v>0</v>
      </c>
      <c r="L56" s="36">
        <f>SUM(Tabla417[[#This Row],[Febrero]:[Diciembre]])</f>
        <v>445</v>
      </c>
      <c r="M56" s="36" t="e">
        <f>SUBTOTAL(109,M32:M55)</f>
        <v>#DIV/0!</v>
      </c>
    </row>
  </sheetData>
  <pageMargins left="0.7" right="0.7" top="0.75" bottom="0.75" header="0.3" footer="0.3"/>
  <pageSetup orientation="portrait" r:id="rId1"/>
  <headerFooter>
    <oddFooter>&amp;C_x000D_&amp;1#&amp;"Calibri"&amp;10&amp;K008000 DOCUMENTO PÚBLICO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3"/>
  <sheetViews>
    <sheetView topLeftCell="A41" workbookViewId="0">
      <selection activeCell="F55" sqref="F55"/>
    </sheetView>
  </sheetViews>
  <sheetFormatPr baseColWidth="10" defaultColWidth="11.453125" defaultRowHeight="14.5" x14ac:dyDescent="0.35"/>
  <cols>
    <col min="1" max="1" width="17.54296875" customWidth="1"/>
    <col min="2" max="2" width="13.1796875" customWidth="1"/>
    <col min="3" max="3" width="16.1796875" customWidth="1"/>
    <col min="4" max="4" width="16" customWidth="1"/>
    <col min="5" max="5" width="11.81640625" customWidth="1"/>
    <col min="6" max="6" width="9.1796875" customWidth="1"/>
    <col min="7" max="7" width="12.453125" customWidth="1"/>
    <col min="8" max="8" width="12" customWidth="1"/>
    <col min="9" max="10" width="11.81640625" customWidth="1"/>
    <col min="11" max="15" width="14" customWidth="1"/>
    <col min="16" max="16" width="13" customWidth="1"/>
  </cols>
  <sheetData>
    <row r="1" spans="1:17" ht="22.5" customHeight="1" x14ac:dyDescent="0.35">
      <c r="A1" s="193" t="s">
        <v>93</v>
      </c>
      <c r="B1" s="193"/>
      <c r="K1" s="193"/>
      <c r="L1" s="193"/>
    </row>
    <row r="2" spans="1:17" ht="26.5" customHeight="1" x14ac:dyDescent="0.35">
      <c r="A2" s="193" t="s">
        <v>94</v>
      </c>
      <c r="B2" s="193"/>
      <c r="K2" s="193" t="s">
        <v>95</v>
      </c>
      <c r="L2" s="193"/>
    </row>
    <row r="3" spans="1:17" ht="19" customHeight="1" x14ac:dyDescent="0.35">
      <c r="A3" s="194" t="s">
        <v>96</v>
      </c>
      <c r="B3" s="194" t="s">
        <v>6</v>
      </c>
      <c r="C3" s="194" t="s">
        <v>7</v>
      </c>
      <c r="D3" s="194" t="s">
        <v>8</v>
      </c>
      <c r="E3" s="194" t="s">
        <v>9</v>
      </c>
      <c r="F3" s="194" t="s">
        <v>10</v>
      </c>
      <c r="G3" s="194" t="s">
        <v>11</v>
      </c>
      <c r="H3" s="194" t="s">
        <v>12</v>
      </c>
      <c r="I3" s="194" t="s">
        <v>13</v>
      </c>
      <c r="J3" s="194" t="s">
        <v>14</v>
      </c>
      <c r="K3" s="195" t="s">
        <v>97</v>
      </c>
      <c r="L3" s="195" t="s">
        <v>98</v>
      </c>
      <c r="M3" s="195" t="s">
        <v>99</v>
      </c>
      <c r="N3" s="195" t="s">
        <v>100</v>
      </c>
      <c r="O3" s="195" t="s">
        <v>101</v>
      </c>
      <c r="P3" s="196" t="s">
        <v>204</v>
      </c>
      <c r="Q3" s="178"/>
    </row>
    <row r="4" spans="1:17" x14ac:dyDescent="0.35">
      <c r="A4" s="197" t="s">
        <v>86</v>
      </c>
      <c r="B4" s="177"/>
      <c r="C4" s="177">
        <v>1560</v>
      </c>
      <c r="D4" s="177">
        <v>8264</v>
      </c>
      <c r="E4" s="177"/>
      <c r="F4" s="177">
        <v>28</v>
      </c>
      <c r="G4" s="177">
        <v>92</v>
      </c>
      <c r="H4" s="177">
        <v>45</v>
      </c>
      <c r="I4" s="177"/>
      <c r="J4" s="177"/>
      <c r="K4" s="181">
        <v>9989</v>
      </c>
      <c r="L4" s="181">
        <f>K4+J12</f>
        <v>10304</v>
      </c>
      <c r="M4" s="181">
        <f>L4+M21</f>
        <v>10304</v>
      </c>
      <c r="N4" s="181">
        <f>M4+J30</f>
        <v>10667</v>
      </c>
      <c r="O4" s="181">
        <f>N4+N39</f>
        <v>10720</v>
      </c>
      <c r="P4" s="181">
        <f>+Tabla518[[#This Row],[Total 2021]]+N49</f>
        <v>10994</v>
      </c>
      <c r="Q4" s="178"/>
    </row>
    <row r="5" spans="1:17" x14ac:dyDescent="0.35">
      <c r="A5" s="197" t="s">
        <v>102</v>
      </c>
      <c r="B5" s="177">
        <v>2316</v>
      </c>
      <c r="C5" s="177">
        <v>26676</v>
      </c>
      <c r="D5" s="177">
        <v>22286</v>
      </c>
      <c r="E5" s="177"/>
      <c r="F5" s="177">
        <v>397</v>
      </c>
      <c r="G5" s="177">
        <v>6</v>
      </c>
      <c r="H5" s="177">
        <v>488</v>
      </c>
      <c r="I5" s="177">
        <v>386</v>
      </c>
      <c r="J5" s="177">
        <v>414</v>
      </c>
      <c r="K5" s="181">
        <v>52969</v>
      </c>
      <c r="L5" s="181">
        <f>K5+J13</f>
        <v>54848</v>
      </c>
      <c r="M5" s="181">
        <f>L5+M22</f>
        <v>57191</v>
      </c>
      <c r="N5" s="181">
        <f>M5+J31</f>
        <v>63138</v>
      </c>
      <c r="O5" s="181">
        <f>N5+N40</f>
        <v>66256</v>
      </c>
      <c r="P5" s="181">
        <f>+Tabla518[[#This Row],[Total 2021]]+N50</f>
        <v>68302</v>
      </c>
      <c r="Q5" s="178"/>
    </row>
    <row r="6" spans="1:17" x14ac:dyDescent="0.35">
      <c r="A6" s="197" t="s">
        <v>23</v>
      </c>
      <c r="B6" s="177"/>
      <c r="C6" s="177">
        <v>2868</v>
      </c>
      <c r="D6" s="177">
        <v>7856</v>
      </c>
      <c r="E6" s="177">
        <v>359</v>
      </c>
      <c r="F6" s="177"/>
      <c r="G6" s="177"/>
      <c r="H6" s="177">
        <v>497</v>
      </c>
      <c r="I6" s="177">
        <v>192</v>
      </c>
      <c r="J6" s="177">
        <v>106</v>
      </c>
      <c r="K6" s="181">
        <v>11878</v>
      </c>
      <c r="L6" s="181">
        <f>K6+J14</f>
        <v>12907</v>
      </c>
      <c r="M6" s="181">
        <f>L6+M23</f>
        <v>14635</v>
      </c>
      <c r="N6" s="181">
        <f>M6+J32</f>
        <v>14978</v>
      </c>
      <c r="O6" s="181">
        <f>N6+N41</f>
        <v>15352</v>
      </c>
      <c r="P6" s="181">
        <f>+Tabla518[[#This Row],[Total 2021]]+N51</f>
        <v>15973</v>
      </c>
      <c r="Q6" s="178"/>
    </row>
    <row r="7" spans="1:17" x14ac:dyDescent="0.35">
      <c r="A7" s="197" t="s">
        <v>29</v>
      </c>
      <c r="B7" s="177"/>
      <c r="C7" s="177">
        <v>4812</v>
      </c>
      <c r="D7" s="177">
        <v>8194</v>
      </c>
      <c r="E7" s="177"/>
      <c r="F7" s="177"/>
      <c r="G7" s="177">
        <v>80</v>
      </c>
      <c r="H7" s="177">
        <v>47</v>
      </c>
      <c r="I7" s="177">
        <v>310</v>
      </c>
      <c r="J7" s="177"/>
      <c r="K7" s="181">
        <v>13443</v>
      </c>
      <c r="L7" s="181">
        <f>K7+J15</f>
        <v>13734</v>
      </c>
      <c r="M7" s="181">
        <f>L7+M24</f>
        <v>14148</v>
      </c>
      <c r="N7" s="181">
        <f>M7+J33</f>
        <v>14261</v>
      </c>
      <c r="O7" s="181">
        <f>N7+N42</f>
        <v>14533</v>
      </c>
      <c r="P7" s="181">
        <f>+Tabla518[[#This Row],[Total 2021]]+N52</f>
        <v>14951</v>
      </c>
      <c r="Q7" s="178"/>
    </row>
    <row r="8" spans="1:17" x14ac:dyDescent="0.35">
      <c r="A8" s="198" t="s">
        <v>103</v>
      </c>
      <c r="B8" s="199">
        <f>SUM(B4:B7)</f>
        <v>2316</v>
      </c>
      <c r="C8" s="199">
        <f>SUM(C4:C7)</f>
        <v>35916</v>
      </c>
      <c r="D8" s="199">
        <f>SUM(D4:D7)</f>
        <v>46600</v>
      </c>
      <c r="E8" s="199">
        <f>SUM(E4:E7)</f>
        <v>359</v>
      </c>
      <c r="F8" s="199">
        <f>SUM(F4:F7)</f>
        <v>425</v>
      </c>
      <c r="G8" s="199">
        <f>SUM(G4:G7)</f>
        <v>178</v>
      </c>
      <c r="H8" s="199">
        <f>SUM(H4:H7)</f>
        <v>1077</v>
      </c>
      <c r="I8" s="199">
        <f>SUM(I4:I7)</f>
        <v>888</v>
      </c>
      <c r="J8" s="199">
        <f>SUM(J4:J7)</f>
        <v>520</v>
      </c>
      <c r="K8" s="200">
        <f>SUM(K4:K7)</f>
        <v>88279</v>
      </c>
      <c r="L8" s="200">
        <f>SUM(L4:L7)</f>
        <v>91793</v>
      </c>
      <c r="M8" s="200">
        <f>SUM(M4:M7)</f>
        <v>96278</v>
      </c>
      <c r="N8" s="200">
        <f>SUM(N4:N7)</f>
        <v>103044</v>
      </c>
      <c r="O8" s="200">
        <f>SUM(O4:O7)</f>
        <v>106861</v>
      </c>
      <c r="P8" s="200">
        <f>SUM(P4:P7)</f>
        <v>110220</v>
      </c>
      <c r="Q8" s="178"/>
    </row>
    <row r="9" spans="1:17" x14ac:dyDescent="0.35">
      <c r="A9" s="197"/>
      <c r="B9" s="178"/>
      <c r="C9" s="178"/>
      <c r="D9" s="178"/>
      <c r="E9" s="178"/>
      <c r="F9" s="178"/>
      <c r="G9" s="178"/>
      <c r="H9" s="178"/>
      <c r="I9" s="178"/>
      <c r="J9" s="178"/>
      <c r="K9" s="222"/>
      <c r="L9" s="222"/>
      <c r="M9" s="222"/>
      <c r="N9" s="222"/>
      <c r="O9" s="222"/>
      <c r="P9" s="222"/>
      <c r="Q9" s="178"/>
    </row>
    <row r="10" spans="1:17" ht="22" customHeight="1" x14ac:dyDescent="0.35">
      <c r="A10" s="201" t="s">
        <v>104</v>
      </c>
      <c r="B10" s="201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spans="1:17" ht="19.5" customHeight="1" x14ac:dyDescent="0.35">
      <c r="A11" s="194" t="s">
        <v>96</v>
      </c>
      <c r="B11" s="194" t="s">
        <v>3</v>
      </c>
      <c r="C11" s="194" t="s">
        <v>4</v>
      </c>
      <c r="D11" s="194" t="s">
        <v>6</v>
      </c>
      <c r="E11" s="194" t="s">
        <v>8</v>
      </c>
      <c r="F11" s="194" t="s">
        <v>10</v>
      </c>
      <c r="G11" s="194" t="s">
        <v>12</v>
      </c>
      <c r="H11" s="194" t="s">
        <v>13</v>
      </c>
      <c r="I11" s="194" t="s">
        <v>14</v>
      </c>
      <c r="J11" s="202" t="s">
        <v>105</v>
      </c>
      <c r="K11" s="178"/>
      <c r="L11" s="178"/>
      <c r="M11" s="178"/>
      <c r="N11" s="178"/>
      <c r="O11" s="178"/>
      <c r="P11" s="178"/>
      <c r="Q11" s="178"/>
    </row>
    <row r="12" spans="1:17" x14ac:dyDescent="0.35">
      <c r="A12" s="197" t="s">
        <v>86</v>
      </c>
      <c r="B12" s="177"/>
      <c r="C12" s="177"/>
      <c r="D12" s="177"/>
      <c r="E12" s="177">
        <v>62</v>
      </c>
      <c r="F12" s="177"/>
      <c r="G12" s="177"/>
      <c r="H12" s="177">
        <v>253</v>
      </c>
      <c r="I12" s="177"/>
      <c r="J12" s="203">
        <v>315</v>
      </c>
      <c r="K12" s="178"/>
      <c r="L12" s="178"/>
      <c r="M12" s="178"/>
      <c r="N12" s="178"/>
      <c r="O12" s="178"/>
      <c r="P12" s="178"/>
      <c r="Q12" s="178"/>
    </row>
    <row r="13" spans="1:17" x14ac:dyDescent="0.35">
      <c r="A13" s="197" t="s">
        <v>102</v>
      </c>
      <c r="B13" s="177">
        <v>1053</v>
      </c>
      <c r="C13" s="177">
        <v>465</v>
      </c>
      <c r="D13" s="177"/>
      <c r="E13" s="177">
        <v>139</v>
      </c>
      <c r="F13" s="177">
        <v>87</v>
      </c>
      <c r="G13" s="177"/>
      <c r="H13" s="177">
        <v>57</v>
      </c>
      <c r="I13" s="177">
        <v>78</v>
      </c>
      <c r="J13" s="203">
        <v>1879</v>
      </c>
      <c r="K13" s="178"/>
      <c r="L13" s="178"/>
      <c r="M13" s="178"/>
      <c r="N13" s="178"/>
      <c r="O13" s="178"/>
      <c r="P13" s="178"/>
      <c r="Q13" s="178"/>
    </row>
    <row r="14" spans="1:17" x14ac:dyDescent="0.35">
      <c r="A14" s="197" t="s">
        <v>23</v>
      </c>
      <c r="B14" s="177">
        <v>353</v>
      </c>
      <c r="C14" s="177"/>
      <c r="D14" s="177"/>
      <c r="E14" s="177">
        <v>360</v>
      </c>
      <c r="F14" s="177">
        <v>80</v>
      </c>
      <c r="G14" s="177">
        <v>127</v>
      </c>
      <c r="H14" s="177">
        <v>40</v>
      </c>
      <c r="I14" s="177">
        <v>69</v>
      </c>
      <c r="J14" s="203">
        <v>1029</v>
      </c>
      <c r="K14" s="178"/>
      <c r="L14" s="178"/>
      <c r="M14" s="178"/>
      <c r="N14" s="178"/>
      <c r="O14" s="178"/>
      <c r="P14" s="178"/>
      <c r="Q14" s="178"/>
    </row>
    <row r="15" spans="1:17" x14ac:dyDescent="0.35">
      <c r="A15" s="197" t="s">
        <v>29</v>
      </c>
      <c r="B15" s="177"/>
      <c r="C15" s="177"/>
      <c r="D15" s="177">
        <v>60</v>
      </c>
      <c r="E15" s="177">
        <v>121</v>
      </c>
      <c r="F15" s="177"/>
      <c r="G15" s="177"/>
      <c r="H15" s="177"/>
      <c r="I15" s="177">
        <v>110</v>
      </c>
      <c r="J15" s="203">
        <v>291</v>
      </c>
      <c r="K15" s="178"/>
      <c r="L15" s="178"/>
      <c r="M15" s="178"/>
      <c r="N15" s="178"/>
      <c r="O15" s="178"/>
      <c r="P15" s="178"/>
      <c r="Q15" s="178"/>
    </row>
    <row r="16" spans="1:17" x14ac:dyDescent="0.35">
      <c r="A16" s="198" t="s">
        <v>103</v>
      </c>
      <c r="B16" s="199">
        <v>1406</v>
      </c>
      <c r="C16" s="199">
        <v>465</v>
      </c>
      <c r="D16" s="199">
        <v>60</v>
      </c>
      <c r="E16" s="199">
        <v>682</v>
      </c>
      <c r="F16" s="199">
        <v>167</v>
      </c>
      <c r="G16" s="199">
        <v>127</v>
      </c>
      <c r="H16" s="199">
        <v>350</v>
      </c>
      <c r="I16" s="199">
        <v>257</v>
      </c>
      <c r="J16" s="204">
        <v>3514</v>
      </c>
      <c r="K16" s="178"/>
      <c r="L16" s="178"/>
      <c r="M16" s="178"/>
      <c r="N16" s="178"/>
      <c r="O16" s="178"/>
      <c r="P16" s="178"/>
      <c r="Q16" s="178"/>
    </row>
    <row r="17" spans="1:17" x14ac:dyDescent="0.35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</row>
    <row r="18" spans="1:17" x14ac:dyDescent="0.35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</row>
    <row r="19" spans="1:17" ht="24.65" customHeight="1" x14ac:dyDescent="0.35">
      <c r="A19" s="201" t="s">
        <v>106</v>
      </c>
      <c r="B19" s="201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</row>
    <row r="20" spans="1:17" x14ac:dyDescent="0.35">
      <c r="A20" s="205" t="s">
        <v>96</v>
      </c>
      <c r="B20" s="205" t="s">
        <v>4</v>
      </c>
      <c r="C20" s="205" t="s">
        <v>5</v>
      </c>
      <c r="D20" s="205" t="s">
        <v>6</v>
      </c>
      <c r="E20" s="205" t="s">
        <v>7</v>
      </c>
      <c r="F20" s="205" t="s">
        <v>8</v>
      </c>
      <c r="G20" s="205" t="s">
        <v>9</v>
      </c>
      <c r="H20" s="205" t="s">
        <v>10</v>
      </c>
      <c r="I20" s="205" t="s">
        <v>11</v>
      </c>
      <c r="J20" s="205" t="s">
        <v>12</v>
      </c>
      <c r="K20" s="205" t="s">
        <v>13</v>
      </c>
      <c r="L20" s="205" t="s">
        <v>14</v>
      </c>
      <c r="M20" s="206" t="s">
        <v>105</v>
      </c>
      <c r="N20" s="178"/>
      <c r="O20" s="178"/>
      <c r="P20" s="178"/>
      <c r="Q20" s="178"/>
    </row>
    <row r="21" spans="1:17" x14ac:dyDescent="0.35">
      <c r="A21" s="197" t="s">
        <v>86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207">
        <f>SUM(B21:L21)</f>
        <v>0</v>
      </c>
      <c r="N21" s="178"/>
      <c r="O21" s="178"/>
      <c r="P21" s="178"/>
      <c r="Q21" s="178"/>
    </row>
    <row r="22" spans="1:17" x14ac:dyDescent="0.35">
      <c r="A22" s="197" t="s">
        <v>102</v>
      </c>
      <c r="B22" s="177"/>
      <c r="C22" s="177">
        <v>111</v>
      </c>
      <c r="D22" s="177">
        <v>108</v>
      </c>
      <c r="E22" s="177">
        <v>908</v>
      </c>
      <c r="F22" s="177"/>
      <c r="G22" s="177">
        <v>301</v>
      </c>
      <c r="H22" s="177">
        <v>429</v>
      </c>
      <c r="I22" s="177"/>
      <c r="J22" s="177">
        <v>164</v>
      </c>
      <c r="K22" s="177">
        <v>81</v>
      </c>
      <c r="L22" s="177">
        <v>241</v>
      </c>
      <c r="M22" s="207">
        <f>SUM(B22:L22)</f>
        <v>2343</v>
      </c>
      <c r="N22" s="178"/>
      <c r="O22" s="178"/>
      <c r="P22" s="178"/>
      <c r="Q22" s="178"/>
    </row>
    <row r="23" spans="1:17" x14ac:dyDescent="0.35">
      <c r="A23" s="197" t="s">
        <v>23</v>
      </c>
      <c r="B23" s="177">
        <v>182</v>
      </c>
      <c r="C23" s="177">
        <v>254</v>
      </c>
      <c r="D23" s="177">
        <v>344</v>
      </c>
      <c r="E23" s="177">
        <v>397</v>
      </c>
      <c r="F23" s="177">
        <v>100</v>
      </c>
      <c r="G23" s="177">
        <v>124</v>
      </c>
      <c r="H23" s="177"/>
      <c r="I23" s="177">
        <v>38</v>
      </c>
      <c r="J23" s="177"/>
      <c r="K23" s="177">
        <v>289</v>
      </c>
      <c r="L23" s="177"/>
      <c r="M23" s="207">
        <f>SUM(B23:L23)</f>
        <v>1728</v>
      </c>
      <c r="N23" s="178"/>
      <c r="O23" s="178"/>
      <c r="P23" s="178"/>
      <c r="Q23" s="178"/>
    </row>
    <row r="24" spans="1:17" x14ac:dyDescent="0.35">
      <c r="A24" s="197" t="s">
        <v>29</v>
      </c>
      <c r="B24" s="177"/>
      <c r="C24" s="177">
        <v>57</v>
      </c>
      <c r="D24" s="177"/>
      <c r="E24" s="177">
        <v>58</v>
      </c>
      <c r="F24" s="177"/>
      <c r="G24" s="177"/>
      <c r="H24" s="177">
        <v>131</v>
      </c>
      <c r="I24" s="177">
        <v>110</v>
      </c>
      <c r="J24" s="177"/>
      <c r="K24" s="177">
        <v>58</v>
      </c>
      <c r="L24" s="177"/>
      <c r="M24" s="207">
        <f>SUM(B24:L24)</f>
        <v>414</v>
      </c>
      <c r="N24" s="178"/>
      <c r="O24" s="178"/>
      <c r="P24" s="178"/>
      <c r="Q24" s="178"/>
    </row>
    <row r="25" spans="1:17" x14ac:dyDescent="0.35">
      <c r="A25" s="198" t="s">
        <v>103</v>
      </c>
      <c r="B25" s="199">
        <f>SUM(B21:B24)</f>
        <v>182</v>
      </c>
      <c r="C25" s="199">
        <f>SUM(C21:C24)</f>
        <v>422</v>
      </c>
      <c r="D25" s="199">
        <f>SUM(D21:D24)</f>
        <v>452</v>
      </c>
      <c r="E25" s="199">
        <f>SUM(E21:E24)</f>
        <v>1363</v>
      </c>
      <c r="F25" s="199">
        <f>SUM(F21:F24)</f>
        <v>100</v>
      </c>
      <c r="G25" s="199">
        <f>SUM(G21:G24)</f>
        <v>425</v>
      </c>
      <c r="H25" s="199">
        <f>SUM(H21:H24)</f>
        <v>560</v>
      </c>
      <c r="I25" s="199">
        <f>SUM(I21:I24)</f>
        <v>148</v>
      </c>
      <c r="J25" s="199">
        <f>SUM(J21:J24)</f>
        <v>164</v>
      </c>
      <c r="K25" s="199">
        <f>SUM(K21:K24)</f>
        <v>428</v>
      </c>
      <c r="L25" s="199">
        <f>SUM(L21:L24)</f>
        <v>241</v>
      </c>
      <c r="M25" s="208">
        <f>SUM(M21:M24)</f>
        <v>4485</v>
      </c>
      <c r="N25" s="178"/>
      <c r="O25" s="178"/>
      <c r="P25" s="178"/>
      <c r="Q25" s="178"/>
    </row>
    <row r="26" spans="1:17" x14ac:dyDescent="0.3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</row>
    <row r="27" spans="1:17" x14ac:dyDescent="0.3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</row>
    <row r="28" spans="1:17" ht="21.65" customHeight="1" x14ac:dyDescent="0.35">
      <c r="A28" s="201" t="s">
        <v>107</v>
      </c>
      <c r="B28" s="201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</row>
    <row r="29" spans="1:17" x14ac:dyDescent="0.35">
      <c r="A29" s="205" t="s">
        <v>96</v>
      </c>
      <c r="B29" s="205" t="s">
        <v>3</v>
      </c>
      <c r="C29" s="205" t="s">
        <v>5</v>
      </c>
      <c r="D29" s="205" t="s">
        <v>7</v>
      </c>
      <c r="E29" s="205" t="s">
        <v>8</v>
      </c>
      <c r="F29" s="205" t="s">
        <v>9</v>
      </c>
      <c r="G29" s="205" t="s">
        <v>11</v>
      </c>
      <c r="H29" s="205" t="s">
        <v>12</v>
      </c>
      <c r="I29" s="205" t="s">
        <v>13</v>
      </c>
      <c r="J29" s="206" t="s">
        <v>105</v>
      </c>
      <c r="K29" s="178"/>
      <c r="L29" s="178"/>
      <c r="M29" s="178"/>
      <c r="N29" s="178"/>
      <c r="O29" s="178"/>
      <c r="P29" s="178"/>
      <c r="Q29" s="178"/>
    </row>
    <row r="30" spans="1:17" x14ac:dyDescent="0.35">
      <c r="A30" s="197" t="s">
        <v>86</v>
      </c>
      <c r="B30" s="177">
        <v>139</v>
      </c>
      <c r="C30" s="177">
        <v>224</v>
      </c>
      <c r="D30" s="177"/>
      <c r="E30" s="177"/>
      <c r="F30" s="177"/>
      <c r="G30" s="177"/>
      <c r="H30" s="177"/>
      <c r="I30" s="177"/>
      <c r="J30" s="207">
        <f>SUM(B30:I30)</f>
        <v>363</v>
      </c>
      <c r="K30" s="178"/>
      <c r="L30" s="178"/>
      <c r="M30" s="178"/>
      <c r="N30" s="178"/>
      <c r="O30" s="178"/>
      <c r="P30" s="178"/>
      <c r="Q30" s="178"/>
    </row>
    <row r="31" spans="1:17" x14ac:dyDescent="0.35">
      <c r="A31" s="197" t="s">
        <v>102</v>
      </c>
      <c r="B31" s="177">
        <v>192</v>
      </c>
      <c r="C31" s="177">
        <v>560</v>
      </c>
      <c r="D31" s="177">
        <v>904</v>
      </c>
      <c r="E31" s="177">
        <v>2653</v>
      </c>
      <c r="F31" s="177">
        <v>826</v>
      </c>
      <c r="G31" s="177">
        <v>505</v>
      </c>
      <c r="H31" s="177">
        <v>30</v>
      </c>
      <c r="I31" s="177">
        <v>277</v>
      </c>
      <c r="J31" s="207">
        <f>SUM(B31:I31)</f>
        <v>5947</v>
      </c>
      <c r="K31" s="178"/>
      <c r="L31" s="178"/>
      <c r="M31" s="178"/>
      <c r="N31" s="178"/>
      <c r="O31" s="178"/>
      <c r="P31" s="178"/>
      <c r="Q31" s="178"/>
    </row>
    <row r="32" spans="1:17" x14ac:dyDescent="0.35">
      <c r="A32" s="197" t="s">
        <v>23</v>
      </c>
      <c r="B32" s="177"/>
      <c r="C32" s="177">
        <v>50</v>
      </c>
      <c r="D32" s="177"/>
      <c r="E32" s="177">
        <v>101</v>
      </c>
      <c r="F32" s="177"/>
      <c r="G32" s="177">
        <v>95</v>
      </c>
      <c r="H32" s="177"/>
      <c r="I32" s="177">
        <v>97</v>
      </c>
      <c r="J32" s="207">
        <f>SUM(B32:I32)</f>
        <v>343</v>
      </c>
      <c r="K32" s="178"/>
      <c r="L32" s="178"/>
      <c r="M32" s="178"/>
      <c r="N32" s="178"/>
      <c r="O32" s="178"/>
      <c r="P32" s="178"/>
      <c r="Q32" s="178"/>
    </row>
    <row r="33" spans="1:17" x14ac:dyDescent="0.35">
      <c r="A33" s="197" t="s">
        <v>29</v>
      </c>
      <c r="B33" s="177"/>
      <c r="C33" s="177">
        <v>113</v>
      </c>
      <c r="D33" s="177"/>
      <c r="E33" s="177"/>
      <c r="F33" s="177"/>
      <c r="G33" s="177"/>
      <c r="H33" s="177"/>
      <c r="I33" s="177"/>
      <c r="J33" s="207">
        <f>SUM(B33:I33)</f>
        <v>113</v>
      </c>
      <c r="K33" s="178"/>
      <c r="L33" s="178"/>
      <c r="M33" s="178"/>
      <c r="N33" s="178"/>
      <c r="O33" s="178"/>
      <c r="P33" s="178"/>
      <c r="Q33" s="178"/>
    </row>
    <row r="34" spans="1:17" x14ac:dyDescent="0.35">
      <c r="A34" s="198" t="s">
        <v>103</v>
      </c>
      <c r="B34" s="199">
        <f>SUM(B30:B33)</f>
        <v>331</v>
      </c>
      <c r="C34" s="199">
        <f>SUM(C30:C33)</f>
        <v>947</v>
      </c>
      <c r="D34" s="199">
        <f>SUM(D30:D33)</f>
        <v>904</v>
      </c>
      <c r="E34" s="199">
        <f>SUM(E30:E33)</f>
        <v>2754</v>
      </c>
      <c r="F34" s="199">
        <f>SUM(F30:F33)</f>
        <v>826</v>
      </c>
      <c r="G34" s="199">
        <f>SUM(G30:G33)</f>
        <v>600</v>
      </c>
      <c r="H34" s="199">
        <f>SUM(H30:H33)</f>
        <v>30</v>
      </c>
      <c r="I34" s="199">
        <f>SUM(I30:I33)</f>
        <v>374</v>
      </c>
      <c r="J34" s="208">
        <f>SUM(J30:J33)</f>
        <v>6766</v>
      </c>
      <c r="K34" s="178"/>
      <c r="L34" s="178"/>
      <c r="M34" s="178"/>
      <c r="N34" s="178"/>
      <c r="O34" s="178"/>
      <c r="P34" s="178"/>
      <c r="Q34" s="178"/>
    </row>
    <row r="35" spans="1:17" x14ac:dyDescent="0.3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</row>
    <row r="36" spans="1:17" x14ac:dyDescent="0.3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</row>
    <row r="37" spans="1:17" ht="22" customHeight="1" x14ac:dyDescent="0.35">
      <c r="A37" s="201" t="s">
        <v>108</v>
      </c>
      <c r="B37" s="201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</row>
    <row r="38" spans="1:17" x14ac:dyDescent="0.35">
      <c r="A38" s="205" t="s">
        <v>96</v>
      </c>
      <c r="B38" s="205" t="s">
        <v>3</v>
      </c>
      <c r="C38" s="205" t="s">
        <v>4</v>
      </c>
      <c r="D38" s="205" t="s">
        <v>5</v>
      </c>
      <c r="E38" s="205" t="s">
        <v>6</v>
      </c>
      <c r="F38" s="205" t="s">
        <v>7</v>
      </c>
      <c r="G38" s="205" t="s">
        <v>8</v>
      </c>
      <c r="H38" s="205" t="s">
        <v>9</v>
      </c>
      <c r="I38" s="205" t="s">
        <v>10</v>
      </c>
      <c r="J38" s="205" t="s">
        <v>11</v>
      </c>
      <c r="K38" s="205" t="s">
        <v>12</v>
      </c>
      <c r="L38" s="205" t="s">
        <v>13</v>
      </c>
      <c r="M38" s="205" t="s">
        <v>14</v>
      </c>
      <c r="N38" s="202" t="s">
        <v>105</v>
      </c>
      <c r="O38" s="178"/>
      <c r="P38" s="178"/>
      <c r="Q38" s="178"/>
    </row>
    <row r="39" spans="1:17" x14ac:dyDescent="0.35">
      <c r="A39" s="197" t="s">
        <v>86</v>
      </c>
      <c r="B39" s="177"/>
      <c r="C39" s="177"/>
      <c r="D39" s="177"/>
      <c r="E39" s="177"/>
      <c r="F39" s="177">
        <v>53</v>
      </c>
      <c r="G39" s="177"/>
      <c r="H39" s="177"/>
      <c r="I39" s="177"/>
      <c r="J39" s="177"/>
      <c r="K39" s="177"/>
      <c r="L39" s="177"/>
      <c r="M39" s="177"/>
      <c r="N39" s="207">
        <f>SUM(B39:M39)</f>
        <v>53</v>
      </c>
      <c r="O39" s="178"/>
      <c r="P39" s="178"/>
      <c r="Q39" s="178"/>
    </row>
    <row r="40" spans="1:17" x14ac:dyDescent="0.35">
      <c r="A40" s="197" t="s">
        <v>102</v>
      </c>
      <c r="B40" s="177">
        <v>100</v>
      </c>
      <c r="C40" s="177">
        <v>339</v>
      </c>
      <c r="D40" s="177">
        <v>548</v>
      </c>
      <c r="E40" s="177">
        <v>234</v>
      </c>
      <c r="F40" s="177">
        <v>144</v>
      </c>
      <c r="G40" s="177">
        <v>498</v>
      </c>
      <c r="H40" s="177">
        <v>270</v>
      </c>
      <c r="I40" s="177">
        <v>45</v>
      </c>
      <c r="J40" s="177">
        <v>304</v>
      </c>
      <c r="K40" s="177">
        <v>241</v>
      </c>
      <c r="L40" s="177">
        <v>176</v>
      </c>
      <c r="M40" s="177">
        <v>219</v>
      </c>
      <c r="N40" s="207">
        <f>SUM(B40:M40)</f>
        <v>3118</v>
      </c>
      <c r="O40" s="178"/>
      <c r="P40" s="178"/>
      <c r="Q40" s="178"/>
    </row>
    <row r="41" spans="1:17" x14ac:dyDescent="0.35">
      <c r="A41" s="197" t="s">
        <v>23</v>
      </c>
      <c r="B41" s="177">
        <v>114</v>
      </c>
      <c r="C41" s="177">
        <v>76</v>
      </c>
      <c r="D41" s="177"/>
      <c r="E41" s="177"/>
      <c r="F41" s="177"/>
      <c r="G41" s="177"/>
      <c r="H41" s="177">
        <v>79</v>
      </c>
      <c r="I41" s="177"/>
      <c r="J41" s="177"/>
      <c r="K41" s="177"/>
      <c r="L41" s="177"/>
      <c r="M41" s="177">
        <v>105</v>
      </c>
      <c r="N41" s="207">
        <f>SUM(B41:M41)</f>
        <v>374</v>
      </c>
      <c r="O41" s="178"/>
      <c r="P41" s="178"/>
      <c r="Q41" s="178"/>
    </row>
    <row r="42" spans="1:17" x14ac:dyDescent="0.35">
      <c r="A42" s="197" t="s">
        <v>29</v>
      </c>
      <c r="B42" s="177"/>
      <c r="C42" s="177"/>
      <c r="D42" s="177"/>
      <c r="E42" s="177">
        <v>28</v>
      </c>
      <c r="F42" s="177">
        <v>52</v>
      </c>
      <c r="G42" s="177"/>
      <c r="H42" s="177"/>
      <c r="I42" s="177"/>
      <c r="J42" s="177"/>
      <c r="K42" s="177">
        <v>192</v>
      </c>
      <c r="L42" s="177"/>
      <c r="M42" s="177"/>
      <c r="N42" s="207">
        <f>SUM(B42:M42)</f>
        <v>272</v>
      </c>
      <c r="O42" s="178"/>
      <c r="P42" s="178"/>
      <c r="Q42" s="178"/>
    </row>
    <row r="43" spans="1:17" x14ac:dyDescent="0.35">
      <c r="A43" s="209" t="s">
        <v>103</v>
      </c>
      <c r="B43" s="210">
        <v>214</v>
      </c>
      <c r="C43" s="210">
        <v>415</v>
      </c>
      <c r="D43" s="210">
        <v>548</v>
      </c>
      <c r="E43" s="210">
        <v>262</v>
      </c>
      <c r="F43" s="210">
        <v>249</v>
      </c>
      <c r="G43" s="210">
        <v>498</v>
      </c>
      <c r="H43" s="210">
        <v>349</v>
      </c>
      <c r="I43" s="210">
        <v>45</v>
      </c>
      <c r="J43" s="210">
        <v>304</v>
      </c>
      <c r="K43" s="210">
        <v>433</v>
      </c>
      <c r="L43" s="210">
        <v>176</v>
      </c>
      <c r="M43" s="210">
        <v>324</v>
      </c>
      <c r="N43" s="211">
        <f>SUM(N39:N42)</f>
        <v>3817</v>
      </c>
      <c r="O43" s="178"/>
      <c r="P43" s="178"/>
      <c r="Q43" s="178"/>
    </row>
    <row r="44" spans="1:17" x14ac:dyDescent="0.35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</row>
    <row r="45" spans="1:17" x14ac:dyDescent="0.3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</row>
    <row r="46" spans="1:17" ht="26.15" customHeight="1" x14ac:dyDescent="0.35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</row>
    <row r="47" spans="1:17" ht="15.5" x14ac:dyDescent="0.35">
      <c r="A47" s="201" t="s">
        <v>203</v>
      </c>
      <c r="B47" s="201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</row>
    <row r="48" spans="1:17" x14ac:dyDescent="0.35">
      <c r="A48" s="205" t="s">
        <v>96</v>
      </c>
      <c r="B48" s="205" t="s">
        <v>3</v>
      </c>
      <c r="C48" s="205" t="s">
        <v>4</v>
      </c>
      <c r="D48" s="205" t="s">
        <v>5</v>
      </c>
      <c r="E48" s="205" t="s">
        <v>6</v>
      </c>
      <c r="F48" s="205" t="s">
        <v>7</v>
      </c>
      <c r="G48" s="205" t="s">
        <v>8</v>
      </c>
      <c r="H48" s="205" t="s">
        <v>9</v>
      </c>
      <c r="I48" s="205" t="s">
        <v>10</v>
      </c>
      <c r="J48" s="205" t="s">
        <v>11</v>
      </c>
      <c r="K48" s="205" t="s">
        <v>12</v>
      </c>
      <c r="L48" s="205" t="s">
        <v>13</v>
      </c>
      <c r="M48" s="205" t="s">
        <v>14</v>
      </c>
      <c r="N48" s="202" t="s">
        <v>105</v>
      </c>
      <c r="O48" s="178"/>
      <c r="P48" s="178"/>
      <c r="Q48" s="178"/>
    </row>
    <row r="49" spans="1:17" x14ac:dyDescent="0.35">
      <c r="A49" s="197" t="s">
        <v>86</v>
      </c>
      <c r="B49" s="177"/>
      <c r="C49" s="177"/>
      <c r="D49" s="177"/>
      <c r="E49" s="177"/>
      <c r="F49" s="177"/>
      <c r="G49" s="177"/>
      <c r="H49" s="177"/>
      <c r="I49" s="177"/>
      <c r="J49" s="177">
        <v>36</v>
      </c>
      <c r="K49" s="177">
        <v>102</v>
      </c>
      <c r="L49" s="177">
        <v>136</v>
      </c>
      <c r="M49" s="177"/>
      <c r="N49" s="207">
        <f>SUM(B49:M49)</f>
        <v>274</v>
      </c>
      <c r="O49" s="178"/>
      <c r="P49" s="178"/>
      <c r="Q49" s="178"/>
    </row>
    <row r="50" spans="1:17" x14ac:dyDescent="0.35">
      <c r="A50" s="197" t="s">
        <v>102</v>
      </c>
      <c r="B50" s="177">
        <v>287</v>
      </c>
      <c r="C50" s="177">
        <v>256</v>
      </c>
      <c r="D50" s="177">
        <v>60</v>
      </c>
      <c r="E50" s="177"/>
      <c r="F50" s="177"/>
      <c r="G50" s="177"/>
      <c r="H50" s="177">
        <v>132</v>
      </c>
      <c r="I50" s="177">
        <v>195</v>
      </c>
      <c r="J50" s="177">
        <v>770</v>
      </c>
      <c r="K50" s="177">
        <v>134</v>
      </c>
      <c r="L50" s="177">
        <v>212</v>
      </c>
      <c r="M50" s="177"/>
      <c r="N50" s="207">
        <f>SUM(B50:M50)</f>
        <v>2046</v>
      </c>
      <c r="O50" s="178"/>
      <c r="P50" s="178"/>
      <c r="Q50" s="178"/>
    </row>
    <row r="51" spans="1:17" x14ac:dyDescent="0.35">
      <c r="A51" s="197" t="s">
        <v>23</v>
      </c>
      <c r="B51" s="177"/>
      <c r="C51" s="177"/>
      <c r="D51" s="177"/>
      <c r="E51" s="177"/>
      <c r="F51" s="177"/>
      <c r="G51" s="177"/>
      <c r="H51" s="177"/>
      <c r="I51" s="177">
        <v>289</v>
      </c>
      <c r="J51" s="177">
        <v>111</v>
      </c>
      <c r="K51" s="177"/>
      <c r="L51" s="177">
        <v>221</v>
      </c>
      <c r="M51" s="177"/>
      <c r="N51" s="207">
        <f>SUM(B51:M51)</f>
        <v>621</v>
      </c>
      <c r="O51" s="178"/>
      <c r="P51" s="178"/>
      <c r="Q51" s="178"/>
    </row>
    <row r="52" spans="1:17" x14ac:dyDescent="0.35">
      <c r="A52" s="197" t="s">
        <v>29</v>
      </c>
      <c r="B52" s="177"/>
      <c r="C52" s="177"/>
      <c r="D52" s="177"/>
      <c r="E52" s="177"/>
      <c r="F52" s="177"/>
      <c r="G52" s="177"/>
      <c r="H52" s="177"/>
      <c r="I52" s="177">
        <v>239</v>
      </c>
      <c r="J52" s="177">
        <v>60</v>
      </c>
      <c r="K52" s="177">
        <v>67</v>
      </c>
      <c r="L52" s="177">
        <v>52</v>
      </c>
      <c r="M52" s="177"/>
      <c r="N52" s="207">
        <f>SUM(B52:M52)</f>
        <v>418</v>
      </c>
      <c r="O52" s="178"/>
      <c r="P52" s="178"/>
      <c r="Q52" s="178"/>
    </row>
    <row r="53" spans="1:17" x14ac:dyDescent="0.35">
      <c r="A53" s="209" t="s">
        <v>103</v>
      </c>
      <c r="B53" s="210">
        <f>SUBTOTAL(109,B49:B52)</f>
        <v>287</v>
      </c>
      <c r="C53" s="210">
        <f>SUBTOTAL(109,C49:C52)</f>
        <v>256</v>
      </c>
      <c r="D53" s="210">
        <f>SUBTOTAL(109,D49:D52)</f>
        <v>60</v>
      </c>
      <c r="E53" s="210">
        <f>SUBTOTAL(109,E49:E52)</f>
        <v>0</v>
      </c>
      <c r="F53" s="210">
        <f>SUBTOTAL(109,F49:F52)</f>
        <v>0</v>
      </c>
      <c r="G53" s="210">
        <f>SUBTOTAL(109,G49:G52)</f>
        <v>0</v>
      </c>
      <c r="H53" s="210">
        <f>SUBTOTAL(109,H49:H52)</f>
        <v>132</v>
      </c>
      <c r="I53" s="210">
        <f>SUBTOTAL(109,I49:I52)</f>
        <v>723</v>
      </c>
      <c r="J53" s="210">
        <f>SUBTOTAL(109,J49:J52)</f>
        <v>977</v>
      </c>
      <c r="K53" s="210">
        <f>SUBTOTAL(109,K49:K52)</f>
        <v>303</v>
      </c>
      <c r="L53" s="210">
        <f>SUBTOTAL(109,L49:L52)</f>
        <v>621</v>
      </c>
      <c r="M53" s="210">
        <f>SUBTOTAL(109,M49:M52)</f>
        <v>0</v>
      </c>
      <c r="N53" s="211">
        <f>SUM(N49:N52)</f>
        <v>3359</v>
      </c>
      <c r="O53" s="178"/>
      <c r="P53" s="178"/>
      <c r="Q53" s="178"/>
    </row>
    <row r="54" spans="1:17" x14ac:dyDescent="0.35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</row>
    <row r="55" spans="1:17" x14ac:dyDescent="0.35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</row>
    <row r="56" spans="1:17" x14ac:dyDescent="0.35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7"/>
      <c r="O56" s="178"/>
      <c r="P56" s="178"/>
      <c r="Q56" s="178"/>
    </row>
    <row r="57" spans="1:17" x14ac:dyDescent="0.35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</row>
    <row r="58" spans="1:17" ht="15.5" x14ac:dyDescent="0.35">
      <c r="A58" s="201" t="s">
        <v>109</v>
      </c>
      <c r="B58" s="201"/>
      <c r="C58" s="201"/>
      <c r="D58" s="201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</row>
    <row r="59" spans="1:17" x14ac:dyDescent="0.35">
      <c r="A59" s="196" t="s">
        <v>110</v>
      </c>
      <c r="B59" s="205" t="s">
        <v>111</v>
      </c>
      <c r="C59" s="196" t="s">
        <v>112</v>
      </c>
      <c r="D59" s="196" t="s">
        <v>113</v>
      </c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</row>
    <row r="60" spans="1:17" x14ac:dyDescent="0.35">
      <c r="A60" s="212" t="s">
        <v>83</v>
      </c>
      <c r="B60" s="212" t="s">
        <v>114</v>
      </c>
      <c r="C60" s="213">
        <v>67640</v>
      </c>
      <c r="D60" s="213">
        <v>662</v>
      </c>
      <c r="F60" s="178"/>
      <c r="G60" s="177"/>
      <c r="H60" s="178"/>
      <c r="I60" s="178"/>
      <c r="J60" s="178"/>
      <c r="K60" s="178"/>
      <c r="L60" s="178"/>
      <c r="M60" s="178"/>
      <c r="N60" s="178"/>
      <c r="O60" s="178"/>
    </row>
    <row r="61" spans="1:17" x14ac:dyDescent="0.35">
      <c r="A61" s="214" t="s">
        <v>61</v>
      </c>
      <c r="B61" s="214" t="s">
        <v>114</v>
      </c>
      <c r="C61" s="215">
        <v>11765</v>
      </c>
      <c r="D61" s="215">
        <v>3186</v>
      </c>
      <c r="F61" s="178"/>
      <c r="G61" s="177"/>
      <c r="H61" s="178"/>
      <c r="I61" s="178"/>
      <c r="J61" s="178"/>
      <c r="K61" s="178"/>
      <c r="L61" s="178"/>
      <c r="M61" s="178"/>
      <c r="N61" s="178"/>
      <c r="O61" s="178"/>
    </row>
    <row r="62" spans="1:17" x14ac:dyDescent="0.35">
      <c r="A62" s="212" t="s">
        <v>23</v>
      </c>
      <c r="B62" s="212" t="s">
        <v>114</v>
      </c>
      <c r="C62" s="216">
        <v>10300</v>
      </c>
      <c r="D62" s="216">
        <v>5673</v>
      </c>
      <c r="F62" s="178"/>
      <c r="G62" s="177"/>
      <c r="H62" s="178"/>
      <c r="I62" s="178"/>
      <c r="J62" s="178"/>
      <c r="K62" s="178"/>
      <c r="L62" s="178"/>
      <c r="M62" s="178"/>
      <c r="N62" s="178"/>
      <c r="O62" s="178"/>
    </row>
    <row r="63" spans="1:17" ht="15" thickBot="1" x14ac:dyDescent="0.4">
      <c r="A63" s="214" t="s">
        <v>86</v>
      </c>
      <c r="B63" s="214" t="s">
        <v>114</v>
      </c>
      <c r="C63" s="215">
        <v>10994</v>
      </c>
      <c r="D63" s="215"/>
      <c r="F63" s="178"/>
      <c r="G63" s="178"/>
      <c r="H63" s="178"/>
      <c r="I63" s="178"/>
      <c r="J63" s="178"/>
      <c r="K63" s="178"/>
      <c r="L63" s="178"/>
      <c r="M63" s="178"/>
      <c r="N63" s="178"/>
      <c r="O63" s="178"/>
    </row>
    <row r="64" spans="1:17" ht="15" thickTop="1" x14ac:dyDescent="0.35">
      <c r="A64" s="217" t="s">
        <v>105</v>
      </c>
      <c r="B64" s="217"/>
      <c r="C64" s="218">
        <f>SUM(C60:C63)</f>
        <v>100699</v>
      </c>
      <c r="D64" s="218">
        <f>SUM(D60:D63)</f>
        <v>9521</v>
      </c>
      <c r="E64" s="178"/>
      <c r="F64" s="178"/>
      <c r="G64" s="177"/>
      <c r="H64" s="178"/>
      <c r="I64" s="178"/>
      <c r="J64" s="178"/>
      <c r="K64" s="178"/>
      <c r="L64" s="178"/>
      <c r="M64" s="178"/>
      <c r="N64" s="178"/>
      <c r="O64" s="178"/>
    </row>
    <row r="65" spans="1:17" x14ac:dyDescent="0.35">
      <c r="A65" s="178"/>
      <c r="B65" s="178"/>
      <c r="C65" s="219" t="s">
        <v>105</v>
      </c>
      <c r="D65" s="220">
        <f>+D64+C64</f>
        <v>110220</v>
      </c>
      <c r="E65" s="178"/>
      <c r="F65" s="178"/>
      <c r="G65" s="178"/>
      <c r="H65" s="177"/>
      <c r="I65" s="178"/>
      <c r="J65" s="178"/>
      <c r="K65" s="178"/>
      <c r="L65" s="178"/>
      <c r="M65" s="178"/>
      <c r="N65" s="178"/>
      <c r="O65" s="178"/>
    </row>
    <row r="66" spans="1:17" x14ac:dyDescent="0.3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</row>
    <row r="67" spans="1:17" ht="15.5" x14ac:dyDescent="0.35">
      <c r="A67" s="221" t="s">
        <v>115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</row>
    <row r="68" spans="1:17" x14ac:dyDescent="0.35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</row>
    <row r="69" spans="1:17" x14ac:dyDescent="0.35">
      <c r="A69" s="178"/>
      <c r="B69" s="178"/>
      <c r="C69" s="178"/>
      <c r="D69" s="178"/>
      <c r="E69" s="178"/>
      <c r="F69" s="178"/>
      <c r="G69" s="177"/>
      <c r="H69" s="178"/>
      <c r="I69" s="178"/>
      <c r="J69" s="178"/>
      <c r="K69" s="178"/>
      <c r="L69" s="178"/>
      <c r="M69" s="178"/>
      <c r="N69" s="178"/>
      <c r="O69" s="178"/>
      <c r="P69" s="178"/>
      <c r="Q69" s="178"/>
    </row>
    <row r="70" spans="1:17" x14ac:dyDescent="0.35">
      <c r="A70" s="178"/>
      <c r="B70" s="178"/>
      <c r="C70" s="177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</row>
    <row r="71" spans="1:17" x14ac:dyDescent="0.35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</row>
    <row r="72" spans="1:17" x14ac:dyDescent="0.35">
      <c r="A72" s="178"/>
      <c r="B72" s="178"/>
      <c r="C72" s="178"/>
      <c r="D72" s="177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</row>
    <row r="73" spans="1:17" x14ac:dyDescent="0.35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</row>
    <row r="74" spans="1:17" x14ac:dyDescent="0.35">
      <c r="A74" s="178"/>
      <c r="B74" s="178"/>
      <c r="C74" s="178"/>
      <c r="D74" s="177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</row>
    <row r="75" spans="1:17" x14ac:dyDescent="0.35">
      <c r="A75" s="178"/>
      <c r="B75" s="178"/>
      <c r="C75" s="178"/>
      <c r="D75" s="177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</row>
    <row r="76" spans="1:17" x14ac:dyDescent="0.35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</row>
    <row r="77" spans="1:17" x14ac:dyDescent="0.35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</row>
    <row r="78" spans="1:17" x14ac:dyDescent="0.35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</row>
    <row r="79" spans="1:17" x14ac:dyDescent="0.35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</row>
    <row r="80" spans="1:17" x14ac:dyDescent="0.35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</row>
    <row r="81" spans="1:17" x14ac:dyDescent="0.35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</row>
    <row r="82" spans="1:17" x14ac:dyDescent="0.35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</row>
    <row r="83" spans="1:17" x14ac:dyDescent="0.35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</row>
    <row r="84" spans="1:17" x14ac:dyDescent="0.35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</row>
    <row r="85" spans="1:17" x14ac:dyDescent="0.35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</row>
    <row r="86" spans="1:17" x14ac:dyDescent="0.35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</row>
    <row r="87" spans="1:17" x14ac:dyDescent="0.35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</row>
    <row r="88" spans="1:17" x14ac:dyDescent="0.35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</row>
    <row r="89" spans="1:17" x14ac:dyDescent="0.35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</row>
    <row r="90" spans="1:17" x14ac:dyDescent="0.35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</row>
    <row r="91" spans="1:17" x14ac:dyDescent="0.35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</row>
    <row r="92" spans="1:17" x14ac:dyDescent="0.35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</row>
    <row r="93" spans="1:17" x14ac:dyDescent="0.35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</row>
    <row r="94" spans="1:17" x14ac:dyDescent="0.35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</row>
    <row r="95" spans="1:17" x14ac:dyDescent="0.35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</row>
    <row r="96" spans="1:17" x14ac:dyDescent="0.35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</row>
    <row r="97" spans="1:17" x14ac:dyDescent="0.35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</row>
    <row r="98" spans="1:17" x14ac:dyDescent="0.35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</row>
    <row r="99" spans="1:17" x14ac:dyDescent="0.35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</row>
    <row r="100" spans="1:17" x14ac:dyDescent="0.35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</row>
    <row r="101" spans="1:17" x14ac:dyDescent="0.35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</row>
    <row r="102" spans="1:17" x14ac:dyDescent="0.35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</row>
    <row r="103" spans="1:17" x14ac:dyDescent="0.35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</row>
    <row r="104" spans="1:17" x14ac:dyDescent="0.35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</row>
    <row r="105" spans="1:17" x14ac:dyDescent="0.35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</row>
    <row r="106" spans="1:17" x14ac:dyDescent="0.35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</row>
    <row r="107" spans="1:17" x14ac:dyDescent="0.35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</row>
    <row r="108" spans="1:17" x14ac:dyDescent="0.35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</row>
    <row r="109" spans="1:17" x14ac:dyDescent="0.35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</row>
    <row r="110" spans="1:17" x14ac:dyDescent="0.35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</row>
    <row r="111" spans="1:17" x14ac:dyDescent="0.35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</row>
    <row r="112" spans="1:17" x14ac:dyDescent="0.3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</row>
    <row r="113" spans="1:17" x14ac:dyDescent="0.35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</row>
  </sheetData>
  <phoneticPr fontId="3" type="noConversion"/>
  <pageMargins left="0.7" right="0.7" top="0.75" bottom="0.75" header="0.3" footer="0.3"/>
  <pageSetup orientation="portrait" r:id="rId1"/>
  <headerFooter>
    <oddFooter>&amp;C_x000D_&amp;1#&amp;"Calibri"&amp;10&amp;K008000 DOCUMENTO PÚBLICO</oddFooter>
  </headerFooter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0.1796875" customWidth="1"/>
    <col min="2" max="2" width="14.453125" customWidth="1"/>
    <col min="3" max="3" width="13" customWidth="1"/>
    <col min="4" max="4" width="15.1796875" customWidth="1"/>
  </cols>
  <sheetData>
    <row r="1" spans="1:4" ht="25.5" customHeight="1" x14ac:dyDescent="0.35">
      <c r="A1" s="6" t="s">
        <v>116</v>
      </c>
      <c r="B1" s="6"/>
    </row>
    <row r="2" spans="1:4" ht="20.5" customHeight="1" x14ac:dyDescent="0.35">
      <c r="A2" s="134"/>
      <c r="B2" s="152" t="s">
        <v>117</v>
      </c>
      <c r="C2" s="153"/>
      <c r="D2" s="153"/>
    </row>
    <row r="3" spans="1:4" ht="20.5" customHeight="1" x14ac:dyDescent="0.35">
      <c r="A3" s="135" t="s">
        <v>2</v>
      </c>
      <c r="B3" s="136" t="s">
        <v>118</v>
      </c>
      <c r="C3" s="136" t="s">
        <v>119</v>
      </c>
      <c r="D3" s="135" t="s">
        <v>112</v>
      </c>
    </row>
    <row r="4" spans="1:4" x14ac:dyDescent="0.35">
      <c r="A4" s="47" t="s">
        <v>17</v>
      </c>
      <c r="B4" s="30">
        <v>3326</v>
      </c>
      <c r="C4" s="30"/>
      <c r="D4" s="30"/>
    </row>
    <row r="5" spans="1:4" x14ac:dyDescent="0.35">
      <c r="A5" s="48" t="s">
        <v>18</v>
      </c>
      <c r="B5" s="30">
        <v>17109</v>
      </c>
      <c r="C5" s="30"/>
      <c r="D5" s="30"/>
    </row>
    <row r="6" spans="1:4" x14ac:dyDescent="0.35">
      <c r="A6" s="47" t="s">
        <v>50</v>
      </c>
      <c r="B6" s="30">
        <v>36629</v>
      </c>
      <c r="C6" s="30"/>
      <c r="D6" s="30"/>
    </row>
    <row r="7" spans="1:4" x14ac:dyDescent="0.35">
      <c r="A7" s="48" t="s">
        <v>51</v>
      </c>
      <c r="B7" s="30">
        <v>4361</v>
      </c>
      <c r="C7" s="30"/>
      <c r="D7" s="30"/>
    </row>
    <row r="8" spans="1:4" x14ac:dyDescent="0.35">
      <c r="A8" s="47" t="s">
        <v>52</v>
      </c>
      <c r="B8" s="30">
        <v>23195</v>
      </c>
      <c r="C8" s="30"/>
      <c r="D8" s="30"/>
    </row>
    <row r="9" spans="1:4" x14ac:dyDescent="0.35">
      <c r="A9" s="48" t="s">
        <v>54</v>
      </c>
      <c r="B9" s="133">
        <v>900000</v>
      </c>
      <c r="C9" s="30"/>
      <c r="D9" s="133">
        <v>13000</v>
      </c>
    </row>
    <row r="10" spans="1:4" x14ac:dyDescent="0.35">
      <c r="A10" s="48" t="s">
        <v>120</v>
      </c>
      <c r="B10" s="30"/>
      <c r="C10" s="30">
        <v>1775</v>
      </c>
      <c r="D10" s="30"/>
    </row>
    <row r="11" spans="1:4" x14ac:dyDescent="0.35">
      <c r="A11" s="48" t="s">
        <v>21</v>
      </c>
      <c r="B11" s="30">
        <v>12033</v>
      </c>
      <c r="C11" s="30"/>
      <c r="D11" s="30"/>
    </row>
    <row r="12" spans="1:4" x14ac:dyDescent="0.35">
      <c r="A12" s="48" t="s">
        <v>22</v>
      </c>
      <c r="B12" s="30">
        <v>3390</v>
      </c>
      <c r="C12" s="30"/>
      <c r="D12" s="30"/>
    </row>
    <row r="13" spans="1:4" x14ac:dyDescent="0.35">
      <c r="A13" s="48" t="s">
        <v>23</v>
      </c>
      <c r="B13" s="30">
        <v>25496</v>
      </c>
      <c r="C13" s="30"/>
      <c r="D13" s="30"/>
    </row>
    <row r="14" spans="1:4" x14ac:dyDescent="0.35">
      <c r="A14" s="48" t="s">
        <v>24</v>
      </c>
      <c r="B14" s="30">
        <v>6154</v>
      </c>
      <c r="C14" s="30"/>
      <c r="D14" s="30"/>
    </row>
    <row r="15" spans="1:4" x14ac:dyDescent="0.35">
      <c r="A15" s="48" t="s">
        <v>25</v>
      </c>
      <c r="B15" s="30">
        <v>13709</v>
      </c>
      <c r="C15" s="30"/>
      <c r="D15" s="30"/>
    </row>
    <row r="16" spans="1:4" x14ac:dyDescent="0.35">
      <c r="A16" s="48" t="s">
        <v>26</v>
      </c>
      <c r="B16" s="30">
        <v>3625</v>
      </c>
      <c r="C16" s="30"/>
      <c r="D16" s="30"/>
    </row>
    <row r="17" spans="1:4" x14ac:dyDescent="0.35">
      <c r="A17" s="48" t="s">
        <v>60</v>
      </c>
      <c r="B17" s="30">
        <v>4998</v>
      </c>
      <c r="C17" s="30"/>
      <c r="D17" s="30"/>
    </row>
    <row r="18" spans="1:4" x14ac:dyDescent="0.35">
      <c r="A18" s="48" t="s">
        <v>28</v>
      </c>
      <c r="B18" s="30">
        <v>7322</v>
      </c>
      <c r="C18" s="30"/>
      <c r="D18" s="30"/>
    </row>
    <row r="19" spans="1:4" x14ac:dyDescent="0.35">
      <c r="A19" s="48" t="s">
        <v>61</v>
      </c>
      <c r="B19" s="30">
        <v>94840</v>
      </c>
      <c r="C19" s="30"/>
      <c r="D19" s="30"/>
    </row>
    <row r="20" spans="1:4" x14ac:dyDescent="0.35">
      <c r="A20" s="48" t="s">
        <v>30</v>
      </c>
      <c r="B20" s="30">
        <v>2647</v>
      </c>
      <c r="C20" s="30"/>
      <c r="D20" s="30"/>
    </row>
    <row r="21" spans="1:4" x14ac:dyDescent="0.35">
      <c r="A21" s="48" t="s">
        <v>62</v>
      </c>
      <c r="B21" s="30">
        <v>11201</v>
      </c>
      <c r="C21" s="30"/>
      <c r="D21" s="30"/>
    </row>
    <row r="22" spans="1:4" x14ac:dyDescent="0.35">
      <c r="A22" s="48" t="s">
        <v>32</v>
      </c>
      <c r="B22" s="30">
        <v>9045</v>
      </c>
      <c r="C22" s="30"/>
      <c r="D22" s="30"/>
    </row>
    <row r="23" spans="1:4" x14ac:dyDescent="0.35">
      <c r="A23" s="48" t="s">
        <v>33</v>
      </c>
      <c r="B23" s="30">
        <v>4444</v>
      </c>
      <c r="C23" s="30"/>
      <c r="D23" s="30"/>
    </row>
    <row r="24" spans="1:4" x14ac:dyDescent="0.35">
      <c r="A24" s="48" t="s">
        <v>34</v>
      </c>
      <c r="B24" s="30">
        <v>9463</v>
      </c>
      <c r="C24" s="30"/>
      <c r="D24" s="30"/>
    </row>
    <row r="25" spans="1:4" x14ac:dyDescent="0.35">
      <c r="A25" s="48" t="s">
        <v>35</v>
      </c>
      <c r="B25" s="30">
        <v>8723</v>
      </c>
      <c r="C25" s="30"/>
      <c r="D25" s="30"/>
    </row>
    <row r="26" spans="1:4" x14ac:dyDescent="0.35">
      <c r="A26" s="48" t="s">
        <v>63</v>
      </c>
      <c r="B26" s="30">
        <v>1101</v>
      </c>
      <c r="C26" s="30"/>
      <c r="D26" s="30"/>
    </row>
    <row r="27" spans="1:4" x14ac:dyDescent="0.35">
      <c r="A27" s="48" t="s">
        <v>37</v>
      </c>
      <c r="B27" s="30">
        <v>11256</v>
      </c>
      <c r="C27" s="30"/>
      <c r="D27" s="30"/>
    </row>
    <row r="28" spans="1:4" x14ac:dyDescent="0.35">
      <c r="A28" s="48" t="s">
        <v>38</v>
      </c>
      <c r="B28" s="30">
        <v>8746</v>
      </c>
      <c r="C28" s="30"/>
      <c r="D28" s="30"/>
    </row>
    <row r="29" spans="1:4" x14ac:dyDescent="0.35">
      <c r="A29" s="48" t="s">
        <v>39</v>
      </c>
      <c r="B29" s="30">
        <v>10341</v>
      </c>
      <c r="C29" s="30"/>
      <c r="D29" s="30"/>
    </row>
    <row r="30" spans="1:4" x14ac:dyDescent="0.35">
      <c r="A30" s="48" t="s">
        <v>40</v>
      </c>
      <c r="B30" s="30">
        <v>6081</v>
      </c>
      <c r="C30" s="30"/>
      <c r="D30" s="30"/>
    </row>
    <row r="31" spans="1:4" x14ac:dyDescent="0.35">
      <c r="A31" s="48" t="s">
        <v>41</v>
      </c>
      <c r="B31" s="30">
        <v>4893</v>
      </c>
      <c r="C31" s="30"/>
      <c r="D31" s="30"/>
    </row>
    <row r="32" spans="1:4" x14ac:dyDescent="0.35">
      <c r="A32" s="12" t="s">
        <v>91</v>
      </c>
      <c r="B32" s="49">
        <f>SUM(B4:B31)</f>
        <v>1244128</v>
      </c>
      <c r="C32" s="49">
        <f>SUM(C4:C31)</f>
        <v>1775</v>
      </c>
      <c r="D32" s="49">
        <f>SUM(D4:D31)</f>
        <v>13000</v>
      </c>
    </row>
  </sheetData>
  <mergeCells count="1">
    <mergeCell ref="B2:D2"/>
  </mergeCells>
  <phoneticPr fontId="3" type="noConversion"/>
  <pageMargins left="0.7" right="0.7" top="0.75" bottom="0.75" header="0.3" footer="0.3"/>
  <pageSetup orientation="portrait" r:id="rId1"/>
  <headerFooter>
    <oddFooter>&amp;C_x000D_&amp;1#&amp;"Calibri"&amp;10&amp;K008000 DOCUMENTO PÚBLICO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E99"/>
  <sheetViews>
    <sheetView showGridLines="0" topLeftCell="P1" zoomScale="70" zoomScaleNormal="70" workbookViewId="0">
      <selection activeCell="R3" sqref="R3"/>
    </sheetView>
  </sheetViews>
  <sheetFormatPr baseColWidth="10" defaultColWidth="11.453125" defaultRowHeight="14.5" x14ac:dyDescent="0.35"/>
  <cols>
    <col min="1" max="1" width="27.1796875" bestFit="1" customWidth="1"/>
    <col min="14" max="14" width="13.1796875" bestFit="1" customWidth="1"/>
    <col min="15" max="15" width="19.81640625" bestFit="1" customWidth="1"/>
    <col min="18" max="18" width="35.26953125" customWidth="1"/>
  </cols>
  <sheetData>
    <row r="2" spans="1:31" ht="28.5" x14ac:dyDescent="0.65">
      <c r="A2" s="80" t="s">
        <v>121</v>
      </c>
      <c r="R2" s="80" t="s">
        <v>186</v>
      </c>
    </row>
    <row r="4" spans="1:31" x14ac:dyDescent="0.35">
      <c r="A4" s="51" t="s">
        <v>122</v>
      </c>
      <c r="B4" s="51" t="s">
        <v>123</v>
      </c>
      <c r="C4" s="51" t="s">
        <v>124</v>
      </c>
      <c r="D4" s="51" t="s">
        <v>125</v>
      </c>
      <c r="E4" s="51" t="s">
        <v>126</v>
      </c>
      <c r="F4" s="51" t="s">
        <v>127</v>
      </c>
      <c r="G4" s="51" t="s">
        <v>128</v>
      </c>
      <c r="H4" s="51" t="s">
        <v>129</v>
      </c>
      <c r="I4" s="51" t="s">
        <v>130</v>
      </c>
      <c r="J4" s="51" t="s">
        <v>131</v>
      </c>
      <c r="K4" s="51" t="s">
        <v>132</v>
      </c>
      <c r="L4" s="51" t="s">
        <v>133</v>
      </c>
      <c r="M4" s="51" t="s">
        <v>134</v>
      </c>
      <c r="N4" s="51" t="s">
        <v>91</v>
      </c>
      <c r="R4" s="51" t="s">
        <v>122</v>
      </c>
      <c r="S4" s="51" t="s">
        <v>123</v>
      </c>
      <c r="T4" s="51" t="s">
        <v>124</v>
      </c>
      <c r="U4" s="51" t="s">
        <v>125</v>
      </c>
      <c r="V4" s="51" t="s">
        <v>126</v>
      </c>
      <c r="W4" s="51" t="s">
        <v>127</v>
      </c>
      <c r="X4" s="51" t="s">
        <v>128</v>
      </c>
      <c r="Y4" s="51" t="s">
        <v>129</v>
      </c>
      <c r="Z4" s="51" t="s">
        <v>130</v>
      </c>
      <c r="AA4" s="51" t="s">
        <v>131</v>
      </c>
      <c r="AB4" s="51" t="s">
        <v>132</v>
      </c>
      <c r="AC4" s="51" t="s">
        <v>91</v>
      </c>
      <c r="AD4" s="51"/>
    </row>
    <row r="5" spans="1:31" x14ac:dyDescent="0.35">
      <c r="A5" t="s">
        <v>135</v>
      </c>
      <c r="B5" s="54">
        <v>813</v>
      </c>
      <c r="C5" s="54">
        <v>1426</v>
      </c>
      <c r="D5" s="54">
        <v>1325</v>
      </c>
      <c r="E5" s="54">
        <v>1238</v>
      </c>
      <c r="F5" s="54">
        <v>1207</v>
      </c>
      <c r="G5" s="54">
        <v>1125</v>
      </c>
      <c r="H5" s="54">
        <v>1322</v>
      </c>
      <c r="I5" s="54">
        <v>1483</v>
      </c>
      <c r="J5" s="54">
        <v>1456</v>
      </c>
      <c r="K5" s="54">
        <v>1563</v>
      </c>
      <c r="L5" s="54">
        <v>1407</v>
      </c>
      <c r="M5" s="54">
        <v>1704</v>
      </c>
      <c r="N5" s="54">
        <f>SUM(B5:M5)</f>
        <v>16069</v>
      </c>
      <c r="R5" t="s">
        <v>135</v>
      </c>
      <c r="S5" s="54">
        <v>1019</v>
      </c>
      <c r="T5" s="54">
        <v>1324</v>
      </c>
      <c r="U5" s="54">
        <v>1326</v>
      </c>
      <c r="V5" s="54">
        <v>1224</v>
      </c>
      <c r="W5" s="54">
        <v>1531</v>
      </c>
      <c r="X5" s="54">
        <v>1666</v>
      </c>
      <c r="Y5" s="54">
        <v>1398</v>
      </c>
      <c r="Z5" s="54">
        <v>1620</v>
      </c>
      <c r="AA5" s="54">
        <v>1503</v>
      </c>
      <c r="AB5" s="54">
        <v>1421</v>
      </c>
      <c r="AC5" s="54">
        <f>SUM(S5:AB5)</f>
        <v>14032</v>
      </c>
      <c r="AD5" s="54"/>
    </row>
    <row r="6" spans="1:31" x14ac:dyDescent="0.35">
      <c r="A6" t="s">
        <v>136</v>
      </c>
      <c r="B6" s="54">
        <v>678</v>
      </c>
      <c r="C6" s="54">
        <v>851</v>
      </c>
      <c r="D6" s="54">
        <v>1127</v>
      </c>
      <c r="E6" s="54">
        <v>1061</v>
      </c>
      <c r="F6" s="54">
        <v>1064</v>
      </c>
      <c r="G6" s="54">
        <v>1191</v>
      </c>
      <c r="H6" s="54">
        <v>1172</v>
      </c>
      <c r="I6" s="54">
        <v>1486</v>
      </c>
      <c r="J6" s="54">
        <v>1489</v>
      </c>
      <c r="K6" s="54">
        <v>1275</v>
      </c>
      <c r="L6" s="54">
        <v>1455</v>
      </c>
      <c r="M6" s="54">
        <v>1603</v>
      </c>
      <c r="N6" s="54">
        <f>SUM(B6:M6)</f>
        <v>14452</v>
      </c>
      <c r="R6" t="s">
        <v>136</v>
      </c>
      <c r="S6" s="54">
        <v>1124</v>
      </c>
      <c r="T6" s="54">
        <v>1543</v>
      </c>
      <c r="U6" s="54">
        <v>1205</v>
      </c>
      <c r="V6" s="54">
        <v>1754</v>
      </c>
      <c r="W6" s="54">
        <v>1476</v>
      </c>
      <c r="X6" s="54">
        <v>1876</v>
      </c>
      <c r="Y6" s="54">
        <v>2660</v>
      </c>
      <c r="Z6" s="54">
        <v>2274</v>
      </c>
      <c r="AA6" s="54">
        <v>1330</v>
      </c>
      <c r="AB6" s="54">
        <v>1218</v>
      </c>
      <c r="AC6" s="54">
        <f t="shared" ref="AC6:AC7" si="0">SUM(S6:AB6)</f>
        <v>16460</v>
      </c>
      <c r="AD6" s="54"/>
    </row>
    <row r="7" spans="1:31" x14ac:dyDescent="0.35">
      <c r="A7" t="s">
        <v>137</v>
      </c>
      <c r="B7" s="54">
        <v>363</v>
      </c>
      <c r="C7" s="54">
        <v>399</v>
      </c>
      <c r="D7" s="54">
        <v>481</v>
      </c>
      <c r="E7" s="54">
        <v>494</v>
      </c>
      <c r="F7" s="54">
        <v>414</v>
      </c>
      <c r="G7" s="54">
        <v>503</v>
      </c>
      <c r="H7" s="54">
        <v>426</v>
      </c>
      <c r="I7" s="54">
        <v>541</v>
      </c>
      <c r="J7" s="54">
        <v>500</v>
      </c>
      <c r="K7" s="54">
        <v>538</v>
      </c>
      <c r="L7" s="54">
        <v>579</v>
      </c>
      <c r="M7" s="54">
        <v>638</v>
      </c>
      <c r="N7" s="54">
        <f>SUM(B7:M7)</f>
        <v>5876</v>
      </c>
      <c r="R7" t="s">
        <v>137</v>
      </c>
      <c r="S7" s="54">
        <v>505</v>
      </c>
      <c r="T7" s="54">
        <v>570</v>
      </c>
      <c r="U7" s="54">
        <v>706</v>
      </c>
      <c r="V7" s="54">
        <v>657</v>
      </c>
      <c r="W7" s="54">
        <v>727</v>
      </c>
      <c r="X7" s="54">
        <v>736</v>
      </c>
      <c r="Y7" s="54">
        <v>782</v>
      </c>
      <c r="Z7" s="54">
        <v>866</v>
      </c>
      <c r="AA7" s="54">
        <v>968</v>
      </c>
      <c r="AB7" s="54">
        <v>851</v>
      </c>
      <c r="AC7" s="54">
        <f t="shared" si="0"/>
        <v>7368</v>
      </c>
      <c r="AD7" s="54"/>
    </row>
    <row r="8" spans="1:31" x14ac:dyDescent="0.35">
      <c r="A8" s="52" t="s">
        <v>91</v>
      </c>
      <c r="B8" s="53">
        <v>1854</v>
      </c>
      <c r="C8" s="53">
        <v>2676</v>
      </c>
      <c r="D8" s="53">
        <v>2933</v>
      </c>
      <c r="E8" s="53">
        <v>2793</v>
      </c>
      <c r="F8" s="53">
        <v>2685</v>
      </c>
      <c r="G8" s="53">
        <v>2819</v>
      </c>
      <c r="H8" s="53">
        <v>2920</v>
      </c>
      <c r="I8" s="53">
        <v>3510</v>
      </c>
      <c r="J8" s="53">
        <v>3445</v>
      </c>
      <c r="K8" s="53">
        <v>3376</v>
      </c>
      <c r="L8" s="53">
        <v>3441</v>
      </c>
      <c r="M8" s="53">
        <v>3945</v>
      </c>
      <c r="N8" s="53">
        <f>SUM(B8:M8)</f>
        <v>36397</v>
      </c>
      <c r="R8" s="52" t="s">
        <v>91</v>
      </c>
      <c r="S8" s="53">
        <f>SUM(S5:S7)</f>
        <v>2648</v>
      </c>
      <c r="T8" s="53">
        <f t="shared" ref="T8:AB8" si="1">SUM(T5:T7)</f>
        <v>3437</v>
      </c>
      <c r="U8" s="53">
        <f t="shared" si="1"/>
        <v>3237</v>
      </c>
      <c r="V8" s="53">
        <f t="shared" si="1"/>
        <v>3635</v>
      </c>
      <c r="W8" s="53">
        <f t="shared" si="1"/>
        <v>3734</v>
      </c>
      <c r="X8" s="53">
        <f t="shared" si="1"/>
        <v>4278</v>
      </c>
      <c r="Y8" s="53">
        <f t="shared" si="1"/>
        <v>4840</v>
      </c>
      <c r="Z8" s="53">
        <f t="shared" si="1"/>
        <v>4760</v>
      </c>
      <c r="AA8" s="53">
        <f t="shared" si="1"/>
        <v>3801</v>
      </c>
      <c r="AB8" s="53">
        <f t="shared" si="1"/>
        <v>3490</v>
      </c>
      <c r="AC8" s="53">
        <f t="shared" ref="AC8" si="2">SUM(AC5:AC7)</f>
        <v>37860</v>
      </c>
      <c r="AD8" s="53"/>
    </row>
    <row r="11" spans="1:31" ht="18.5" x14ac:dyDescent="0.45">
      <c r="A11" s="50" t="s">
        <v>135</v>
      </c>
      <c r="R11" s="50" t="s">
        <v>135</v>
      </c>
    </row>
    <row r="12" spans="1:31" x14ac:dyDescent="0.35">
      <c r="A12" s="81" t="s">
        <v>2</v>
      </c>
      <c r="B12" s="82" t="s">
        <v>3</v>
      </c>
      <c r="C12" s="82" t="s">
        <v>4</v>
      </c>
      <c r="D12" s="82" t="s">
        <v>5</v>
      </c>
      <c r="E12" s="82" t="s">
        <v>6</v>
      </c>
      <c r="F12" s="82" t="s">
        <v>7</v>
      </c>
      <c r="G12" s="82" t="s">
        <v>8</v>
      </c>
      <c r="H12" s="82" t="s">
        <v>9</v>
      </c>
      <c r="I12" s="82" t="s">
        <v>10</v>
      </c>
      <c r="J12" s="82" t="s">
        <v>11</v>
      </c>
      <c r="K12" s="82" t="s">
        <v>12</v>
      </c>
      <c r="L12" s="82" t="s">
        <v>13</v>
      </c>
      <c r="M12" s="82" t="s">
        <v>14</v>
      </c>
      <c r="N12" s="83" t="s">
        <v>15</v>
      </c>
      <c r="O12" s="83" t="s">
        <v>16</v>
      </c>
      <c r="R12" s="81" t="s">
        <v>2</v>
      </c>
      <c r="S12" s="82" t="s">
        <v>3</v>
      </c>
      <c r="T12" s="82" t="s">
        <v>4</v>
      </c>
      <c r="U12" s="82" t="s">
        <v>5</v>
      </c>
      <c r="V12" s="82" t="s">
        <v>6</v>
      </c>
      <c r="W12" s="82" t="s">
        <v>7</v>
      </c>
      <c r="X12" s="82" t="s">
        <v>8</v>
      </c>
      <c r="Y12" s="82" t="s">
        <v>9</v>
      </c>
      <c r="Z12" s="82" t="s">
        <v>10</v>
      </c>
      <c r="AA12" s="82" t="s">
        <v>11</v>
      </c>
      <c r="AB12" s="82" t="s">
        <v>12</v>
      </c>
      <c r="AC12" s="82" t="s">
        <v>15</v>
      </c>
      <c r="AD12" s="82" t="s">
        <v>16</v>
      </c>
    </row>
    <row r="13" spans="1:31" x14ac:dyDescent="0.35">
      <c r="A13" s="84" t="s">
        <v>17</v>
      </c>
      <c r="B13" s="85">
        <v>5.5192233712746939</v>
      </c>
      <c r="C13" s="85">
        <v>9.680704215790545</v>
      </c>
      <c r="D13" s="85">
        <v>8.9950442397773305</v>
      </c>
      <c r="E13" s="85">
        <v>8.4044262406372336</v>
      </c>
      <c r="F13" s="85">
        <v>8.1939761489896128</v>
      </c>
      <c r="G13" s="86">
        <v>7.6373017130184877</v>
      </c>
      <c r="H13" s="85">
        <v>8.9746781018759467</v>
      </c>
      <c r="I13" s="85">
        <v>10.067660835916815</v>
      </c>
      <c r="J13" s="85">
        <v>9.8843655948043718</v>
      </c>
      <c r="K13" s="85">
        <v>10.610757846620352</v>
      </c>
      <c r="L13" s="85">
        <v>9.5517186757484556</v>
      </c>
      <c r="M13" s="85">
        <v>11.567966327985337</v>
      </c>
      <c r="N13" s="85">
        <f t="shared" ref="N13:N37" si="3">SUM(B13:M13)</f>
        <v>109.08782331243918</v>
      </c>
      <c r="O13" s="85">
        <f t="shared" ref="O13:O37" si="4">AVERAGE(B13:M13)</f>
        <v>9.0906519427032659</v>
      </c>
      <c r="R13" s="84" t="s">
        <v>17</v>
      </c>
      <c r="S13" s="85">
        <v>1.0190000000000001</v>
      </c>
      <c r="T13" s="85">
        <v>1.3240000000000001</v>
      </c>
      <c r="U13" s="85">
        <v>1.3260000000000001</v>
      </c>
      <c r="V13" s="85">
        <v>1.224</v>
      </c>
      <c r="W13" s="85">
        <v>1.5310000000000001</v>
      </c>
      <c r="X13" s="86">
        <v>1.6659999999999999</v>
      </c>
      <c r="Y13" s="85">
        <v>1.4159999999999999</v>
      </c>
      <c r="Z13" s="85">
        <v>1.6200000000000008</v>
      </c>
      <c r="AA13" s="85">
        <v>1.5030000000000008</v>
      </c>
      <c r="AB13" s="85">
        <v>1.4210000000000007</v>
      </c>
      <c r="AC13" s="85">
        <f>SUM(S13:AB13)</f>
        <v>14.050000000000002</v>
      </c>
      <c r="AD13" s="85">
        <f>AVERAGE(S13:AB13)</f>
        <v>1.4050000000000002</v>
      </c>
      <c r="AE13" s="148"/>
    </row>
    <row r="14" spans="1:31" x14ac:dyDescent="0.35">
      <c r="A14" s="87" t="s">
        <v>18</v>
      </c>
      <c r="B14" s="88">
        <v>55.314883120997486</v>
      </c>
      <c r="C14" s="88">
        <v>97.022168918256355</v>
      </c>
      <c r="D14" s="88">
        <v>90.150332269768342</v>
      </c>
      <c r="E14" s="88">
        <v>84.231027433942046</v>
      </c>
      <c r="F14" s="88">
        <v>82.121849848762565</v>
      </c>
      <c r="G14" s="89">
        <v>76.542734946029725</v>
      </c>
      <c r="H14" s="88">
        <v>89.946218309912268</v>
      </c>
      <c r="I14" s="88">
        <v>100.90033415552186</v>
      </c>
      <c r="J14" s="88">
        <v>99.063308516817145</v>
      </c>
      <c r="K14" s="88">
        <v>106.3433730850173</v>
      </c>
      <c r="L14" s="88">
        <v>95.729447172501182</v>
      </c>
      <c r="M14" s="88">
        <v>115.93672919825303</v>
      </c>
      <c r="N14" s="88">
        <f t="shared" si="3"/>
        <v>1093.3024069757794</v>
      </c>
      <c r="O14" s="88">
        <f t="shared" si="4"/>
        <v>91.108533914648277</v>
      </c>
      <c r="R14" s="87" t="s">
        <v>18</v>
      </c>
      <c r="S14" s="88">
        <v>29.114285714285714</v>
      </c>
      <c r="T14" s="88">
        <v>37.828571428571429</v>
      </c>
      <c r="U14" s="88">
        <v>37.885714285714286</v>
      </c>
      <c r="V14" s="88">
        <v>34.971428571428568</v>
      </c>
      <c r="W14" s="88">
        <v>43.74285714285714</v>
      </c>
      <c r="X14" s="89">
        <v>47.6</v>
      </c>
      <c r="Y14" s="88">
        <v>40.457142857142856</v>
      </c>
      <c r="Z14" s="88">
        <v>46.285714285714306</v>
      </c>
      <c r="AA14" s="88">
        <v>42.942857142857164</v>
      </c>
      <c r="AB14" s="88">
        <v>40.600000000000016</v>
      </c>
      <c r="AC14" s="88">
        <f t="shared" ref="AC14:AC37" si="5">SUM(S14:AB14)</f>
        <v>401.42857142857156</v>
      </c>
      <c r="AD14" s="88">
        <f t="shared" ref="AD14:AD37" si="6">AVERAGE(S14:AB14)</f>
        <v>40.142857142857153</v>
      </c>
      <c r="AE14" s="148"/>
    </row>
    <row r="15" spans="1:31" ht="87" x14ac:dyDescent="0.35">
      <c r="A15" s="90" t="s">
        <v>19</v>
      </c>
      <c r="B15" s="85">
        <v>241.31271073295466</v>
      </c>
      <c r="C15" s="85">
        <v>423.26190099039769</v>
      </c>
      <c r="D15" s="85">
        <v>393.28332315026432</v>
      </c>
      <c r="E15" s="85">
        <v>367.46019174341683</v>
      </c>
      <c r="F15" s="85">
        <v>358.25884606971249</v>
      </c>
      <c r="G15" s="86">
        <v>333.91980267475276</v>
      </c>
      <c r="H15" s="85">
        <v>392.39287034313168</v>
      </c>
      <c r="I15" s="85">
        <v>440.18050432591849</v>
      </c>
      <c r="J15" s="85">
        <v>432.16642906172444</v>
      </c>
      <c r="K15" s="85">
        <v>463.92591251612316</v>
      </c>
      <c r="L15" s="85">
        <v>417.62236654522411</v>
      </c>
      <c r="M15" s="85">
        <v>505.77719445135881</v>
      </c>
      <c r="N15" s="85">
        <f t="shared" si="3"/>
        <v>4769.5620526049797</v>
      </c>
      <c r="O15" s="85">
        <f t="shared" si="4"/>
        <v>397.46350438374833</v>
      </c>
      <c r="R15" s="90" t="s">
        <v>19</v>
      </c>
      <c r="S15" s="85">
        <v>457.5517959183673</v>
      </c>
      <c r="T15" s="85">
        <v>594.50302040816325</v>
      </c>
      <c r="U15" s="85">
        <v>595.40106122448969</v>
      </c>
      <c r="V15" s="85">
        <v>549.60097959183668</v>
      </c>
      <c r="W15" s="85">
        <v>687.45024489795912</v>
      </c>
      <c r="X15" s="86">
        <v>748.06799999999998</v>
      </c>
      <c r="Y15" s="85">
        <v>635.8128979591836</v>
      </c>
      <c r="Z15" s="85">
        <v>727.41306122449009</v>
      </c>
      <c r="AA15" s="85">
        <v>674.87767346938801</v>
      </c>
      <c r="AB15" s="85">
        <v>638.05800000000022</v>
      </c>
      <c r="AC15" s="85">
        <f t="shared" si="5"/>
        <v>6308.7367346938781</v>
      </c>
      <c r="AD15" s="85">
        <f t="shared" si="6"/>
        <v>630.87367346938777</v>
      </c>
      <c r="AE15" s="148"/>
    </row>
    <row r="16" spans="1:31" x14ac:dyDescent="0.35">
      <c r="A16" s="87" t="s">
        <v>20</v>
      </c>
      <c r="B16" s="88">
        <v>23.021293928628001</v>
      </c>
      <c r="C16" s="88">
        <v>40.37929291786412</v>
      </c>
      <c r="D16" s="88">
        <v>37.519328973471218</v>
      </c>
      <c r="E16" s="88">
        <v>35.05579567483575</v>
      </c>
      <c r="F16" s="88">
        <v>34.17798495923001</v>
      </c>
      <c r="G16" s="89">
        <v>31.85603403407934</v>
      </c>
      <c r="H16" s="88">
        <v>37.434379549380346</v>
      </c>
      <c r="I16" s="88">
        <v>41.993331975590806</v>
      </c>
      <c r="J16" s="88">
        <v>41.228787158772903</v>
      </c>
      <c r="K16" s="88">
        <v>44.258649951347557</v>
      </c>
      <c r="L16" s="88">
        <v>39.841279898621892</v>
      </c>
      <c r="M16" s="88">
        <v>48.251272883618839</v>
      </c>
      <c r="N16" s="88">
        <f t="shared" si="3"/>
        <v>455.01743190544073</v>
      </c>
      <c r="O16" s="88">
        <f t="shared" si="4"/>
        <v>37.918119325453397</v>
      </c>
      <c r="R16" s="87" t="s">
        <v>20</v>
      </c>
      <c r="S16" s="88">
        <v>56.148979591836735</v>
      </c>
      <c r="T16" s="88">
        <v>72.955102040816328</v>
      </c>
      <c r="U16" s="88">
        <v>73.065306122448987</v>
      </c>
      <c r="V16" s="88">
        <v>67.444897959183677</v>
      </c>
      <c r="W16" s="88">
        <v>84.361224489795916</v>
      </c>
      <c r="X16" s="89">
        <v>91.8</v>
      </c>
      <c r="Y16" s="88">
        <v>78.02448979591837</v>
      </c>
      <c r="Z16" s="88">
        <v>89.265306122449005</v>
      </c>
      <c r="AA16" s="88">
        <v>82.8183673469388</v>
      </c>
      <c r="AB16" s="88">
        <v>78.300000000000026</v>
      </c>
      <c r="AC16" s="88">
        <f t="shared" si="5"/>
        <v>774.18367346938783</v>
      </c>
      <c r="AD16" s="88">
        <f t="shared" si="6"/>
        <v>77.41836734693878</v>
      </c>
      <c r="AE16" s="148"/>
    </row>
    <row r="17" spans="1:31" x14ac:dyDescent="0.35">
      <c r="A17" s="84" t="s">
        <v>21</v>
      </c>
      <c r="B17" s="85">
        <v>38.413794664071872</v>
      </c>
      <c r="C17" s="85">
        <v>67.377701341902196</v>
      </c>
      <c r="D17" s="85">
        <v>62.605507908850221</v>
      </c>
      <c r="E17" s="85">
        <v>58.49480663483515</v>
      </c>
      <c r="F17" s="85">
        <v>57.030073996967708</v>
      </c>
      <c r="G17" s="86">
        <v>53.155619922608679</v>
      </c>
      <c r="H17" s="85">
        <v>62.463759589056593</v>
      </c>
      <c r="I17" s="85">
        <v>70.070919417981031</v>
      </c>
      <c r="J17" s="85">
        <v>68.795184539838431</v>
      </c>
      <c r="K17" s="85">
        <v>73.850874612477654</v>
      </c>
      <c r="L17" s="85">
        <v>66.47996198320925</v>
      </c>
      <c r="M17" s="85">
        <v>80.513045642777939</v>
      </c>
      <c r="N17" s="85">
        <f t="shared" si="3"/>
        <v>759.25125025457669</v>
      </c>
      <c r="O17" s="85">
        <f t="shared" si="4"/>
        <v>63.270937521214726</v>
      </c>
      <c r="R17" s="84" t="s">
        <v>21</v>
      </c>
      <c r="S17" s="85">
        <v>62.387755102040813</v>
      </c>
      <c r="T17" s="85">
        <v>81.061224489795919</v>
      </c>
      <c r="U17" s="85">
        <v>81.183673469387756</v>
      </c>
      <c r="V17" s="85">
        <v>74.938775510204081</v>
      </c>
      <c r="W17" s="85">
        <v>93.734693877551024</v>
      </c>
      <c r="X17" s="86">
        <v>102</v>
      </c>
      <c r="Y17" s="85">
        <v>86.693877551020407</v>
      </c>
      <c r="Z17" s="85">
        <v>99.183673469387799</v>
      </c>
      <c r="AA17" s="85">
        <v>92.020408163265344</v>
      </c>
      <c r="AB17" s="85">
        <v>87.000000000000043</v>
      </c>
      <c r="AC17" s="85">
        <f t="shared" si="5"/>
        <v>860.20408163265313</v>
      </c>
      <c r="AD17" s="85">
        <f t="shared" si="6"/>
        <v>86.020408163265316</v>
      </c>
      <c r="AE17" s="148"/>
    </row>
    <row r="18" spans="1:31" x14ac:dyDescent="0.35">
      <c r="A18" s="87" t="s">
        <v>22</v>
      </c>
      <c r="B18" s="88">
        <v>3.92478106401756</v>
      </c>
      <c r="C18" s="88">
        <v>6.8840563312288321</v>
      </c>
      <c r="D18" s="88">
        <v>6.3964759038416563</v>
      </c>
      <c r="E18" s="88">
        <v>5.9764808822309217</v>
      </c>
      <c r="F18" s="88">
        <v>5.8268274837259471</v>
      </c>
      <c r="G18" s="89">
        <v>5.4309701070353693</v>
      </c>
      <c r="H18" s="88">
        <v>6.3819933168895622</v>
      </c>
      <c r="I18" s="88">
        <v>7.1592254833186244</v>
      </c>
      <c r="J18" s="88">
        <v>7.0288822007497753</v>
      </c>
      <c r="K18" s="88">
        <v>7.5454278020411394</v>
      </c>
      <c r="L18" s="88">
        <v>6.792333280532235</v>
      </c>
      <c r="M18" s="88">
        <v>8.2261093887895722</v>
      </c>
      <c r="N18" s="88">
        <f t="shared" si="3"/>
        <v>77.573563244401186</v>
      </c>
      <c r="O18" s="88">
        <f t="shared" si="4"/>
        <v>6.4644636037000991</v>
      </c>
      <c r="R18" s="87" t="s">
        <v>22</v>
      </c>
      <c r="S18" s="88">
        <v>2.0795918367346942</v>
      </c>
      <c r="T18" s="88">
        <v>2.702040816326531</v>
      </c>
      <c r="U18" s="88">
        <v>2.7061224489795919</v>
      </c>
      <c r="V18" s="88">
        <v>2.4979591836734696</v>
      </c>
      <c r="W18" s="88">
        <v>3.1244897959183677</v>
      </c>
      <c r="X18" s="89">
        <v>3.4000000000000004</v>
      </c>
      <c r="Y18" s="88">
        <v>2.8897959183673474</v>
      </c>
      <c r="Z18" s="88">
        <v>3.3061224489795937</v>
      </c>
      <c r="AA18" s="88">
        <v>3.0673469387755117</v>
      </c>
      <c r="AB18" s="88">
        <v>2.9000000000000017</v>
      </c>
      <c r="AC18" s="88">
        <f t="shared" si="5"/>
        <v>28.673469387755109</v>
      </c>
      <c r="AD18" s="88">
        <f t="shared" si="6"/>
        <v>2.8673469387755111</v>
      </c>
      <c r="AE18" s="148"/>
    </row>
    <row r="19" spans="1:31" x14ac:dyDescent="0.35">
      <c r="A19" s="84" t="s">
        <v>23</v>
      </c>
      <c r="B19" s="85">
        <v>47.925256273901923</v>
      </c>
      <c r="C19" s="85">
        <v>84.060781607114563</v>
      </c>
      <c r="D19" s="85">
        <v>78.10696748206648</v>
      </c>
      <c r="E19" s="85">
        <v>72.97843452286665</v>
      </c>
      <c r="F19" s="85">
        <v>71.151026227059802</v>
      </c>
      <c r="G19" s="86">
        <v>66.317236541377198</v>
      </c>
      <c r="H19" s="85">
        <v>77.930121517956138</v>
      </c>
      <c r="I19" s="85">
        <v>87.420854925211017</v>
      </c>
      <c r="J19" s="85">
        <v>85.829241248217954</v>
      </c>
      <c r="K19" s="85">
        <v>92.136747301486722</v>
      </c>
      <c r="L19" s="85">
        <v>82.940757167749084</v>
      </c>
      <c r="M19" s="85">
        <v>100.44850761467266</v>
      </c>
      <c r="N19" s="85">
        <f t="shared" si="3"/>
        <v>947.24593242968024</v>
      </c>
      <c r="O19" s="85">
        <f t="shared" si="4"/>
        <v>78.937161035806682</v>
      </c>
      <c r="R19" s="84" t="s">
        <v>23</v>
      </c>
      <c r="S19" s="85">
        <v>54.069387755102042</v>
      </c>
      <c r="T19" s="85">
        <v>70.253061224489798</v>
      </c>
      <c r="U19" s="85">
        <v>70.359183673469389</v>
      </c>
      <c r="V19" s="85">
        <v>64.946938775510205</v>
      </c>
      <c r="W19" s="85">
        <v>81.236734693877551</v>
      </c>
      <c r="X19" s="86">
        <v>88.399999999999991</v>
      </c>
      <c r="Y19" s="85">
        <v>75.134693877551015</v>
      </c>
      <c r="Z19" s="85">
        <v>85.959183673469411</v>
      </c>
      <c r="AA19" s="85">
        <v>79.751020408163299</v>
      </c>
      <c r="AB19" s="85">
        <v>75.40000000000002</v>
      </c>
      <c r="AC19" s="85">
        <f t="shared" si="5"/>
        <v>745.51020408163265</v>
      </c>
      <c r="AD19" s="85">
        <f t="shared" si="6"/>
        <v>74.551020408163268</v>
      </c>
      <c r="AE19" s="148"/>
    </row>
    <row r="20" spans="1:31" x14ac:dyDescent="0.35">
      <c r="A20" s="87" t="s">
        <v>24</v>
      </c>
      <c r="B20" s="88">
        <v>26.351225362630398</v>
      </c>
      <c r="C20" s="88">
        <v>46.219984461391086</v>
      </c>
      <c r="D20" s="88">
        <v>42.946338998136873</v>
      </c>
      <c r="E20" s="88">
        <v>40.126466173353549</v>
      </c>
      <c r="F20" s="88">
        <v>39.121683902453739</v>
      </c>
      <c r="G20" s="89">
        <v>36.463872734267156</v>
      </c>
      <c r="H20" s="88">
        <v>42.849102004178832</v>
      </c>
      <c r="I20" s="88">
        <v>48.06748734659395</v>
      </c>
      <c r="J20" s="88">
        <v>47.192354400971539</v>
      </c>
      <c r="K20" s="88">
        <v>50.660473852141841</v>
      </c>
      <c r="L20" s="88">
        <v>45.604150166323457</v>
      </c>
      <c r="M20" s="88">
        <v>55.230612568169988</v>
      </c>
      <c r="N20" s="88">
        <f t="shared" si="3"/>
        <v>520.83375197061241</v>
      </c>
      <c r="O20" s="88">
        <f t="shared" si="4"/>
        <v>43.402812664217699</v>
      </c>
      <c r="R20" s="87" t="s">
        <v>24</v>
      </c>
      <c r="S20" s="88">
        <v>16.636734693877553</v>
      </c>
      <c r="T20" s="88">
        <v>21.616326530612248</v>
      </c>
      <c r="U20" s="88">
        <v>21.648979591836735</v>
      </c>
      <c r="V20" s="88">
        <v>19.983673469387757</v>
      </c>
      <c r="W20" s="88">
        <v>24.995918367346942</v>
      </c>
      <c r="X20" s="89">
        <v>27.200000000000003</v>
      </c>
      <c r="Y20" s="88">
        <v>23.118367346938779</v>
      </c>
      <c r="Z20" s="88">
        <v>26.44897959183675</v>
      </c>
      <c r="AA20" s="88">
        <v>24.538775510204093</v>
      </c>
      <c r="AB20" s="88">
        <v>23.200000000000014</v>
      </c>
      <c r="AC20" s="88">
        <f t="shared" si="5"/>
        <v>229.38775510204087</v>
      </c>
      <c r="AD20" s="88">
        <f t="shared" si="6"/>
        <v>22.938775510204088</v>
      </c>
      <c r="AE20" s="148"/>
    </row>
    <row r="21" spans="1:31" x14ac:dyDescent="0.35">
      <c r="A21" s="84" t="s">
        <v>25</v>
      </c>
      <c r="B21" s="85">
        <v>25.290307981263151</v>
      </c>
      <c r="C21" s="85">
        <v>44.359137984355783</v>
      </c>
      <c r="D21" s="85">
        <v>41.217291605379678</v>
      </c>
      <c r="E21" s="85">
        <v>38.510948684875501</v>
      </c>
      <c r="F21" s="85">
        <v>37.54661959825907</v>
      </c>
      <c r="G21" s="86">
        <v>34.995813627209159</v>
      </c>
      <c r="H21" s="85">
        <v>41.123969435707117</v>
      </c>
      <c r="I21" s="85">
        <v>46.132259208134386</v>
      </c>
      <c r="J21" s="85">
        <v>45.292359681081365</v>
      </c>
      <c r="K21" s="85">
        <v>48.620850399402592</v>
      </c>
      <c r="L21" s="85">
        <v>43.768097576429589</v>
      </c>
      <c r="M21" s="85">
        <v>53.006992374012803</v>
      </c>
      <c r="N21" s="85">
        <f t="shared" si="3"/>
        <v>499.86464815611015</v>
      </c>
      <c r="O21" s="85">
        <f t="shared" si="4"/>
        <v>41.655387346342515</v>
      </c>
      <c r="R21" s="84" t="s">
        <v>25</v>
      </c>
      <c r="S21" s="85">
        <v>14.557142857142857</v>
      </c>
      <c r="T21" s="85">
        <v>18.914285714285715</v>
      </c>
      <c r="U21" s="85">
        <v>18.942857142857143</v>
      </c>
      <c r="V21" s="85">
        <v>17.485714285714284</v>
      </c>
      <c r="W21" s="85">
        <v>21.87142857142857</v>
      </c>
      <c r="X21" s="86">
        <v>23.8</v>
      </c>
      <c r="Y21" s="85">
        <v>20.228571428571428</v>
      </c>
      <c r="Z21" s="85">
        <v>23.142857142857153</v>
      </c>
      <c r="AA21" s="85">
        <v>21.471428571428582</v>
      </c>
      <c r="AB21" s="85">
        <v>20.300000000000008</v>
      </c>
      <c r="AC21" s="85">
        <f t="shared" si="5"/>
        <v>200.71428571428578</v>
      </c>
      <c r="AD21" s="85">
        <f t="shared" si="6"/>
        <v>20.071428571428577</v>
      </c>
      <c r="AE21" s="148"/>
    </row>
    <row r="22" spans="1:31" x14ac:dyDescent="0.35">
      <c r="A22" s="87" t="s">
        <v>26</v>
      </c>
      <c r="B22" s="88">
        <v>12.314000588355094</v>
      </c>
      <c r="C22" s="88">
        <v>21.598726739230461</v>
      </c>
      <c r="D22" s="88">
        <v>20.068943148303198</v>
      </c>
      <c r="E22" s="88">
        <v>18.751208767999515</v>
      </c>
      <c r="F22" s="88">
        <v>18.28167123019016</v>
      </c>
      <c r="G22" s="89">
        <v>17.03966871082347</v>
      </c>
      <c r="H22" s="88">
        <v>20.023504031741002</v>
      </c>
      <c r="I22" s="88">
        <v>22.462069953912184</v>
      </c>
      <c r="J22" s="88">
        <v>22.053117904852421</v>
      </c>
      <c r="K22" s="88">
        <v>23.673779728904073</v>
      </c>
      <c r="L22" s="88">
        <v>21.310945667669888</v>
      </c>
      <c r="M22" s="88">
        <v>25.809418207327283</v>
      </c>
      <c r="N22" s="88">
        <f t="shared" si="3"/>
        <v>243.38705467930879</v>
      </c>
      <c r="O22" s="88">
        <f t="shared" si="4"/>
        <v>20.282254556609065</v>
      </c>
      <c r="R22" s="87" t="s">
        <v>26</v>
      </c>
      <c r="S22" s="88">
        <v>4.1591836734693883</v>
      </c>
      <c r="T22" s="88">
        <v>5.4040816326530621</v>
      </c>
      <c r="U22" s="88">
        <v>5.4122448979591837</v>
      </c>
      <c r="V22" s="88">
        <v>4.9959183673469392</v>
      </c>
      <c r="W22" s="88">
        <v>6.2489795918367355</v>
      </c>
      <c r="X22" s="89">
        <v>6.8000000000000007</v>
      </c>
      <c r="Y22" s="88">
        <v>5.7795918367346948</v>
      </c>
      <c r="Z22" s="88">
        <v>6.6122448979591875</v>
      </c>
      <c r="AA22" s="88">
        <v>6.1346938775510234</v>
      </c>
      <c r="AB22" s="88">
        <v>5.8000000000000034</v>
      </c>
      <c r="AC22" s="88">
        <f t="shared" si="5"/>
        <v>57.346938775510218</v>
      </c>
      <c r="AD22" s="88">
        <f t="shared" si="6"/>
        <v>5.7346938775510221</v>
      </c>
      <c r="AE22" s="148"/>
    </row>
    <row r="23" spans="1:31" x14ac:dyDescent="0.35">
      <c r="A23" s="84" t="s">
        <v>27</v>
      </c>
      <c r="B23" s="85">
        <v>22.316059831187346</v>
      </c>
      <c r="C23" s="85">
        <v>39.14231404584644</v>
      </c>
      <c r="D23" s="85">
        <v>36.369962209499676</v>
      </c>
      <c r="E23" s="85">
        <v>33.98189676630988</v>
      </c>
      <c r="F23" s="85">
        <v>33.130976895748006</v>
      </c>
      <c r="G23" s="86">
        <v>30.880156592971421</v>
      </c>
      <c r="H23" s="85">
        <v>36.287615125251747</v>
      </c>
      <c r="I23" s="85">
        <v>40.70690864655699</v>
      </c>
      <c r="J23" s="85">
        <v>39.965784888325679</v>
      </c>
      <c r="K23" s="85">
        <v>42.902830893168293</v>
      </c>
      <c r="L23" s="85">
        <v>38.620782512276257</v>
      </c>
      <c r="M23" s="85">
        <v>46.773143852820709</v>
      </c>
      <c r="N23" s="85">
        <f t="shared" si="3"/>
        <v>441.07843225996248</v>
      </c>
      <c r="O23" s="85">
        <f t="shared" si="4"/>
        <v>36.756536021663543</v>
      </c>
      <c r="R23" s="84" t="s">
        <v>27</v>
      </c>
      <c r="S23" s="85">
        <v>14.557142857142857</v>
      </c>
      <c r="T23" s="85">
        <v>18.914285714285715</v>
      </c>
      <c r="U23" s="85">
        <v>18.942857142857143</v>
      </c>
      <c r="V23" s="85">
        <v>17.485714285714284</v>
      </c>
      <c r="W23" s="85">
        <v>21.87142857142857</v>
      </c>
      <c r="X23" s="86">
        <v>23.8</v>
      </c>
      <c r="Y23" s="85">
        <v>20.228571428571428</v>
      </c>
      <c r="Z23" s="85">
        <v>23.142857142857153</v>
      </c>
      <c r="AA23" s="85">
        <v>21.471428571428582</v>
      </c>
      <c r="AB23" s="85">
        <v>20.300000000000008</v>
      </c>
      <c r="AC23" s="85">
        <f t="shared" si="5"/>
        <v>200.71428571428578</v>
      </c>
      <c r="AD23" s="85">
        <f t="shared" si="6"/>
        <v>20.071428571428577</v>
      </c>
      <c r="AE23" s="148"/>
    </row>
    <row r="24" spans="1:31" x14ac:dyDescent="0.35">
      <c r="A24" s="87" t="s">
        <v>28</v>
      </c>
      <c r="B24" s="88">
        <v>40.333257903192958</v>
      </c>
      <c r="C24" s="88">
        <v>70.744435141393808</v>
      </c>
      <c r="D24" s="88">
        <v>65.733784405572777</v>
      </c>
      <c r="E24" s="88">
        <v>61.417679316301211</v>
      </c>
      <c r="F24" s="88">
        <v>59.879756813227431</v>
      </c>
      <c r="G24" s="89">
        <v>55.811703740580661</v>
      </c>
      <c r="H24" s="88">
        <v>65.584953195597905</v>
      </c>
      <c r="I24" s="88">
        <v>73.572228130916557</v>
      </c>
      <c r="J24" s="88">
        <v>72.232747241142619</v>
      </c>
      <c r="K24" s="88">
        <v>77.541060396913409</v>
      </c>
      <c r="L24" s="88">
        <v>69.801837478219554</v>
      </c>
      <c r="M24" s="88">
        <v>84.536127265732844</v>
      </c>
      <c r="N24" s="88">
        <f t="shared" si="3"/>
        <v>797.18957102879176</v>
      </c>
      <c r="O24" s="88">
        <f t="shared" si="4"/>
        <v>66.432464252399313</v>
      </c>
      <c r="R24" s="87" t="s">
        <v>28</v>
      </c>
      <c r="S24" s="88">
        <v>39.512244897959185</v>
      </c>
      <c r="T24" s="88">
        <v>51.33877551020408</v>
      </c>
      <c r="U24" s="88">
        <v>51.416326530612245</v>
      </c>
      <c r="V24" s="88">
        <v>47.461224489795917</v>
      </c>
      <c r="W24" s="88">
        <v>59.365306122448978</v>
      </c>
      <c r="X24" s="89">
        <v>64.599999999999994</v>
      </c>
      <c r="Y24" s="88">
        <v>54.906122448979595</v>
      </c>
      <c r="Z24" s="88">
        <v>62.816326530612265</v>
      </c>
      <c r="AA24" s="88">
        <v>58.279591836734717</v>
      </c>
      <c r="AB24" s="88">
        <v>55.100000000000023</v>
      </c>
      <c r="AC24" s="88">
        <f t="shared" si="5"/>
        <v>544.79591836734699</v>
      </c>
      <c r="AD24" s="88">
        <f t="shared" si="6"/>
        <v>54.479591836734699</v>
      </c>
      <c r="AE24" s="148"/>
    </row>
    <row r="25" spans="1:31" x14ac:dyDescent="0.35">
      <c r="A25" s="84" t="s">
        <v>29</v>
      </c>
      <c r="B25" s="85">
        <v>58.21554162612297</v>
      </c>
      <c r="C25" s="85">
        <v>102.10991680055517</v>
      </c>
      <c r="D25" s="85">
        <v>94.877727742451327</v>
      </c>
      <c r="E25" s="85">
        <v>88.648020335965853</v>
      </c>
      <c r="F25" s="85">
        <v>86.428239535953779</v>
      </c>
      <c r="G25" s="86">
        <v>80.55656129076057</v>
      </c>
      <c r="H25" s="85">
        <v>94.662910245675974</v>
      </c>
      <c r="I25" s="85">
        <v>106.19144923928704</v>
      </c>
      <c r="J25" s="85">
        <v>104.25809176830879</v>
      </c>
      <c r="K25" s="85">
        <v>111.91991581996335</v>
      </c>
      <c r="L25" s="85">
        <v>100.74940598764455</v>
      </c>
      <c r="M25" s="85">
        <v>122.01633816840534</v>
      </c>
      <c r="N25" s="85">
        <f t="shared" si="3"/>
        <v>1150.6341185610947</v>
      </c>
      <c r="O25" s="85">
        <f t="shared" si="4"/>
        <v>95.886176546757895</v>
      </c>
      <c r="R25" s="84" t="s">
        <v>29</v>
      </c>
      <c r="S25" s="85">
        <v>74.865306122448985</v>
      </c>
      <c r="T25" s="85">
        <v>97.273469387755114</v>
      </c>
      <c r="U25" s="85">
        <v>97.420408163265321</v>
      </c>
      <c r="V25" s="85">
        <v>89.926530612244903</v>
      </c>
      <c r="W25" s="85">
        <v>112.48163265306124</v>
      </c>
      <c r="X25" s="86">
        <v>122.4</v>
      </c>
      <c r="Y25" s="85">
        <v>104.03265306122449</v>
      </c>
      <c r="Z25" s="85">
        <v>119.02040816326536</v>
      </c>
      <c r="AA25" s="85">
        <v>110.42448979591842</v>
      </c>
      <c r="AB25" s="85">
        <v>104.40000000000005</v>
      </c>
      <c r="AC25" s="85">
        <f t="shared" si="5"/>
        <v>1032.2448979591838</v>
      </c>
      <c r="AD25" s="85">
        <f t="shared" si="6"/>
        <v>103.22448979591839</v>
      </c>
      <c r="AE25" s="148"/>
    </row>
    <row r="26" spans="1:31" x14ac:dyDescent="0.35">
      <c r="A26" s="87" t="s">
        <v>30</v>
      </c>
      <c r="B26" s="88">
        <v>7.4938788441085293</v>
      </c>
      <c r="C26" s="88">
        <v>13.144245057440052</v>
      </c>
      <c r="D26" s="88">
        <v>12.213271178897664</v>
      </c>
      <c r="E26" s="88">
        <v>11.411343184509667</v>
      </c>
      <c r="F26" s="88">
        <v>11.125598726739231</v>
      </c>
      <c r="G26" s="89">
        <v>10.369758548120657</v>
      </c>
      <c r="H26" s="88">
        <v>12.18561848943601</v>
      </c>
      <c r="I26" s="88">
        <v>13.669646157211499</v>
      </c>
      <c r="J26" s="88">
        <v>13.420771952056603</v>
      </c>
      <c r="K26" s="88">
        <v>14.407051209522301</v>
      </c>
      <c r="L26" s="88">
        <v>12.969111357516237</v>
      </c>
      <c r="M26" s="88">
        <v>15.706727614220091</v>
      </c>
      <c r="N26" s="88">
        <f t="shared" si="3"/>
        <v>148.11702231977853</v>
      </c>
      <c r="O26" s="88">
        <f t="shared" si="4"/>
        <v>12.343085193314877</v>
      </c>
      <c r="R26" s="87" t="s">
        <v>30</v>
      </c>
      <c r="S26" s="88">
        <v>4.1591836734693883</v>
      </c>
      <c r="T26" s="88">
        <v>5.4040816326530621</v>
      </c>
      <c r="U26" s="88">
        <v>5.4122448979591837</v>
      </c>
      <c r="V26" s="88">
        <v>4.9959183673469392</v>
      </c>
      <c r="W26" s="88">
        <v>6.2489795918367355</v>
      </c>
      <c r="X26" s="89">
        <v>6.8000000000000007</v>
      </c>
      <c r="Y26" s="88">
        <v>5.7795918367346948</v>
      </c>
      <c r="Z26" s="88">
        <v>6.6122448979591875</v>
      </c>
      <c r="AA26" s="88">
        <v>6.1346938775510234</v>
      </c>
      <c r="AB26" s="88">
        <v>5.8000000000000034</v>
      </c>
      <c r="AC26" s="88">
        <f t="shared" si="5"/>
        <v>57.346938775510218</v>
      </c>
      <c r="AD26" s="88">
        <f t="shared" si="6"/>
        <v>5.7346938775510221</v>
      </c>
      <c r="AE26" s="148"/>
    </row>
    <row r="27" spans="1:31" x14ac:dyDescent="0.35">
      <c r="A27" s="84" t="s">
        <v>31</v>
      </c>
      <c r="B27" s="85">
        <v>24.210993188658321</v>
      </c>
      <c r="C27" s="85">
        <v>42.466022493267857</v>
      </c>
      <c r="D27" s="85">
        <v>39.458260731823216</v>
      </c>
      <c r="E27" s="85">
        <v>36.867416442261998</v>
      </c>
      <c r="F27" s="85">
        <v>35.944242040234435</v>
      </c>
      <c r="G27" s="86">
        <v>33.502296847774431</v>
      </c>
      <c r="H27" s="85">
        <v>39.368921273562485</v>
      </c>
      <c r="I27" s="85">
        <v>44.163472200221761</v>
      </c>
      <c r="J27" s="85">
        <v>43.359417075875179</v>
      </c>
      <c r="K27" s="85">
        <v>46.545857753841275</v>
      </c>
      <c r="L27" s="85">
        <v>41.90020592428322</v>
      </c>
      <c r="M27" s="85">
        <v>50.744812292095673</v>
      </c>
      <c r="N27" s="85">
        <f t="shared" si="3"/>
        <v>478.53191826389985</v>
      </c>
      <c r="O27" s="85">
        <f t="shared" si="4"/>
        <v>39.877659855324985</v>
      </c>
      <c r="R27" s="84" t="s">
        <v>31</v>
      </c>
      <c r="S27" s="85">
        <v>10.397959183673468</v>
      </c>
      <c r="T27" s="85">
        <v>13.510204081632653</v>
      </c>
      <c r="U27" s="85">
        <v>13.530612244897958</v>
      </c>
      <c r="V27" s="85">
        <v>12.489795918367346</v>
      </c>
      <c r="W27" s="85">
        <v>15.622448979591836</v>
      </c>
      <c r="X27" s="86">
        <v>17</v>
      </c>
      <c r="Y27" s="85">
        <v>14.448979591836734</v>
      </c>
      <c r="Z27" s="85">
        <v>16.530612244897966</v>
      </c>
      <c r="AA27" s="85">
        <v>15.336734693877558</v>
      </c>
      <c r="AB27" s="85">
        <v>14.500000000000007</v>
      </c>
      <c r="AC27" s="85">
        <f t="shared" si="5"/>
        <v>143.36734693877551</v>
      </c>
      <c r="AD27" s="85">
        <f t="shared" si="6"/>
        <v>14.336734693877551</v>
      </c>
      <c r="AE27" s="148"/>
    </row>
    <row r="28" spans="1:31" x14ac:dyDescent="0.35">
      <c r="A28" s="87" t="s">
        <v>32</v>
      </c>
      <c r="B28" s="88">
        <v>20.151297775565162</v>
      </c>
      <c r="C28" s="88">
        <v>35.345326725653038</v>
      </c>
      <c r="D28" s="88">
        <v>32.84190596878701</v>
      </c>
      <c r="E28" s="88">
        <v>30.68549402970439</v>
      </c>
      <c r="F28" s="88">
        <v>29.917117361755412</v>
      </c>
      <c r="G28" s="89">
        <v>27.884637143309725</v>
      </c>
      <c r="H28" s="88">
        <v>32.767546936404848</v>
      </c>
      <c r="I28" s="88">
        <v>36.758148340914062</v>
      </c>
      <c r="J28" s="88">
        <v>36.088917049474631</v>
      </c>
      <c r="K28" s="88">
        <v>38.741055871104976</v>
      </c>
      <c r="L28" s="88">
        <v>34.874386187232695</v>
      </c>
      <c r="M28" s="88">
        <v>42.235930393066461</v>
      </c>
      <c r="N28" s="88">
        <f t="shared" si="3"/>
        <v>398.29176378297234</v>
      </c>
      <c r="O28" s="88">
        <f t="shared" si="4"/>
        <v>33.190980315247693</v>
      </c>
      <c r="R28" s="87" t="s">
        <v>32</v>
      </c>
      <c r="S28" s="88">
        <v>14.557142857142857</v>
      </c>
      <c r="T28" s="88">
        <v>18.914285714285715</v>
      </c>
      <c r="U28" s="88">
        <v>18.942857142857143</v>
      </c>
      <c r="V28" s="88">
        <v>17.485714285714284</v>
      </c>
      <c r="W28" s="88">
        <v>21.87142857142857</v>
      </c>
      <c r="X28" s="89">
        <v>23.8</v>
      </c>
      <c r="Y28" s="88">
        <v>20.228571428571428</v>
      </c>
      <c r="Z28" s="88">
        <v>23.142857142857153</v>
      </c>
      <c r="AA28" s="88">
        <v>21.471428571428582</v>
      </c>
      <c r="AB28" s="88">
        <v>20.300000000000008</v>
      </c>
      <c r="AC28" s="88">
        <f t="shared" si="5"/>
        <v>200.71428571428578</v>
      </c>
      <c r="AD28" s="88">
        <f t="shared" si="6"/>
        <v>20.071428571428577</v>
      </c>
      <c r="AE28" s="148"/>
    </row>
    <row r="29" spans="1:31" x14ac:dyDescent="0.35">
      <c r="A29" s="84" t="s">
        <v>33</v>
      </c>
      <c r="B29" s="85">
        <v>18.256364418094183</v>
      </c>
      <c r="C29" s="85">
        <v>32.021618278231614</v>
      </c>
      <c r="D29" s="85">
        <v>29.753607446463459</v>
      </c>
      <c r="E29" s="85">
        <v>27.799974353752273</v>
      </c>
      <c r="F29" s="85">
        <v>27.103852217268976</v>
      </c>
      <c r="G29" s="86">
        <v>25.26249688850671</v>
      </c>
      <c r="H29" s="85">
        <v>29.686240788094107</v>
      </c>
      <c r="I29" s="85">
        <v>33.30158478724929</v>
      </c>
      <c r="J29" s="85">
        <v>32.695284861925131</v>
      </c>
      <c r="K29" s="85">
        <v>35.098029010431986</v>
      </c>
      <c r="L29" s="85">
        <v>31.594962775225724</v>
      </c>
      <c r="M29" s="85">
        <v>38.264261953791497</v>
      </c>
      <c r="N29" s="85">
        <f t="shared" si="3"/>
        <v>360.83827777903491</v>
      </c>
      <c r="O29" s="85">
        <f t="shared" si="4"/>
        <v>30.069856481586243</v>
      </c>
      <c r="R29" s="84" t="s">
        <v>33</v>
      </c>
      <c r="S29" s="85">
        <v>12.477551020408162</v>
      </c>
      <c r="T29" s="85">
        <v>16.212244897959184</v>
      </c>
      <c r="U29" s="85">
        <v>16.236734693877551</v>
      </c>
      <c r="V29" s="85">
        <v>14.987755102040815</v>
      </c>
      <c r="W29" s="85">
        <v>18.746938775510202</v>
      </c>
      <c r="X29" s="86">
        <v>20.399999999999999</v>
      </c>
      <c r="Y29" s="85">
        <v>17.33877551020408</v>
      </c>
      <c r="Z29" s="85">
        <v>19.836734693877556</v>
      </c>
      <c r="AA29" s="85">
        <v>18.404081632653064</v>
      </c>
      <c r="AB29" s="85">
        <v>17.400000000000006</v>
      </c>
      <c r="AC29" s="85">
        <f t="shared" si="5"/>
        <v>172.0408163265306</v>
      </c>
      <c r="AD29" s="85">
        <f t="shared" si="6"/>
        <v>17.204081632653061</v>
      </c>
      <c r="AE29" s="148"/>
    </row>
    <row r="30" spans="1:31" x14ac:dyDescent="0.35">
      <c r="A30" s="87" t="s">
        <v>34</v>
      </c>
      <c r="B30" s="88">
        <v>57.620691996107801</v>
      </c>
      <c r="C30" s="88">
        <v>101.06655201285329</v>
      </c>
      <c r="D30" s="88">
        <v>93.908261863275314</v>
      </c>
      <c r="E30" s="88">
        <v>87.742209952252708</v>
      </c>
      <c r="F30" s="88">
        <v>85.545110995451552</v>
      </c>
      <c r="G30" s="89">
        <v>79.733429883913004</v>
      </c>
      <c r="H30" s="88">
        <v>93.69563938358489</v>
      </c>
      <c r="I30" s="88">
        <v>105.10637912697155</v>
      </c>
      <c r="J30" s="88">
        <v>103.19277680975763</v>
      </c>
      <c r="K30" s="88">
        <v>110.77631191871647</v>
      </c>
      <c r="L30" s="88">
        <v>99.719942974813861</v>
      </c>
      <c r="M30" s="88">
        <v>120.76956846416689</v>
      </c>
      <c r="N30" s="88">
        <f t="shared" si="3"/>
        <v>1138.8768753818649</v>
      </c>
      <c r="O30" s="88">
        <f t="shared" si="4"/>
        <v>94.906406281822072</v>
      </c>
      <c r="R30" s="87" t="s">
        <v>34</v>
      </c>
      <c r="S30" s="88">
        <v>41.591836734693871</v>
      </c>
      <c r="T30" s="88">
        <v>54.04081632653061</v>
      </c>
      <c r="U30" s="88">
        <v>54.12244897959183</v>
      </c>
      <c r="V30" s="88">
        <v>49.959183673469383</v>
      </c>
      <c r="W30" s="88">
        <v>62.489795918367342</v>
      </c>
      <c r="X30" s="89">
        <v>68</v>
      </c>
      <c r="Y30" s="88">
        <v>57.795918367346935</v>
      </c>
      <c r="Z30" s="88">
        <v>66.122448979591866</v>
      </c>
      <c r="AA30" s="88">
        <v>61.346938775510232</v>
      </c>
      <c r="AB30" s="88">
        <v>58.000000000000028</v>
      </c>
      <c r="AC30" s="88">
        <f t="shared" si="5"/>
        <v>573.46938775510205</v>
      </c>
      <c r="AD30" s="88">
        <f t="shared" si="6"/>
        <v>57.346938775510203</v>
      </c>
      <c r="AE30" s="148"/>
    </row>
    <row r="31" spans="1:31" x14ac:dyDescent="0.35">
      <c r="A31" s="84" t="s">
        <v>35</v>
      </c>
      <c r="B31" s="85">
        <v>11.069109094612026</v>
      </c>
      <c r="C31" s="85">
        <v>19.415190121668818</v>
      </c>
      <c r="D31" s="85">
        <v>18.040060947553425</v>
      </c>
      <c r="E31" s="85">
        <v>16.855543738166897</v>
      </c>
      <c r="F31" s="85">
        <v>16.433474387695835</v>
      </c>
      <c r="G31" s="86">
        <v>15.317032879998191</v>
      </c>
      <c r="H31" s="85">
        <v>17.999215526540095</v>
      </c>
      <c r="I31" s="85">
        <v>20.19125312092206</v>
      </c>
      <c r="J31" s="85">
        <v>19.823644331802104</v>
      </c>
      <c r="K31" s="85">
        <v>21.280464347944154</v>
      </c>
      <c r="L31" s="85">
        <v>19.156502455251072</v>
      </c>
      <c r="M31" s="85">
        <v>23.200199135570593</v>
      </c>
      <c r="N31" s="85">
        <f t="shared" si="3"/>
        <v>218.78169008772528</v>
      </c>
      <c r="O31" s="85">
        <f t="shared" si="4"/>
        <v>18.231807507310439</v>
      </c>
      <c r="R31" s="84" t="s">
        <v>35</v>
      </c>
      <c r="S31" s="85">
        <v>24.955102040816325</v>
      </c>
      <c r="T31" s="85">
        <v>32.424489795918369</v>
      </c>
      <c r="U31" s="85">
        <v>32.473469387755102</v>
      </c>
      <c r="V31" s="85">
        <v>29.97551020408163</v>
      </c>
      <c r="W31" s="85">
        <v>37.493877551020404</v>
      </c>
      <c r="X31" s="86">
        <v>40.799999999999997</v>
      </c>
      <c r="Y31" s="85">
        <v>34.67755102040816</v>
      </c>
      <c r="Z31" s="85">
        <v>39.673469387755112</v>
      </c>
      <c r="AA31" s="85">
        <v>36.808163265306128</v>
      </c>
      <c r="AB31" s="85">
        <v>34.800000000000011</v>
      </c>
      <c r="AC31" s="85">
        <f t="shared" si="5"/>
        <v>344.08163265306121</v>
      </c>
      <c r="AD31" s="85">
        <f t="shared" si="6"/>
        <v>34.408163265306122</v>
      </c>
      <c r="AE31" s="148"/>
    </row>
    <row r="32" spans="1:31" x14ac:dyDescent="0.35">
      <c r="A32" s="87" t="s">
        <v>36</v>
      </c>
      <c r="B32" s="88">
        <v>3.9370460048426152</v>
      </c>
      <c r="C32" s="88">
        <v>6.9055690072639226</v>
      </c>
      <c r="D32" s="88">
        <v>6.4164648910411621</v>
      </c>
      <c r="E32" s="88">
        <v>5.9951573849878939</v>
      </c>
      <c r="F32" s="88">
        <v>5.845036319612591</v>
      </c>
      <c r="G32" s="89">
        <v>5.4479418886198552</v>
      </c>
      <c r="H32" s="88">
        <v>6.4019370460048428</v>
      </c>
      <c r="I32" s="88">
        <v>7.1815980629539959</v>
      </c>
      <c r="J32" s="88">
        <v>7.0508474576271194</v>
      </c>
      <c r="K32" s="88">
        <v>7.5690072639225185</v>
      </c>
      <c r="L32" s="88">
        <v>6.8135593220338988</v>
      </c>
      <c r="M32" s="88">
        <v>8.2518159806295408</v>
      </c>
      <c r="N32" s="88">
        <f t="shared" si="3"/>
        <v>77.815980629539965</v>
      </c>
      <c r="O32" s="88">
        <f t="shared" si="4"/>
        <v>6.484665052461664</v>
      </c>
      <c r="R32" s="87" t="s">
        <v>36</v>
      </c>
      <c r="S32" s="88">
        <v>1.0190000000000001</v>
      </c>
      <c r="T32" s="88">
        <v>1.3240000000000001</v>
      </c>
      <c r="U32" s="88">
        <v>1.3260000000000001</v>
      </c>
      <c r="V32" s="88">
        <v>1.224</v>
      </c>
      <c r="W32" s="88">
        <v>1.5310000000000001</v>
      </c>
      <c r="X32" s="89">
        <v>1.6659999999999999</v>
      </c>
      <c r="Y32" s="88">
        <v>1.4159999999999999</v>
      </c>
      <c r="Z32" s="88">
        <v>1.6200000000000008</v>
      </c>
      <c r="AA32" s="88">
        <v>1.5030000000000008</v>
      </c>
      <c r="AB32" s="88">
        <v>1.4210000000000007</v>
      </c>
      <c r="AC32" s="88">
        <f t="shared" si="5"/>
        <v>14.050000000000002</v>
      </c>
      <c r="AD32" s="88">
        <f t="shared" si="6"/>
        <v>1.4050000000000002</v>
      </c>
      <c r="AE32" s="148"/>
    </row>
    <row r="33" spans="1:31" x14ac:dyDescent="0.35">
      <c r="A33" s="84" t="s">
        <v>37</v>
      </c>
      <c r="B33" s="85">
        <v>15.889230838858593</v>
      </c>
      <c r="C33" s="85">
        <v>27.86967180345923</v>
      </c>
      <c r="D33" s="85">
        <v>25.895732916958959</v>
      </c>
      <c r="E33" s="85">
        <v>24.195409321656751</v>
      </c>
      <c r="F33" s="85">
        <v>23.589546891146767</v>
      </c>
      <c r="G33" s="86">
        <v>21.986943042701004</v>
      </c>
      <c r="H33" s="85">
        <v>25.83710106884509</v>
      </c>
      <c r="I33" s="85">
        <v>28.983676917622745</v>
      </c>
      <c r="J33" s="85">
        <v>28.455990284597924</v>
      </c>
      <c r="K33" s="85">
        <v>30.547192867325929</v>
      </c>
      <c r="L33" s="85">
        <v>27.498336765404723</v>
      </c>
      <c r="M33" s="85">
        <v>33.302889728677791</v>
      </c>
      <c r="N33" s="85">
        <f t="shared" si="3"/>
        <v>314.05172244725549</v>
      </c>
      <c r="O33" s="85">
        <f t="shared" si="4"/>
        <v>26.170976870604623</v>
      </c>
      <c r="R33" s="84" t="s">
        <v>37</v>
      </c>
      <c r="S33" s="85">
        <v>2.0795918367346942</v>
      </c>
      <c r="T33" s="85">
        <v>2.702040816326531</v>
      </c>
      <c r="U33" s="85">
        <v>2.7061224489795919</v>
      </c>
      <c r="V33" s="85">
        <v>2.4979591836734696</v>
      </c>
      <c r="W33" s="85">
        <v>3.1244897959183677</v>
      </c>
      <c r="X33" s="86">
        <v>3.4000000000000004</v>
      </c>
      <c r="Y33" s="85">
        <v>2.8897959183673474</v>
      </c>
      <c r="Z33" s="85">
        <v>3.3061224489795937</v>
      </c>
      <c r="AA33" s="85">
        <v>3.0673469387755117</v>
      </c>
      <c r="AB33" s="85">
        <v>2.9000000000000017</v>
      </c>
      <c r="AC33" s="85">
        <f t="shared" si="5"/>
        <v>28.673469387755109</v>
      </c>
      <c r="AD33" s="85">
        <f t="shared" si="6"/>
        <v>2.8673469387755111</v>
      </c>
      <c r="AE33" s="148"/>
    </row>
    <row r="34" spans="1:31" x14ac:dyDescent="0.35">
      <c r="A34" s="87" t="s">
        <v>38</v>
      </c>
      <c r="B34" s="88">
        <v>8.6161209296010508</v>
      </c>
      <c r="C34" s="88">
        <v>15.112654914650797</v>
      </c>
      <c r="D34" s="88">
        <v>14.042263507652388</v>
      </c>
      <c r="E34" s="88">
        <v>13.120243186772571</v>
      </c>
      <c r="F34" s="88">
        <v>12.791707210367118</v>
      </c>
      <c r="G34" s="89">
        <v>11.922676563101085</v>
      </c>
      <c r="H34" s="88">
        <v>14.010469703484119</v>
      </c>
      <c r="I34" s="88">
        <v>15.716737193847917</v>
      </c>
      <c r="J34" s="88">
        <v>15.430592956333491</v>
      </c>
      <c r="K34" s="88">
        <v>16.564571971668439</v>
      </c>
      <c r="L34" s="88">
        <v>14.911294154918423</v>
      </c>
      <c r="M34" s="88">
        <v>18.058880767577108</v>
      </c>
      <c r="N34" s="88">
        <f t="shared" si="3"/>
        <v>170.29821305997453</v>
      </c>
      <c r="O34" s="88">
        <f t="shared" si="4"/>
        <v>14.191517754997877</v>
      </c>
      <c r="R34" s="87" t="s">
        <v>38</v>
      </c>
      <c r="S34" s="88">
        <v>10.397959183673468</v>
      </c>
      <c r="T34" s="88">
        <v>13.510204081632653</v>
      </c>
      <c r="U34" s="88">
        <v>13.530612244897958</v>
      </c>
      <c r="V34" s="88">
        <v>12.489795918367346</v>
      </c>
      <c r="W34" s="88">
        <v>15.622448979591836</v>
      </c>
      <c r="X34" s="89">
        <v>17</v>
      </c>
      <c r="Y34" s="88">
        <v>14.448979591836734</v>
      </c>
      <c r="Z34" s="88">
        <v>16.530612244897966</v>
      </c>
      <c r="AA34" s="88">
        <v>15.336734693877558</v>
      </c>
      <c r="AB34" s="88">
        <v>14.500000000000007</v>
      </c>
      <c r="AC34" s="88">
        <f t="shared" si="5"/>
        <v>143.36734693877551</v>
      </c>
      <c r="AD34" s="88">
        <f t="shared" si="6"/>
        <v>14.336734693877551</v>
      </c>
      <c r="AE34" s="148"/>
    </row>
    <row r="35" spans="1:31" x14ac:dyDescent="0.35">
      <c r="A35" s="84" t="s">
        <v>39</v>
      </c>
      <c r="B35" s="85">
        <v>10.26575547057093</v>
      </c>
      <c r="C35" s="85">
        <v>18.006109841370414</v>
      </c>
      <c r="D35" s="85">
        <v>16.730782285985836</v>
      </c>
      <c r="E35" s="85">
        <v>15.632232807585256</v>
      </c>
      <c r="F35" s="85">
        <v>15.24079563712068</v>
      </c>
      <c r="G35" s="86">
        <v>14.205381186214387</v>
      </c>
      <c r="H35" s="85">
        <v>16.692901269489262</v>
      </c>
      <c r="I35" s="85">
        <v>18.725849154805278</v>
      </c>
      <c r="J35" s="85">
        <v>18.384920006336131</v>
      </c>
      <c r="K35" s="85">
        <v>19.736009594713856</v>
      </c>
      <c r="L35" s="85">
        <v>17.766196736892127</v>
      </c>
      <c r="M35" s="85">
        <v>21.516417370052725</v>
      </c>
      <c r="N35" s="85">
        <f t="shared" si="3"/>
        <v>202.90335136113688</v>
      </c>
      <c r="O35" s="85">
        <f t="shared" si="4"/>
        <v>16.908612613428073</v>
      </c>
      <c r="R35" s="84" t="s">
        <v>39</v>
      </c>
      <c r="S35" s="85">
        <v>43.671428571428571</v>
      </c>
      <c r="T35" s="85">
        <v>56.74285714285714</v>
      </c>
      <c r="U35" s="85">
        <v>56.828571428571429</v>
      </c>
      <c r="V35" s="85">
        <v>52.457142857142856</v>
      </c>
      <c r="W35" s="85">
        <v>65.614285714285714</v>
      </c>
      <c r="X35" s="86">
        <v>71.400000000000006</v>
      </c>
      <c r="Y35" s="85">
        <v>60.685714285714283</v>
      </c>
      <c r="Z35" s="85">
        <v>69.428571428571445</v>
      </c>
      <c r="AA35" s="85">
        <v>64.414285714285739</v>
      </c>
      <c r="AB35" s="85">
        <v>60.90000000000002</v>
      </c>
      <c r="AC35" s="85">
        <f t="shared" si="5"/>
        <v>602.14285714285711</v>
      </c>
      <c r="AD35" s="85">
        <f t="shared" si="6"/>
        <v>60.214285714285708</v>
      </c>
      <c r="AE35" s="148"/>
    </row>
    <row r="36" spans="1:31" x14ac:dyDescent="0.35">
      <c r="A36" s="87" t="s">
        <v>40</v>
      </c>
      <c r="B36" s="88">
        <v>30.699146885112352</v>
      </c>
      <c r="C36" s="88">
        <v>53.84622811583052</v>
      </c>
      <c r="D36" s="88">
        <v>50.032434960361464</v>
      </c>
      <c r="E36" s="88">
        <v>46.747286400699991</v>
      </c>
      <c r="F36" s="88">
        <v>45.576716224268893</v>
      </c>
      <c r="G36" s="89">
        <v>42.48036930596728</v>
      </c>
      <c r="H36" s="88">
        <v>49.919153975545548</v>
      </c>
      <c r="I36" s="88">
        <v>55.998566827332866</v>
      </c>
      <c r="J36" s="88">
        <v>54.979037963989647</v>
      </c>
      <c r="K36" s="88">
        <v>59.019393089090535</v>
      </c>
      <c r="L36" s="88">
        <v>53.128781878663077</v>
      </c>
      <c r="M36" s="88">
        <v>64.343599375438444</v>
      </c>
      <c r="N36" s="88">
        <f t="shared" si="3"/>
        <v>606.77071500230068</v>
      </c>
      <c r="O36" s="88">
        <f t="shared" si="4"/>
        <v>50.564226250191723</v>
      </c>
      <c r="R36" s="87" t="s">
        <v>40</v>
      </c>
      <c r="S36" s="88">
        <v>22.875510204081632</v>
      </c>
      <c r="T36" s="88">
        <v>29.722448979591835</v>
      </c>
      <c r="U36" s="88">
        <v>29.767346938775507</v>
      </c>
      <c r="V36" s="88">
        <v>27.477551020408161</v>
      </c>
      <c r="W36" s="88">
        <v>34.369387755102039</v>
      </c>
      <c r="X36" s="89">
        <v>37.4</v>
      </c>
      <c r="Y36" s="88">
        <v>31.787755102040816</v>
      </c>
      <c r="Z36" s="88">
        <v>36.367346938775526</v>
      </c>
      <c r="AA36" s="88">
        <v>33.740816326530627</v>
      </c>
      <c r="AB36" s="88">
        <v>31.900000000000013</v>
      </c>
      <c r="AC36" s="88">
        <f t="shared" si="5"/>
        <v>315.4081632653062</v>
      </c>
      <c r="AD36" s="88">
        <f t="shared" si="6"/>
        <v>31.540816326530621</v>
      </c>
      <c r="AE36" s="148"/>
    </row>
    <row r="37" spans="1:31" x14ac:dyDescent="0.35">
      <c r="A37" s="84" t="s">
        <v>41</v>
      </c>
      <c r="B37" s="85">
        <v>4.5380281052703042</v>
      </c>
      <c r="C37" s="85">
        <v>7.9596901329833383</v>
      </c>
      <c r="D37" s="85">
        <v>7.395925263816916</v>
      </c>
      <c r="E37" s="85">
        <v>6.9103060200795037</v>
      </c>
      <c r="F37" s="85">
        <v>6.7372692780581271</v>
      </c>
      <c r="G37" s="86">
        <v>6.2795591862596458</v>
      </c>
      <c r="H37" s="85">
        <v>7.3791797726535568</v>
      </c>
      <c r="I37" s="85">
        <v>8.2778544650871595</v>
      </c>
      <c r="J37" s="85">
        <v>8.1271450446169275</v>
      </c>
      <c r="K37" s="85">
        <v>8.7244008961100672</v>
      </c>
      <c r="L37" s="85">
        <v>7.8536353556153973</v>
      </c>
      <c r="M37" s="85">
        <v>9.5114389807879434</v>
      </c>
      <c r="N37" s="85">
        <f t="shared" si="3"/>
        <v>89.694432501338895</v>
      </c>
      <c r="O37" s="85">
        <f t="shared" si="4"/>
        <v>7.4745360417782409</v>
      </c>
      <c r="R37" s="84" t="s">
        <v>41</v>
      </c>
      <c r="S37" s="85">
        <v>4.1591836734693883</v>
      </c>
      <c r="T37" s="85">
        <v>5.4040816326530621</v>
      </c>
      <c r="U37" s="85">
        <v>5.4122448979591837</v>
      </c>
      <c r="V37" s="85">
        <v>4.9959183673469392</v>
      </c>
      <c r="W37" s="85">
        <v>6.2489795918367355</v>
      </c>
      <c r="X37" s="86">
        <v>6.8000000000000007</v>
      </c>
      <c r="Y37" s="85">
        <v>5.7795918367346948</v>
      </c>
      <c r="Z37" s="85">
        <v>6.6122448979591875</v>
      </c>
      <c r="AA37" s="85">
        <v>6.1346938775510234</v>
      </c>
      <c r="AB37" s="85">
        <v>5.8000000000000034</v>
      </c>
      <c r="AC37" s="85">
        <f t="shared" si="5"/>
        <v>57.346938775510218</v>
      </c>
      <c r="AD37" s="85">
        <f t="shared" si="6"/>
        <v>5.7346938775510221</v>
      </c>
      <c r="AE37" s="148"/>
    </row>
    <row r="38" spans="1:31" x14ac:dyDescent="0.35">
      <c r="A38" s="9" t="s">
        <v>42</v>
      </c>
      <c r="B38" s="91">
        <v>813</v>
      </c>
      <c r="C38" s="91">
        <v>1426</v>
      </c>
      <c r="D38" s="91">
        <v>1325</v>
      </c>
      <c r="E38" s="91">
        <v>1238</v>
      </c>
      <c r="F38" s="91">
        <v>1207</v>
      </c>
      <c r="G38" s="91">
        <v>1125</v>
      </c>
      <c r="H38" s="91">
        <v>1322</v>
      </c>
      <c r="I38" s="91">
        <v>1483</v>
      </c>
      <c r="J38" s="91">
        <v>1456</v>
      </c>
      <c r="K38" s="91">
        <v>1563</v>
      </c>
      <c r="L38" s="91">
        <v>1407</v>
      </c>
      <c r="M38" s="91">
        <v>1704</v>
      </c>
      <c r="N38" s="92">
        <f>SUM(N13:N37)</f>
        <v>16069.000000000004</v>
      </c>
      <c r="O38" s="92">
        <f>SUM(O13:O37)</f>
        <v>1339.083333333333</v>
      </c>
      <c r="R38" s="9" t="s">
        <v>42</v>
      </c>
      <c r="S38" s="91">
        <f>SUM(S13:S37)</f>
        <v>1019</v>
      </c>
      <c r="T38" s="91">
        <f t="shared" ref="T38:AC38" si="7">SUM(T13:T37)</f>
        <v>1324.0000000000007</v>
      </c>
      <c r="U38" s="91">
        <f t="shared" si="7"/>
        <v>1326.0000000000002</v>
      </c>
      <c r="V38" s="91">
        <f t="shared" si="7"/>
        <v>1223.9999999999998</v>
      </c>
      <c r="W38" s="91">
        <f t="shared" si="7"/>
        <v>1531.0000000000002</v>
      </c>
      <c r="X38" s="91">
        <f t="shared" si="7"/>
        <v>1666</v>
      </c>
      <c r="Y38" s="91">
        <f t="shared" si="7"/>
        <v>1415.9999999999995</v>
      </c>
      <c r="Z38" s="91">
        <f t="shared" si="7"/>
        <v>1620.0000000000011</v>
      </c>
      <c r="AA38" s="91">
        <f t="shared" si="7"/>
        <v>1503</v>
      </c>
      <c r="AB38" s="91">
        <f t="shared" si="7"/>
        <v>1421.0000000000005</v>
      </c>
      <c r="AC38" s="91">
        <f t="shared" si="7"/>
        <v>14050.000000000005</v>
      </c>
      <c r="AD38" s="91">
        <f>SUM(AD13:AD37)</f>
        <v>1405</v>
      </c>
      <c r="AE38" s="148"/>
    </row>
    <row r="39" spans="1:31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1" spans="1:31" ht="18.5" x14ac:dyDescent="0.45">
      <c r="A41" s="50" t="s">
        <v>136</v>
      </c>
      <c r="R41" s="50" t="s">
        <v>136</v>
      </c>
    </row>
    <row r="42" spans="1:31" x14ac:dyDescent="0.35">
      <c r="A42" s="81" t="s">
        <v>2</v>
      </c>
      <c r="B42" s="82" t="s">
        <v>3</v>
      </c>
      <c r="C42" s="82" t="s">
        <v>4</v>
      </c>
      <c r="D42" s="82" t="s">
        <v>5</v>
      </c>
      <c r="E42" s="82" t="s">
        <v>6</v>
      </c>
      <c r="F42" s="82" t="s">
        <v>7</v>
      </c>
      <c r="G42" s="82" t="s">
        <v>8</v>
      </c>
      <c r="H42" s="82" t="s">
        <v>9</v>
      </c>
      <c r="I42" s="82" t="s">
        <v>10</v>
      </c>
      <c r="J42" s="82" t="s">
        <v>11</v>
      </c>
      <c r="K42" s="82" t="s">
        <v>12</v>
      </c>
      <c r="L42" s="82" t="s">
        <v>13</v>
      </c>
      <c r="M42" s="82" t="s">
        <v>14</v>
      </c>
      <c r="N42" s="83" t="s">
        <v>15</v>
      </c>
      <c r="O42" s="83" t="s">
        <v>16</v>
      </c>
      <c r="R42" s="81" t="s">
        <v>2</v>
      </c>
      <c r="S42" s="82" t="s">
        <v>3</v>
      </c>
      <c r="T42" s="82" t="s">
        <v>4</v>
      </c>
      <c r="U42" s="82" t="s">
        <v>5</v>
      </c>
      <c r="V42" s="82" t="s">
        <v>6</v>
      </c>
      <c r="W42" s="82" t="s">
        <v>7</v>
      </c>
      <c r="X42" s="82" t="s">
        <v>8</v>
      </c>
      <c r="Y42" s="82" t="s">
        <v>9</v>
      </c>
      <c r="Z42" s="82" t="s">
        <v>10</v>
      </c>
      <c r="AA42" s="82" t="s">
        <v>11</v>
      </c>
      <c r="AB42" s="82" t="s">
        <v>12</v>
      </c>
      <c r="AC42" s="82" t="s">
        <v>15</v>
      </c>
      <c r="AD42" s="82" t="s">
        <v>16</v>
      </c>
    </row>
    <row r="43" spans="1:31" x14ac:dyDescent="0.35">
      <c r="A43" s="84" t="s">
        <v>17</v>
      </c>
      <c r="B43" s="85">
        <v>4.6027471657124757</v>
      </c>
      <c r="C43" s="85">
        <v>5.7771944513588736</v>
      </c>
      <c r="D43" s="85">
        <v>7.6508791382860757</v>
      </c>
      <c r="E43" s="85">
        <v>7.202824104455658</v>
      </c>
      <c r="F43" s="85">
        <v>7.2231902423570409</v>
      </c>
      <c r="G43" s="86">
        <v>8.0853567468489054</v>
      </c>
      <c r="H43" s="85">
        <v>7.956371206806816</v>
      </c>
      <c r="I43" s="85">
        <v>10.088026973818199</v>
      </c>
      <c r="J43" s="85">
        <v>10.108393111719581</v>
      </c>
      <c r="K43" s="85">
        <v>8.6556086080876202</v>
      </c>
      <c r="L43" s="85">
        <v>9.8775768821705778</v>
      </c>
      <c r="M43" s="85">
        <v>10.882306351972121</v>
      </c>
      <c r="N43" s="85">
        <f t="shared" ref="N43:N67" si="8">SUM(B43:M43)</f>
        <v>98.110474983593932</v>
      </c>
      <c r="O43" s="85">
        <f t="shared" ref="O43:O67" si="9">AVERAGE(B43:M43)</f>
        <v>8.1758729152994949</v>
      </c>
      <c r="R43" s="84" t="s">
        <v>17</v>
      </c>
      <c r="S43" s="85">
        <v>7.6305130003846928</v>
      </c>
      <c r="T43" s="85">
        <v>10.474983593944467</v>
      </c>
      <c r="U43" s="85">
        <v>8.180398723722023</v>
      </c>
      <c r="V43" s="85">
        <v>11.907401959675045</v>
      </c>
      <c r="W43" s="85">
        <v>10.020139847480255</v>
      </c>
      <c r="X43" s="85">
        <v>12.735624900997939</v>
      </c>
      <c r="Y43" s="85">
        <v>18.057975605892601</v>
      </c>
      <c r="Z43" s="85">
        <v>15.437532529248038</v>
      </c>
      <c r="AA43" s="85">
        <v>9.0289878029463022</v>
      </c>
      <c r="AB43" s="85">
        <v>8.2686519879613503</v>
      </c>
      <c r="AC43" s="85">
        <f>SUM(S43:AB43)</f>
        <v>111.74220995225272</v>
      </c>
      <c r="AD43" s="85">
        <f>AVERAGE(S43:AB43)</f>
        <v>11.174220995225273</v>
      </c>
      <c r="AE43" s="148"/>
    </row>
    <row r="44" spans="1:31" x14ac:dyDescent="0.35">
      <c r="A44" s="87" t="s">
        <v>18</v>
      </c>
      <c r="B44" s="88">
        <v>46.129754927473918</v>
      </c>
      <c r="C44" s="88">
        <v>57.900326612507818</v>
      </c>
      <c r="D44" s="88">
        <v>76.678810919267107</v>
      </c>
      <c r="E44" s="88">
        <v>72.188303802433367</v>
      </c>
      <c r="F44" s="88">
        <v>72.392417762289455</v>
      </c>
      <c r="G44" s="89">
        <v>81.033242062863465</v>
      </c>
      <c r="H44" s="88">
        <v>79.740520317108306</v>
      </c>
      <c r="I44" s="88">
        <v>101.10444811537793</v>
      </c>
      <c r="J44" s="88">
        <v>101.30856207523401</v>
      </c>
      <c r="K44" s="88">
        <v>86.748432938833687</v>
      </c>
      <c r="L44" s="88">
        <v>98.995270530198454</v>
      </c>
      <c r="M44" s="88">
        <v>109.06489254976502</v>
      </c>
      <c r="N44" s="88">
        <f t="shared" si="8"/>
        <v>983.28498261335255</v>
      </c>
      <c r="O44" s="88">
        <f t="shared" si="9"/>
        <v>81.940415217779375</v>
      </c>
      <c r="R44" s="87" t="s">
        <v>18</v>
      </c>
      <c r="S44" s="88">
        <v>76.474696959411034</v>
      </c>
      <c r="T44" s="88">
        <v>104.98261335264344</v>
      </c>
      <c r="U44" s="88">
        <v>81.985773875525169</v>
      </c>
      <c r="V44" s="88">
        <v>119.33862852918769</v>
      </c>
      <c r="W44" s="88">
        <v>100.42406824919101</v>
      </c>
      <c r="X44" s="88">
        <v>127.63926289666824</v>
      </c>
      <c r="Y44" s="88">
        <v>180.98104440572362</v>
      </c>
      <c r="Z44" s="88">
        <v>154.71838157090812</v>
      </c>
      <c r="AA44" s="88">
        <v>90.490522202861825</v>
      </c>
      <c r="AB44" s="88">
        <v>82.870267701568196</v>
      </c>
      <c r="AC44" s="88">
        <f t="shared" ref="AC44:AC67" si="10">SUM(S44:AB44)</f>
        <v>1119.9052597436885</v>
      </c>
      <c r="AD44" s="88">
        <f t="shared" ref="AD44:AD67" si="11">AVERAGE(S44:AB44)</f>
        <v>111.99052597436885</v>
      </c>
      <c r="AE44" s="148"/>
    </row>
    <row r="45" spans="1:31" ht="87" x14ac:dyDescent="0.35">
      <c r="A45" s="90" t="s">
        <v>19</v>
      </c>
      <c r="B45" s="85">
        <v>201.24233441198433</v>
      </c>
      <c r="C45" s="85">
        <v>252.59177962330185</v>
      </c>
      <c r="D45" s="85">
        <v>334.51343787950788</v>
      </c>
      <c r="E45" s="85">
        <v>314.92347612258902</v>
      </c>
      <c r="F45" s="85">
        <v>315.81392892972173</v>
      </c>
      <c r="G45" s="86">
        <v>353.50976443167156</v>
      </c>
      <c r="H45" s="85">
        <v>347.87022998649798</v>
      </c>
      <c r="I45" s="85">
        <v>441.07095713305119</v>
      </c>
      <c r="J45" s="85">
        <v>441.96140994018384</v>
      </c>
      <c r="K45" s="85">
        <v>378.44244303138646</v>
      </c>
      <c r="L45" s="85">
        <v>431.86961145934691</v>
      </c>
      <c r="M45" s="85">
        <v>475.7986166112255</v>
      </c>
      <c r="N45" s="85">
        <f t="shared" si="8"/>
        <v>4289.607989560468</v>
      </c>
      <c r="O45" s="85">
        <f t="shared" si="9"/>
        <v>357.46733246337232</v>
      </c>
      <c r="R45" s="90" t="s">
        <v>19</v>
      </c>
      <c r="S45" s="85">
        <v>333.62298507237517</v>
      </c>
      <c r="T45" s="85">
        <v>457.98956046857199</v>
      </c>
      <c r="U45" s="85">
        <v>357.66521086495737</v>
      </c>
      <c r="V45" s="85">
        <v>520.61807457023679</v>
      </c>
      <c r="W45" s="85">
        <v>438.10278110927561</v>
      </c>
      <c r="X45" s="85">
        <v>556.82982206029885</v>
      </c>
      <c r="Y45" s="85">
        <v>789.53482232430429</v>
      </c>
      <c r="Z45" s="85">
        <v>674.96322780656703</v>
      </c>
      <c r="AA45" s="85">
        <v>394.7674111621522</v>
      </c>
      <c r="AB45" s="85">
        <v>361.52383969586572</v>
      </c>
      <c r="AC45" s="85">
        <f t="shared" si="10"/>
        <v>4885.617735134605</v>
      </c>
      <c r="AD45" s="85">
        <f t="shared" si="11"/>
        <v>488.56177351346048</v>
      </c>
      <c r="AE45" s="148"/>
    </row>
    <row r="46" spans="1:31" x14ac:dyDescent="0.35">
      <c r="A46" s="87" t="s">
        <v>20</v>
      </c>
      <c r="B46" s="88">
        <v>19.198569844538483</v>
      </c>
      <c r="C46" s="88">
        <v>24.097319967112458</v>
      </c>
      <c r="D46" s="88">
        <v>31.912666983473258</v>
      </c>
      <c r="E46" s="88">
        <v>30.043779653473937</v>
      </c>
      <c r="F46" s="88">
        <v>30.128729077564813</v>
      </c>
      <c r="G46" s="89">
        <v>33.724921364078661</v>
      </c>
      <c r="H46" s="88">
        <v>33.186908344836432</v>
      </c>
      <c r="I46" s="88">
        <v>42.078281399681686</v>
      </c>
      <c r="J46" s="88">
        <v>42.163230823772565</v>
      </c>
      <c r="K46" s="88">
        <v>36.103505238623249</v>
      </c>
      <c r="L46" s="88">
        <v>41.200470684075945</v>
      </c>
      <c r="M46" s="88">
        <v>45.391308939225937</v>
      </c>
      <c r="N46" s="88">
        <f t="shared" si="8"/>
        <v>409.22969232045745</v>
      </c>
      <c r="O46" s="88">
        <f t="shared" si="9"/>
        <v>34.102474360038123</v>
      </c>
      <c r="R46" s="87" t="s">
        <v>20</v>
      </c>
      <c r="S46" s="88">
        <v>31.827717559382382</v>
      </c>
      <c r="T46" s="88">
        <v>43.692320457408378</v>
      </c>
      <c r="U46" s="88">
        <v>34.121352009836095</v>
      </c>
      <c r="V46" s="88">
        <v>49.667096618466815</v>
      </c>
      <c r="W46" s="88">
        <v>41.795116652712096</v>
      </c>
      <c r="X46" s="88">
        <v>53.12170653149586</v>
      </c>
      <c r="Y46" s="88">
        <v>75.32182269391204</v>
      </c>
      <c r="Z46" s="88">
        <v>64.391663460885724</v>
      </c>
      <c r="AA46" s="88">
        <v>37.660911346956034</v>
      </c>
      <c r="AB46" s="88">
        <v>34.489466180896578</v>
      </c>
      <c r="AC46" s="88">
        <f t="shared" si="10"/>
        <v>466.08917351195203</v>
      </c>
      <c r="AD46" s="88">
        <f t="shared" si="11"/>
        <v>46.608917351195203</v>
      </c>
      <c r="AE46" s="148"/>
    </row>
    <row r="47" spans="1:31" x14ac:dyDescent="0.35">
      <c r="A47" s="84" t="s">
        <v>21</v>
      </c>
      <c r="B47" s="85">
        <v>32.035120273358828</v>
      </c>
      <c r="C47" s="85">
        <v>40.209273381457763</v>
      </c>
      <c r="D47" s="85">
        <v>53.250118802471093</v>
      </c>
      <c r="E47" s="85">
        <v>50.131655767011381</v>
      </c>
      <c r="F47" s="85">
        <v>50.273404086805009</v>
      </c>
      <c r="G47" s="86">
        <v>56.274082958068384</v>
      </c>
      <c r="H47" s="85">
        <v>55.376343599375438</v>
      </c>
      <c r="I47" s="85">
        <v>70.212667737774666</v>
      </c>
      <c r="J47" s="85">
        <v>70.354416057568287</v>
      </c>
      <c r="K47" s="85">
        <v>60.243035912289834</v>
      </c>
      <c r="L47" s="85">
        <v>68.747935099907224</v>
      </c>
      <c r="M47" s="85">
        <v>75.740852209725958</v>
      </c>
      <c r="N47" s="85">
        <f t="shared" si="8"/>
        <v>682.84890588581391</v>
      </c>
      <c r="O47" s="85">
        <f t="shared" si="9"/>
        <v>56.904075490484495</v>
      </c>
      <c r="R47" s="84" t="s">
        <v>21</v>
      </c>
      <c r="S47" s="85">
        <v>53.108370482677472</v>
      </c>
      <c r="T47" s="85">
        <v>72.905885813853502</v>
      </c>
      <c r="U47" s="85">
        <v>56.935575117105294</v>
      </c>
      <c r="V47" s="85">
        <v>82.875517639338327</v>
      </c>
      <c r="W47" s="85">
        <v>69.740173338462583</v>
      </c>
      <c r="X47" s="85">
        <v>88.639949310945667</v>
      </c>
      <c r="Y47" s="85">
        <v>125.68351021701251</v>
      </c>
      <c r="Z47" s="85">
        <v>107.44522640356637</v>
      </c>
      <c r="AA47" s="85">
        <v>62.841755108506277</v>
      </c>
      <c r="AB47" s="85">
        <v>57.549817836211012</v>
      </c>
      <c r="AC47" s="85">
        <f t="shared" si="10"/>
        <v>777.72578126767905</v>
      </c>
      <c r="AD47" s="85">
        <f t="shared" si="11"/>
        <v>77.772578126767911</v>
      </c>
      <c r="AE47" s="148"/>
    </row>
    <row r="48" spans="1:31" x14ac:dyDescent="0.35">
      <c r="A48" s="87" t="s">
        <v>22</v>
      </c>
      <c r="B48" s="88">
        <v>3.2730646511733155</v>
      </c>
      <c r="C48" s="88">
        <v>4.1082271654107547</v>
      </c>
      <c r="D48" s="88">
        <v>5.4406251650034321</v>
      </c>
      <c r="E48" s="88">
        <v>5.1220082520573564</v>
      </c>
      <c r="F48" s="88">
        <v>5.1364908390094515</v>
      </c>
      <c r="G48" s="89">
        <v>5.7495870199814441</v>
      </c>
      <c r="H48" s="88">
        <v>5.6578639692848469</v>
      </c>
      <c r="I48" s="88">
        <v>7.1737080702707186</v>
      </c>
      <c r="J48" s="88">
        <v>7.1881906572228127</v>
      </c>
      <c r="K48" s="88">
        <v>6.1550994546400846</v>
      </c>
      <c r="L48" s="88">
        <v>7.0240546717657439</v>
      </c>
      <c r="M48" s="88">
        <v>7.7385289614023964</v>
      </c>
      <c r="N48" s="88">
        <f t="shared" si="8"/>
        <v>69.767448877222364</v>
      </c>
      <c r="O48" s="88">
        <f t="shared" si="9"/>
        <v>5.813954073101864</v>
      </c>
      <c r="R48" s="87" t="s">
        <v>22</v>
      </c>
      <c r="S48" s="88">
        <v>5.4261425780513388</v>
      </c>
      <c r="T48" s="88">
        <v>7.4488772223605118</v>
      </c>
      <c r="U48" s="88">
        <v>5.8171724257578852</v>
      </c>
      <c r="V48" s="88">
        <v>8.4674858379911448</v>
      </c>
      <c r="W48" s="88">
        <v>7.1254327804304056</v>
      </c>
      <c r="X48" s="88">
        <v>9.0564443740429805</v>
      </c>
      <c r="Y48" s="88">
        <v>12.84122709752363</v>
      </c>
      <c r="Z48" s="88">
        <v>10.977800909687497</v>
      </c>
      <c r="AA48" s="88">
        <v>6.4206135487618159</v>
      </c>
      <c r="AB48" s="88">
        <v>5.8799303025502949</v>
      </c>
      <c r="AC48" s="88">
        <f t="shared" si="10"/>
        <v>79.461127077157514</v>
      </c>
      <c r="AD48" s="88">
        <f t="shared" si="11"/>
        <v>7.9461127077157512</v>
      </c>
      <c r="AE48" s="148"/>
    </row>
    <row r="49" spans="1:31" x14ac:dyDescent="0.35">
      <c r="A49" s="84" t="s">
        <v>23</v>
      </c>
      <c r="B49" s="85">
        <v>39.967187888936657</v>
      </c>
      <c r="C49" s="85">
        <v>50.165305152632889</v>
      </c>
      <c r="D49" s="85">
        <v>66.435133850784098</v>
      </c>
      <c r="E49" s="85">
        <v>62.544522640356632</v>
      </c>
      <c r="F49" s="85">
        <v>62.721368604466974</v>
      </c>
      <c r="G49" s="86">
        <v>70.207847751804664</v>
      </c>
      <c r="H49" s="85">
        <v>69.087823312439184</v>
      </c>
      <c r="I49" s="85">
        <v>87.597700889321359</v>
      </c>
      <c r="J49" s="85">
        <v>87.774546853431687</v>
      </c>
      <c r="K49" s="85">
        <v>75.159534746894167</v>
      </c>
      <c r="L49" s="85">
        <v>85.770292593514512</v>
      </c>
      <c r="M49" s="85">
        <v>94.494693489624581</v>
      </c>
      <c r="N49" s="85">
        <f t="shared" si="8"/>
        <v>851.92595777420729</v>
      </c>
      <c r="O49" s="85">
        <f t="shared" si="9"/>
        <v>70.993829814517269</v>
      </c>
      <c r="R49" s="84" t="s">
        <v>23</v>
      </c>
      <c r="S49" s="85">
        <v>66.258287886673742</v>
      </c>
      <c r="T49" s="85">
        <v>90.957774207417785</v>
      </c>
      <c r="U49" s="85">
        <v>71.033128917652903</v>
      </c>
      <c r="V49" s="85">
        <v>103.39594034984498</v>
      </c>
      <c r="W49" s="85">
        <v>87.008214342286877</v>
      </c>
      <c r="X49" s="85">
        <v>110.58767622366544</v>
      </c>
      <c r="Y49" s="85">
        <v>156.80342151116741</v>
      </c>
      <c r="Z49" s="85">
        <v>134.0492407956371</v>
      </c>
      <c r="AA49" s="85">
        <v>78.401710755583707</v>
      </c>
      <c r="AB49" s="85">
        <v>71.799461428797713</v>
      </c>
      <c r="AC49" s="85">
        <f t="shared" si="10"/>
        <v>970.2948564187277</v>
      </c>
      <c r="AD49" s="85">
        <f t="shared" si="11"/>
        <v>97.029485641872768</v>
      </c>
      <c r="AE49" s="148"/>
    </row>
    <row r="50" spans="1:31" x14ac:dyDescent="0.35">
      <c r="A50" s="87" t="s">
        <v>24</v>
      </c>
      <c r="B50" s="88">
        <v>21.975560634518342</v>
      </c>
      <c r="C50" s="88">
        <v>27.582893952765644</v>
      </c>
      <c r="D50" s="88">
        <v>36.528697396905855</v>
      </c>
      <c r="E50" s="88">
        <v>34.389483529828851</v>
      </c>
      <c r="F50" s="88">
        <v>34.486720523786893</v>
      </c>
      <c r="G50" s="89">
        <v>38.603086601344167</v>
      </c>
      <c r="H50" s="88">
        <v>37.987252306276538</v>
      </c>
      <c r="I50" s="88">
        <v>48.164724340551999</v>
      </c>
      <c r="J50" s="88">
        <v>48.26196133451004</v>
      </c>
      <c r="K50" s="88">
        <v>41.325722432169442</v>
      </c>
      <c r="L50" s="88">
        <v>47.159942069652189</v>
      </c>
      <c r="M50" s="88">
        <v>51.956967104915783</v>
      </c>
      <c r="N50" s="88">
        <f t="shared" si="8"/>
        <v>468.42301222722568</v>
      </c>
      <c r="O50" s="88">
        <f t="shared" si="9"/>
        <v>39.035251018935476</v>
      </c>
      <c r="R50" s="87" t="s">
        <v>24</v>
      </c>
      <c r="S50" s="88">
        <v>36.431460402947799</v>
      </c>
      <c r="T50" s="88">
        <v>50.012227225754856</v>
      </c>
      <c r="U50" s="88">
        <v>39.056859239815033</v>
      </c>
      <c r="V50" s="88">
        <v>56.851229134137405</v>
      </c>
      <c r="W50" s="88">
        <v>47.840601027358503</v>
      </c>
      <c r="X50" s="88">
        <v>60.805533555097931</v>
      </c>
      <c r="Y50" s="88">
        <v>86.216801309467215</v>
      </c>
      <c r="Z50" s="88">
        <v>73.70564142019866</v>
      </c>
      <c r="AA50" s="88">
        <v>43.108400654733607</v>
      </c>
      <c r="AB50" s="88">
        <v>39.478219546966571</v>
      </c>
      <c r="AC50" s="88">
        <f t="shared" si="10"/>
        <v>533.50697351647761</v>
      </c>
      <c r="AD50" s="88">
        <f t="shared" si="11"/>
        <v>53.35069735164776</v>
      </c>
      <c r="AE50" s="148"/>
    </row>
    <row r="51" spans="1:31" x14ac:dyDescent="0.35">
      <c r="A51" s="84" t="s">
        <v>25</v>
      </c>
      <c r="B51" s="85">
        <v>21.090810345998054</v>
      </c>
      <c r="C51" s="85">
        <v>26.472388797115549</v>
      </c>
      <c r="D51" s="85">
        <v>35.058028406990864</v>
      </c>
      <c r="E51" s="85">
        <v>33.004940674194593</v>
      </c>
      <c r="F51" s="85">
        <v>33.098262843867154</v>
      </c>
      <c r="G51" s="86">
        <v>37.048901360005431</v>
      </c>
      <c r="H51" s="85">
        <v>36.45786095207923</v>
      </c>
      <c r="I51" s="85">
        <v>46.22558137780694</v>
      </c>
      <c r="J51" s="85">
        <v>46.318903547479501</v>
      </c>
      <c r="K51" s="85">
        <v>39.661922110837047</v>
      </c>
      <c r="L51" s="85">
        <v>45.261252291190509</v>
      </c>
      <c r="M51" s="85">
        <v>49.865145995036691</v>
      </c>
      <c r="N51" s="85">
        <f t="shared" si="8"/>
        <v>449.56399870260157</v>
      </c>
      <c r="O51" s="85">
        <f t="shared" si="9"/>
        <v>37.463666558550131</v>
      </c>
      <c r="R51" s="84" t="s">
        <v>25</v>
      </c>
      <c r="S51" s="85">
        <v>34.964706237318303</v>
      </c>
      <c r="T51" s="85">
        <v>47.998702601585542</v>
      </c>
      <c r="U51" s="85">
        <v>37.484404818477365</v>
      </c>
      <c r="V51" s="85">
        <v>54.562361868555435</v>
      </c>
      <c r="W51" s="85">
        <v>45.914507478898415</v>
      </c>
      <c r="X51" s="85">
        <v>58.357463435239453</v>
      </c>
      <c r="Y51" s="85">
        <v>82.745657109667874</v>
      </c>
      <c r="Z51" s="85">
        <v>70.738204611798793</v>
      </c>
      <c r="AA51" s="85">
        <v>41.372828554833944</v>
      </c>
      <c r="AB51" s="85">
        <v>37.888800887058451</v>
      </c>
      <c r="AC51" s="85">
        <f t="shared" si="10"/>
        <v>512.0276376034335</v>
      </c>
      <c r="AD51" s="85">
        <f t="shared" si="11"/>
        <v>51.202763760343352</v>
      </c>
      <c r="AE51" s="148"/>
    </row>
    <row r="52" spans="1:31" x14ac:dyDescent="0.35">
      <c r="A52" s="87" t="s">
        <v>26</v>
      </c>
      <c r="B52" s="88">
        <v>10.269240343056278</v>
      </c>
      <c r="C52" s="88">
        <v>12.889562731476243</v>
      </c>
      <c r="D52" s="88">
        <v>17.069961455198268</v>
      </c>
      <c r="E52" s="88">
        <v>16.070300890829959</v>
      </c>
      <c r="F52" s="88">
        <v>16.115740007392152</v>
      </c>
      <c r="G52" s="89">
        <v>18.039329275191779</v>
      </c>
      <c r="H52" s="88">
        <v>17.751548203631206</v>
      </c>
      <c r="I52" s="88">
        <v>22.507509070474381</v>
      </c>
      <c r="J52" s="88">
        <v>22.552948187036574</v>
      </c>
      <c r="K52" s="88">
        <v>19.311624538933266</v>
      </c>
      <c r="L52" s="88">
        <v>22.037971532665022</v>
      </c>
      <c r="M52" s="88">
        <v>24.279634616400021</v>
      </c>
      <c r="N52" s="88">
        <f t="shared" si="8"/>
        <v>218.89537085228514</v>
      </c>
      <c r="O52" s="88">
        <f t="shared" si="9"/>
        <v>18.241280904357094</v>
      </c>
      <c r="R52" s="87" t="s">
        <v>26</v>
      </c>
      <c r="S52" s="88">
        <v>17.024522338636071</v>
      </c>
      <c r="T52" s="88">
        <v>23.370852285156101</v>
      </c>
      <c r="U52" s="88">
        <v>18.251378485815362</v>
      </c>
      <c r="V52" s="88">
        <v>26.566736816697215</v>
      </c>
      <c r="W52" s="88">
        <v>22.356045348600393</v>
      </c>
      <c r="X52" s="88">
        <v>28.414594223559849</v>
      </c>
      <c r="Y52" s="88">
        <v>40.289350018480384</v>
      </c>
      <c r="Z52" s="88">
        <v>34.442850354144511</v>
      </c>
      <c r="AA52" s="88">
        <v>20.144675009240192</v>
      </c>
      <c r="AB52" s="88">
        <v>18.448281324251546</v>
      </c>
      <c r="AC52" s="88">
        <f t="shared" si="10"/>
        <v>249.30928620458164</v>
      </c>
      <c r="AD52" s="88">
        <f t="shared" si="11"/>
        <v>24.930928620458165</v>
      </c>
      <c r="AE52" s="148"/>
    </row>
    <row r="53" spans="1:31" x14ac:dyDescent="0.35">
      <c r="A53" s="84" t="s">
        <v>27</v>
      </c>
      <c r="B53" s="85">
        <v>18.610441040030775</v>
      </c>
      <c r="C53" s="85">
        <v>23.359122898327715</v>
      </c>
      <c r="D53" s="85">
        <v>30.935054649136703</v>
      </c>
      <c r="E53" s="85">
        <v>29.12341879568238</v>
      </c>
      <c r="F53" s="85">
        <v>29.205765879930304</v>
      </c>
      <c r="G53" s="86">
        <v>32.691792446425744</v>
      </c>
      <c r="H53" s="85">
        <v>32.170260912855561</v>
      </c>
      <c r="I53" s="85">
        <v>40.789255730804918</v>
      </c>
      <c r="J53" s="85">
        <v>40.871602815052839</v>
      </c>
      <c r="K53" s="85">
        <v>34.997510805367611</v>
      </c>
      <c r="L53" s="85">
        <v>39.938335860243036</v>
      </c>
      <c r="M53" s="85">
        <v>44.000792016473945</v>
      </c>
      <c r="N53" s="85">
        <f t="shared" si="8"/>
        <v>396.69335385033156</v>
      </c>
      <c r="O53" s="85">
        <f t="shared" si="9"/>
        <v>33.057779487527633</v>
      </c>
      <c r="R53" s="84" t="s">
        <v>27</v>
      </c>
      <c r="S53" s="85">
        <v>30.852707564888782</v>
      </c>
      <c r="T53" s="85">
        <v>42.353850331515474</v>
      </c>
      <c r="U53" s="85">
        <v>33.076078839582728</v>
      </c>
      <c r="V53" s="85">
        <v>48.145595256952781</v>
      </c>
      <c r="W53" s="85">
        <v>40.514765449978505</v>
      </c>
      <c r="X53" s="85">
        <v>51.494376683035014</v>
      </c>
      <c r="Y53" s="85">
        <v>73.014414699825764</v>
      </c>
      <c r="Z53" s="85">
        <v>62.419089859926245</v>
      </c>
      <c r="AA53" s="85">
        <v>36.507207349912889</v>
      </c>
      <c r="AB53" s="85">
        <v>33.432916204657069</v>
      </c>
      <c r="AC53" s="85">
        <f t="shared" si="10"/>
        <v>451.81100224027529</v>
      </c>
      <c r="AD53" s="85">
        <f t="shared" si="11"/>
        <v>45.181100224027531</v>
      </c>
      <c r="AE53" s="148"/>
    </row>
    <row r="54" spans="1:31" x14ac:dyDescent="0.35">
      <c r="A54" s="87" t="s">
        <v>28</v>
      </c>
      <c r="B54" s="88">
        <v>33.635853454323282</v>
      </c>
      <c r="C54" s="88">
        <v>42.21845322954146</v>
      </c>
      <c r="D54" s="88">
        <v>55.910924547230586</v>
      </c>
      <c r="E54" s="88">
        <v>52.636637927783184</v>
      </c>
      <c r="F54" s="88">
        <v>52.785469137758071</v>
      </c>
      <c r="G54" s="89">
        <v>59.085990360028063</v>
      </c>
      <c r="H54" s="88">
        <v>58.143392696853809</v>
      </c>
      <c r="I54" s="88">
        <v>73.721059340891443</v>
      </c>
      <c r="J54" s="88">
        <v>73.869890550866316</v>
      </c>
      <c r="K54" s="88">
        <v>63.25326423932475</v>
      </c>
      <c r="L54" s="88">
        <v>72.183136837817656</v>
      </c>
      <c r="M54" s="88">
        <v>79.525476529911828</v>
      </c>
      <c r="N54" s="88">
        <f t="shared" si="8"/>
        <v>716.96954885233049</v>
      </c>
      <c r="O54" s="88">
        <f t="shared" si="9"/>
        <v>59.747462404360874</v>
      </c>
      <c r="R54" s="87" t="s">
        <v>28</v>
      </c>
      <c r="S54" s="88">
        <v>55.762093337255706</v>
      </c>
      <c r="T54" s="88">
        <v>76.548852330414192</v>
      </c>
      <c r="U54" s="88">
        <v>59.780536006577513</v>
      </c>
      <c r="V54" s="88">
        <v>87.016647431980871</v>
      </c>
      <c r="W54" s="88">
        <v>73.224955307641835</v>
      </c>
      <c r="X54" s="88">
        <v>93.069116637626067</v>
      </c>
      <c r="Y54" s="88">
        <v>131.96367284439518</v>
      </c>
      <c r="Z54" s="88">
        <v>112.8140571609604</v>
      </c>
      <c r="AA54" s="88">
        <v>65.981836422197588</v>
      </c>
      <c r="AB54" s="88">
        <v>60.425471249802008</v>
      </c>
      <c r="AC54" s="88">
        <f t="shared" si="10"/>
        <v>816.58723872885139</v>
      </c>
      <c r="AD54" s="88">
        <f t="shared" si="11"/>
        <v>81.658723872885133</v>
      </c>
      <c r="AE54" s="148"/>
    </row>
    <row r="55" spans="1:31" x14ac:dyDescent="0.35">
      <c r="A55" s="84" t="s">
        <v>29</v>
      </c>
      <c r="B55" s="85">
        <v>48.548754271231701</v>
      </c>
      <c r="C55" s="85">
        <v>60.936563251944214</v>
      </c>
      <c r="D55" s="85">
        <v>80.699772955277467</v>
      </c>
      <c r="E55" s="85">
        <v>75.973788026219523</v>
      </c>
      <c r="F55" s="85">
        <v>76.188605522994877</v>
      </c>
      <c r="G55" s="86">
        <v>85.282546219818514</v>
      </c>
      <c r="H55" s="85">
        <v>83.922035406907895</v>
      </c>
      <c r="I55" s="85">
        <v>106.40626673606241</v>
      </c>
      <c r="J55" s="85">
        <v>106.62108423283776</v>
      </c>
      <c r="K55" s="85">
        <v>91.297436129528634</v>
      </c>
      <c r="L55" s="85">
        <v>104.18648593605033</v>
      </c>
      <c r="M55" s="85">
        <v>114.7841491103015</v>
      </c>
      <c r="N55" s="85">
        <f t="shared" si="8"/>
        <v>1034.8474877991748</v>
      </c>
      <c r="O55" s="85">
        <f t="shared" si="9"/>
        <v>86.237290649931239</v>
      </c>
      <c r="R55" s="84" t="s">
        <v>29</v>
      </c>
      <c r="S55" s="85">
        <v>80.484955458502114</v>
      </c>
      <c r="T55" s="85">
        <v>110.48779917479428</v>
      </c>
      <c r="U55" s="85">
        <v>86.285027871436867</v>
      </c>
      <c r="V55" s="85">
        <v>125.59662978132803</v>
      </c>
      <c r="W55" s="85">
        <v>105.69020841347786</v>
      </c>
      <c r="X55" s="85">
        <v>134.33254131685939</v>
      </c>
      <c r="Y55" s="85">
        <v>190.47151380748721</v>
      </c>
      <c r="Z55" s="85">
        <v>162.83166255572405</v>
      </c>
      <c r="AA55" s="85">
        <v>95.235756903743621</v>
      </c>
      <c r="AB55" s="85">
        <v>87.215903690796793</v>
      </c>
      <c r="AC55" s="85">
        <f t="shared" si="10"/>
        <v>1178.6319989741501</v>
      </c>
      <c r="AD55" s="85">
        <f t="shared" si="11"/>
        <v>117.863199897415</v>
      </c>
      <c r="AE55" s="148"/>
    </row>
    <row r="56" spans="1:31" x14ac:dyDescent="0.35">
      <c r="A56" s="87" t="s">
        <v>30</v>
      </c>
      <c r="B56" s="88">
        <v>6.2495078183340498</v>
      </c>
      <c r="C56" s="88">
        <v>7.8441462439561604</v>
      </c>
      <c r="D56" s="88">
        <v>10.388193674428429</v>
      </c>
      <c r="E56" s="88">
        <v>9.7798345062720156</v>
      </c>
      <c r="F56" s="88">
        <v>9.8074871957336711</v>
      </c>
      <c r="G56" s="89">
        <v>10.978117716277071</v>
      </c>
      <c r="H56" s="88">
        <v>10.802984016353255</v>
      </c>
      <c r="I56" s="88">
        <v>13.697298846673155</v>
      </c>
      <c r="J56" s="88">
        <v>13.724951536134808</v>
      </c>
      <c r="K56" s="88">
        <v>11.752393021203412</v>
      </c>
      <c r="L56" s="88">
        <v>13.411554388902719</v>
      </c>
      <c r="M56" s="88">
        <v>14.775753735677702</v>
      </c>
      <c r="N56" s="88">
        <f t="shared" si="8"/>
        <v>133.21222269994644</v>
      </c>
      <c r="O56" s="88">
        <f t="shared" si="9"/>
        <v>11.101018558328869</v>
      </c>
      <c r="R56" s="87" t="s">
        <v>30</v>
      </c>
      <c r="S56" s="88">
        <v>10.360540984966773</v>
      </c>
      <c r="T56" s="88">
        <v>14.222699946444601</v>
      </c>
      <c r="U56" s="88">
        <v>11.107163600431461</v>
      </c>
      <c r="V56" s="88">
        <v>16.167605771914342</v>
      </c>
      <c r="W56" s="88">
        <v>13.605123215134304</v>
      </c>
      <c r="X56" s="88">
        <v>17.292148476688315</v>
      </c>
      <c r="Y56" s="88">
        <v>24.518717989334178</v>
      </c>
      <c r="Z56" s="88">
        <v>20.960738611934563</v>
      </c>
      <c r="AA56" s="88">
        <v>12.259358994667092</v>
      </c>
      <c r="AB56" s="88">
        <v>11.226991921431969</v>
      </c>
      <c r="AC56" s="88">
        <f t="shared" si="10"/>
        <v>151.72108951294757</v>
      </c>
      <c r="AD56" s="88">
        <f t="shared" si="11"/>
        <v>15.172108951294756</v>
      </c>
      <c r="AE56" s="148"/>
    </row>
    <row r="57" spans="1:31" x14ac:dyDescent="0.35">
      <c r="A57" s="84" t="s">
        <v>31</v>
      </c>
      <c r="B57" s="85">
        <v>20.19071756692539</v>
      </c>
      <c r="C57" s="85">
        <v>25.342626326627592</v>
      </c>
      <c r="D57" s="85">
        <v>33.561856486614921</v>
      </c>
      <c r="E57" s="85">
        <v>31.59638840487882</v>
      </c>
      <c r="F57" s="85">
        <v>31.685727863139551</v>
      </c>
      <c r="G57" s="86">
        <v>35.46776492951053</v>
      </c>
      <c r="H57" s="85">
        <v>34.9019483605259</v>
      </c>
      <c r="I57" s="85">
        <v>44.252811658482493</v>
      </c>
      <c r="J57" s="85">
        <v>44.342151116743224</v>
      </c>
      <c r="K57" s="85">
        <v>37.969269760811024</v>
      </c>
      <c r="L57" s="85">
        <v>43.32963725645493</v>
      </c>
      <c r="M57" s="85">
        <v>47.737050530651032</v>
      </c>
      <c r="N57" s="85">
        <f t="shared" si="8"/>
        <v>430.37795026136541</v>
      </c>
      <c r="O57" s="85">
        <f t="shared" si="9"/>
        <v>35.864829188447118</v>
      </c>
      <c r="R57" s="84" t="s">
        <v>31</v>
      </c>
      <c r="S57" s="85">
        <v>33.47251702835419</v>
      </c>
      <c r="T57" s="85">
        <v>45.950261365436397</v>
      </c>
      <c r="U57" s="85">
        <v>35.884682401393945</v>
      </c>
      <c r="V57" s="85">
        <v>52.233803263107866</v>
      </c>
      <c r="W57" s="85">
        <v>43.955013464280057</v>
      </c>
      <c r="X57" s="85">
        <v>55.866941232377627</v>
      </c>
      <c r="Y57" s="85">
        <v>79.214319657848876</v>
      </c>
      <c r="Z57" s="85">
        <v>67.719309361634728</v>
      </c>
      <c r="AA57" s="85">
        <v>39.607159828924445</v>
      </c>
      <c r="AB57" s="85">
        <v>36.27182005385712</v>
      </c>
      <c r="AC57" s="85">
        <f t="shared" si="10"/>
        <v>490.17582765721528</v>
      </c>
      <c r="AD57" s="85">
        <f t="shared" si="11"/>
        <v>49.017582765721528</v>
      </c>
      <c r="AE57" s="148"/>
    </row>
    <row r="58" spans="1:31" x14ac:dyDescent="0.35">
      <c r="A58" s="87" t="s">
        <v>32</v>
      </c>
      <c r="B58" s="88">
        <v>16.805141318367994</v>
      </c>
      <c r="C58" s="88">
        <v>21.093178852405845</v>
      </c>
      <c r="D58" s="88">
        <v>27.934209831564498</v>
      </c>
      <c r="E58" s="88">
        <v>26.298311119156995</v>
      </c>
      <c r="F58" s="88">
        <v>26.372670151539154</v>
      </c>
      <c r="G58" s="89">
        <v>29.520535855717231</v>
      </c>
      <c r="H58" s="88">
        <v>29.049595317296887</v>
      </c>
      <c r="I58" s="88">
        <v>36.832507373296224</v>
      </c>
      <c r="J58" s="88">
        <v>36.906866405678386</v>
      </c>
      <c r="K58" s="88">
        <v>31.602588762417689</v>
      </c>
      <c r="L58" s="88">
        <v>36.064130705347246</v>
      </c>
      <c r="M58" s="88">
        <v>39.732509636200433</v>
      </c>
      <c r="N58" s="88">
        <f t="shared" si="8"/>
        <v>358.2122453289885</v>
      </c>
      <c r="O58" s="88">
        <f t="shared" si="9"/>
        <v>29.851020444082376</v>
      </c>
      <c r="R58" s="87" t="s">
        <v>32</v>
      </c>
      <c r="S58" s="88">
        <v>27.859850799182333</v>
      </c>
      <c r="T58" s="88">
        <v>38.24532898855724</v>
      </c>
      <c r="U58" s="88">
        <v>29.867544673500632</v>
      </c>
      <c r="V58" s="88">
        <v>43.475247599435775</v>
      </c>
      <c r="W58" s="88">
        <v>36.584643932022352</v>
      </c>
      <c r="X58" s="88">
        <v>46.499181582976917</v>
      </c>
      <c r="Y58" s="88">
        <v>65.931675378847871</v>
      </c>
      <c r="Z58" s="88">
        <v>56.364146545676725</v>
      </c>
      <c r="AA58" s="88">
        <v>32.965837689423942</v>
      </c>
      <c r="AB58" s="88">
        <v>30.189767147156662</v>
      </c>
      <c r="AC58" s="88">
        <f t="shared" si="10"/>
        <v>407.98322433678044</v>
      </c>
      <c r="AD58" s="88">
        <f t="shared" si="11"/>
        <v>40.798322433678045</v>
      </c>
      <c r="AE58" s="148"/>
    </row>
    <row r="59" spans="1:31" x14ac:dyDescent="0.35">
      <c r="A59" s="84" t="s">
        <v>33</v>
      </c>
      <c r="B59" s="85">
        <v>15.224864791473378</v>
      </c>
      <c r="C59" s="85">
        <v>19.109675424105966</v>
      </c>
      <c r="D59" s="85">
        <v>25.307407994086276</v>
      </c>
      <c r="E59" s="85">
        <v>23.825341509960552</v>
      </c>
      <c r="F59" s="85">
        <v>23.8927081683299</v>
      </c>
      <c r="G59" s="86">
        <v>26.744563372632438</v>
      </c>
      <c r="H59" s="85">
        <v>26.317907869626545</v>
      </c>
      <c r="I59" s="85">
        <v>33.368951445618642</v>
      </c>
      <c r="J59" s="85">
        <v>33.436318103987993</v>
      </c>
      <c r="K59" s="85">
        <v>28.630829806974273</v>
      </c>
      <c r="L59" s="85">
        <v>32.672829309135345</v>
      </c>
      <c r="M59" s="85">
        <v>35.996251122023338</v>
      </c>
      <c r="N59" s="85">
        <f t="shared" si="8"/>
        <v>324.52764891795465</v>
      </c>
      <c r="O59" s="85">
        <f t="shared" si="9"/>
        <v>27.043970743162888</v>
      </c>
      <c r="R59" s="84" t="s">
        <v>33</v>
      </c>
      <c r="S59" s="85">
        <v>25.240041335716928</v>
      </c>
      <c r="T59" s="85">
        <v>34.64891795463631</v>
      </c>
      <c r="U59" s="85">
        <v>27.058941111689411</v>
      </c>
      <c r="V59" s="85">
        <v>39.387039593280683</v>
      </c>
      <c r="W59" s="85">
        <v>33.1443959177208</v>
      </c>
      <c r="X59" s="85">
        <v>42.126617033634297</v>
      </c>
      <c r="Y59" s="85">
        <v>59.731770420824752</v>
      </c>
      <c r="Z59" s="85">
        <v>51.063927043968235</v>
      </c>
      <c r="AA59" s="85">
        <v>29.865885210412383</v>
      </c>
      <c r="AB59" s="85">
        <v>27.350863297956604</v>
      </c>
      <c r="AC59" s="85">
        <f t="shared" si="10"/>
        <v>369.61839891984044</v>
      </c>
      <c r="AD59" s="85">
        <f t="shared" si="11"/>
        <v>36.961839891984042</v>
      </c>
      <c r="AE59" s="148"/>
    </row>
    <row r="60" spans="1:31" x14ac:dyDescent="0.35">
      <c r="A60" s="87" t="s">
        <v>34</v>
      </c>
      <c r="B60" s="88">
        <v>48.052680410038242</v>
      </c>
      <c r="C60" s="88">
        <v>60.313910072186637</v>
      </c>
      <c r="D60" s="88">
        <v>79.875178203706625</v>
      </c>
      <c r="E60" s="88">
        <v>75.197483650517071</v>
      </c>
      <c r="F60" s="88">
        <v>75.410106130207495</v>
      </c>
      <c r="G60" s="89">
        <v>84.411124437102572</v>
      </c>
      <c r="H60" s="88">
        <v>83.064515399063154</v>
      </c>
      <c r="I60" s="88">
        <v>105.31900160666198</v>
      </c>
      <c r="J60" s="88">
        <v>105.53162408635241</v>
      </c>
      <c r="K60" s="88">
        <v>90.36455386843474</v>
      </c>
      <c r="L60" s="88">
        <v>103.12190264986083</v>
      </c>
      <c r="M60" s="88">
        <v>113.61127831458893</v>
      </c>
      <c r="N60" s="88">
        <f t="shared" si="8"/>
        <v>1024.2733588287206</v>
      </c>
      <c r="O60" s="88">
        <f t="shared" si="9"/>
        <v>85.35611323572671</v>
      </c>
      <c r="R60" s="87" t="s">
        <v>34</v>
      </c>
      <c r="S60" s="88">
        <v>79.662555724016173</v>
      </c>
      <c r="T60" s="88">
        <v>109.35882872078022</v>
      </c>
      <c r="U60" s="88">
        <v>85.403362675657917</v>
      </c>
      <c r="V60" s="88">
        <v>124.31327645900745</v>
      </c>
      <c r="W60" s="88">
        <v>104.61026000769384</v>
      </c>
      <c r="X60" s="88">
        <v>132.95992396641847</v>
      </c>
      <c r="Y60" s="88">
        <v>188.52526532551872</v>
      </c>
      <c r="Z60" s="88">
        <v>161.16783960534949</v>
      </c>
      <c r="AA60" s="88">
        <v>94.262632662759373</v>
      </c>
      <c r="AB60" s="88">
        <v>86.324726754316487</v>
      </c>
      <c r="AC60" s="88">
        <f t="shared" si="10"/>
        <v>1166.5886719015182</v>
      </c>
      <c r="AD60" s="88">
        <f t="shared" si="11"/>
        <v>116.65886719015182</v>
      </c>
      <c r="AE60" s="148"/>
    </row>
    <row r="61" spans="1:31" x14ac:dyDescent="0.35">
      <c r="A61" s="84" t="s">
        <v>35</v>
      </c>
      <c r="B61" s="85">
        <v>9.2310651490122435</v>
      </c>
      <c r="C61" s="85">
        <v>11.58648442744752</v>
      </c>
      <c r="D61" s="85">
        <v>15.344263160673743</v>
      </c>
      <c r="E61" s="85">
        <v>14.445663898380516</v>
      </c>
      <c r="F61" s="85">
        <v>14.486509319393845</v>
      </c>
      <c r="G61" s="86">
        <v>16.215632142291419</v>
      </c>
      <c r="H61" s="85">
        <v>15.956944475873671</v>
      </c>
      <c r="I61" s="85">
        <v>20.232098541935386</v>
      </c>
      <c r="J61" s="85">
        <v>20.272943962948716</v>
      </c>
      <c r="K61" s="85">
        <v>17.359303930664616</v>
      </c>
      <c r="L61" s="85">
        <v>19.810029191464327</v>
      </c>
      <c r="M61" s="85">
        <v>21.825069961455199</v>
      </c>
      <c r="N61" s="85">
        <f t="shared" si="8"/>
        <v>196.76600816154124</v>
      </c>
      <c r="O61" s="85">
        <f t="shared" si="9"/>
        <v>16.397167346795104</v>
      </c>
      <c r="R61" s="84" t="s">
        <v>35</v>
      </c>
      <c r="S61" s="85">
        <v>15.303417739660416</v>
      </c>
      <c r="T61" s="85">
        <v>21.008161541188631</v>
      </c>
      <c r="U61" s="85">
        <v>16.406244107020285</v>
      </c>
      <c r="V61" s="85">
        <v>23.880956152459405</v>
      </c>
      <c r="W61" s="85">
        <v>20.09594713855763</v>
      </c>
      <c r="X61" s="85">
        <v>25.542003273668097</v>
      </c>
      <c r="Y61" s="85">
        <v>36.216273298484616</v>
      </c>
      <c r="Z61" s="85">
        <v>30.960829128103022</v>
      </c>
      <c r="AA61" s="85">
        <v>18.108136649242311</v>
      </c>
      <c r="AB61" s="85">
        <v>16.583240931411382</v>
      </c>
      <c r="AC61" s="85">
        <f t="shared" si="10"/>
        <v>224.10520995979581</v>
      </c>
      <c r="AD61" s="85">
        <f t="shared" si="11"/>
        <v>22.410520995979581</v>
      </c>
      <c r="AE61" s="148"/>
    </row>
    <row r="62" spans="1:31" x14ac:dyDescent="0.35">
      <c r="A62" s="87" t="s">
        <v>36</v>
      </c>
      <c r="B62" s="88">
        <v>3.2832929782082325</v>
      </c>
      <c r="C62" s="88">
        <v>4.1210653753026634</v>
      </c>
      <c r="D62" s="88">
        <v>5.4576271186440684</v>
      </c>
      <c r="E62" s="88">
        <v>5.1380145278450362</v>
      </c>
      <c r="F62" s="88">
        <v>5.1525423728813564</v>
      </c>
      <c r="G62" s="89">
        <v>5.7675544794188864</v>
      </c>
      <c r="H62" s="88">
        <v>5.6755447941888626</v>
      </c>
      <c r="I62" s="88">
        <v>7.1961259079903153</v>
      </c>
      <c r="J62" s="88">
        <v>7.2106537530266346</v>
      </c>
      <c r="K62" s="88">
        <v>6.1743341404358354</v>
      </c>
      <c r="L62" s="88">
        <v>7.0460048426150124</v>
      </c>
      <c r="M62" s="88">
        <v>7.7627118644067803</v>
      </c>
      <c r="N62" s="88">
        <f t="shared" si="8"/>
        <v>69.985472154963674</v>
      </c>
      <c r="O62" s="88">
        <f t="shared" si="9"/>
        <v>5.8321226795803058</v>
      </c>
      <c r="R62" s="87" t="s">
        <v>36</v>
      </c>
      <c r="S62" s="88">
        <v>5.4430992736077473</v>
      </c>
      <c r="T62" s="88">
        <v>7.4721549636803868</v>
      </c>
      <c r="U62" s="88">
        <v>5.8353510895883769</v>
      </c>
      <c r="V62" s="88">
        <v>8.4939467312348658</v>
      </c>
      <c r="W62" s="88">
        <v>7.1476997578692485</v>
      </c>
      <c r="X62" s="88">
        <v>9.0847457627118633</v>
      </c>
      <c r="Y62" s="88">
        <v>12.881355932203387</v>
      </c>
      <c r="Z62" s="88">
        <v>11.012106537530265</v>
      </c>
      <c r="AA62" s="88">
        <v>6.4406779661016937</v>
      </c>
      <c r="AB62" s="88">
        <v>5.8983050847457621</v>
      </c>
      <c r="AC62" s="88">
        <f t="shared" si="10"/>
        <v>79.709443099273585</v>
      </c>
      <c r="AD62" s="88">
        <f t="shared" si="11"/>
        <v>7.9709443099273587</v>
      </c>
      <c r="AE62" s="148"/>
    </row>
    <row r="63" spans="1:31" x14ac:dyDescent="0.35">
      <c r="A63" s="84" t="s">
        <v>37</v>
      </c>
      <c r="B63" s="85">
        <v>13.250797673734471</v>
      </c>
      <c r="C63" s="85">
        <v>16.631900914967606</v>
      </c>
      <c r="D63" s="85">
        <v>22.026030941443583</v>
      </c>
      <c r="E63" s="85">
        <v>20.736130282938458</v>
      </c>
      <c r="F63" s="85">
        <v>20.794762131052327</v>
      </c>
      <c r="G63" s="86">
        <v>23.276843701206129</v>
      </c>
      <c r="H63" s="85">
        <v>22.905508663151625</v>
      </c>
      <c r="I63" s="85">
        <v>29.042308765736614</v>
      </c>
      <c r="J63" s="85">
        <v>29.100940613850486</v>
      </c>
      <c r="K63" s="85">
        <v>24.918535448394472</v>
      </c>
      <c r="L63" s="85">
        <v>28.436446335226631</v>
      </c>
      <c r="M63" s="85">
        <v>31.32895084217752</v>
      </c>
      <c r="N63" s="85">
        <f t="shared" si="8"/>
        <v>282.44915631387994</v>
      </c>
      <c r="O63" s="85">
        <f t="shared" si="9"/>
        <v>23.537429692823327</v>
      </c>
      <c r="R63" s="84" t="s">
        <v>37</v>
      </c>
      <c r="S63" s="85">
        <v>21.967399093329714</v>
      </c>
      <c r="T63" s="85">
        <v>30.156313879900132</v>
      </c>
      <c r="U63" s="85">
        <v>23.550458992404188</v>
      </c>
      <c r="V63" s="85">
        <v>34.280087197242274</v>
      </c>
      <c r="W63" s="85">
        <v>28.846869272023717</v>
      </c>
      <c r="X63" s="85">
        <v>36.664449020539628</v>
      </c>
      <c r="Y63" s="85">
        <v>51.986905327630822</v>
      </c>
      <c r="Z63" s="85">
        <v>44.442940870312974</v>
      </c>
      <c r="AA63" s="85">
        <v>25.993452663815415</v>
      </c>
      <c r="AB63" s="85">
        <v>23.804530334230957</v>
      </c>
      <c r="AC63" s="85">
        <f t="shared" si="10"/>
        <v>321.69340665142977</v>
      </c>
      <c r="AD63" s="85">
        <f t="shared" si="11"/>
        <v>32.169340665142975</v>
      </c>
      <c r="AE63" s="148"/>
    </row>
    <row r="64" spans="1:31" x14ac:dyDescent="0.35">
      <c r="A64" s="87" t="s">
        <v>38</v>
      </c>
      <c r="B64" s="88">
        <v>7.1853997420289204</v>
      </c>
      <c r="C64" s="88">
        <v>9.0188424490657972</v>
      </c>
      <c r="D64" s="88">
        <v>11.943872432546597</v>
      </c>
      <c r="E64" s="88">
        <v>11.244408740844667</v>
      </c>
      <c r="F64" s="88">
        <v>11.276202545012938</v>
      </c>
      <c r="G64" s="89">
        <v>12.622140254803014</v>
      </c>
      <c r="H64" s="88">
        <v>12.42077949507064</v>
      </c>
      <c r="I64" s="88">
        <v>15.748530998016188</v>
      </c>
      <c r="J64" s="88">
        <v>15.780324802184458</v>
      </c>
      <c r="K64" s="88">
        <v>13.512366771514563</v>
      </c>
      <c r="L64" s="88">
        <v>15.419995021610736</v>
      </c>
      <c r="M64" s="88">
        <v>16.988489360578701</v>
      </c>
      <c r="N64" s="88">
        <f t="shared" si="8"/>
        <v>153.16135261327724</v>
      </c>
      <c r="O64" s="88">
        <f t="shared" si="9"/>
        <v>12.763446051106436</v>
      </c>
      <c r="R64" s="87" t="s">
        <v>38</v>
      </c>
      <c r="S64" s="88">
        <v>11.91207862837833</v>
      </c>
      <c r="T64" s="88">
        <v>16.352613277213312</v>
      </c>
      <c r="U64" s="88">
        <v>12.770511340921608</v>
      </c>
      <c r="V64" s="88">
        <v>18.588777503714937</v>
      </c>
      <c r="W64" s="88">
        <v>15.642551650788626</v>
      </c>
      <c r="X64" s="88">
        <v>19.881725539891235</v>
      </c>
      <c r="Y64" s="88">
        <v>28.190506362532346</v>
      </c>
      <c r="Z64" s="88">
        <v>24.099703559548335</v>
      </c>
      <c r="AA64" s="88">
        <v>14.095253181266175</v>
      </c>
      <c r="AB64" s="88">
        <v>12.908284492317446</v>
      </c>
      <c r="AC64" s="88">
        <f t="shared" si="10"/>
        <v>174.44200553657234</v>
      </c>
      <c r="AD64" s="88">
        <f t="shared" si="11"/>
        <v>17.444200553657232</v>
      </c>
      <c r="AE64" s="148"/>
    </row>
    <row r="65" spans="1:31" x14ac:dyDescent="0.35">
      <c r="A65" s="84" t="s">
        <v>39</v>
      </c>
      <c r="B65" s="85">
        <v>8.5611097282252047</v>
      </c>
      <c r="C65" s="85">
        <v>10.745581679527506</v>
      </c>
      <c r="D65" s="85">
        <v>14.230635197212102</v>
      </c>
      <c r="E65" s="85">
        <v>13.397252834287524</v>
      </c>
      <c r="F65" s="85">
        <v>13.435133850784096</v>
      </c>
      <c r="G65" s="86">
        <v>15.038763549138965</v>
      </c>
      <c r="H65" s="85">
        <v>14.798850444660678</v>
      </c>
      <c r="I65" s="85">
        <v>18.763730171301848</v>
      </c>
      <c r="J65" s="85">
        <v>18.801611187798422</v>
      </c>
      <c r="K65" s="85">
        <v>16.099432011042971</v>
      </c>
      <c r="L65" s="85">
        <v>18.372293000837274</v>
      </c>
      <c r="M65" s="85">
        <v>20.241089814668147</v>
      </c>
      <c r="N65" s="85">
        <f t="shared" si="8"/>
        <v>182.48548346948473</v>
      </c>
      <c r="O65" s="85">
        <f t="shared" si="9"/>
        <v>15.207123622457061</v>
      </c>
      <c r="R65" s="84" t="s">
        <v>39</v>
      </c>
      <c r="S65" s="85">
        <v>14.19275418071553</v>
      </c>
      <c r="T65" s="85">
        <v>19.483469484736712</v>
      </c>
      <c r="U65" s="85">
        <v>15.215541626122967</v>
      </c>
      <c r="V65" s="85">
        <v>22.147767644995586</v>
      </c>
      <c r="W65" s="85">
        <v>18.637460116313278</v>
      </c>
      <c r="X65" s="85">
        <v>23.688262315856171</v>
      </c>
      <c r="Y65" s="85">
        <v>33.587834626960245</v>
      </c>
      <c r="Z65" s="85">
        <v>28.713810504401351</v>
      </c>
      <c r="AA65" s="85">
        <v>16.793917313480122</v>
      </c>
      <c r="AB65" s="85">
        <v>15.379692697608112</v>
      </c>
      <c r="AC65" s="85">
        <f t="shared" si="10"/>
        <v>207.84051051119008</v>
      </c>
      <c r="AD65" s="85">
        <f t="shared" si="11"/>
        <v>20.784051051119008</v>
      </c>
      <c r="AE65" s="148"/>
    </row>
    <row r="66" spans="1:31" x14ac:dyDescent="0.35">
      <c r="A66" s="87" t="s">
        <v>40</v>
      </c>
      <c r="B66" s="88">
        <v>25.601502568396281</v>
      </c>
      <c r="C66" s="88">
        <v>32.13403935944725</v>
      </c>
      <c r="D66" s="88">
        <v>42.555889962511223</v>
      </c>
      <c r="E66" s="88">
        <v>40.063708296561138</v>
      </c>
      <c r="F66" s="88">
        <v>40.176989281377054</v>
      </c>
      <c r="G66" s="89">
        <v>44.972550971917357</v>
      </c>
      <c r="H66" s="88">
        <v>44.255104734749914</v>
      </c>
      <c r="I66" s="88">
        <v>56.111847812148781</v>
      </c>
      <c r="J66" s="88">
        <v>56.22512879696469</v>
      </c>
      <c r="K66" s="88">
        <v>48.144418546762914</v>
      </c>
      <c r="L66" s="88">
        <v>54.941277635717682</v>
      </c>
      <c r="M66" s="88">
        <v>60.529806219969373</v>
      </c>
      <c r="N66" s="88">
        <f t="shared" si="8"/>
        <v>545.71226418652361</v>
      </c>
      <c r="O66" s="88">
        <f t="shared" si="9"/>
        <v>45.476022015543634</v>
      </c>
      <c r="R66" s="87" t="s">
        <v>40</v>
      </c>
      <c r="S66" s="88">
        <v>42.442608977695308</v>
      </c>
      <c r="T66" s="88">
        <v>58.264186523651119</v>
      </c>
      <c r="U66" s="88">
        <v>45.501195567724949</v>
      </c>
      <c r="V66" s="88">
        <v>66.231615789036979</v>
      </c>
      <c r="W66" s="88">
        <v>55.73424452942907</v>
      </c>
      <c r="X66" s="88">
        <v>70.838375838217431</v>
      </c>
      <c r="Y66" s="88">
        <v>100.44247320344263</v>
      </c>
      <c r="Z66" s="88">
        <v>85.866986490461869</v>
      </c>
      <c r="AA66" s="88">
        <v>50.221236601721323</v>
      </c>
      <c r="AB66" s="88">
        <v>45.992079835260583</v>
      </c>
      <c r="AC66" s="88">
        <f t="shared" si="10"/>
        <v>621.53500335664125</v>
      </c>
      <c r="AD66" s="88">
        <f t="shared" si="11"/>
        <v>62.153500335664127</v>
      </c>
      <c r="AE66" s="148"/>
    </row>
    <row r="67" spans="1:31" x14ac:dyDescent="0.35">
      <c r="A67" s="84" t="s">
        <v>41</v>
      </c>
      <c r="B67" s="85">
        <v>3.7844810029191467</v>
      </c>
      <c r="C67" s="85">
        <v>4.7501376600061853</v>
      </c>
      <c r="D67" s="85">
        <v>6.2907228470352186</v>
      </c>
      <c r="E67" s="85">
        <v>5.9223220414413191</v>
      </c>
      <c r="F67" s="85">
        <v>5.9390675326046782</v>
      </c>
      <c r="G67" s="86">
        <v>6.6479599918535452</v>
      </c>
      <c r="H67" s="85">
        <v>6.5419052144856042</v>
      </c>
      <c r="I67" s="85">
        <v>8.2945999562505186</v>
      </c>
      <c r="J67" s="85">
        <v>8.3113454474138777</v>
      </c>
      <c r="K67" s="85">
        <v>7.1168337444275984</v>
      </c>
      <c r="L67" s="85">
        <v>8.121563214229143</v>
      </c>
      <c r="M67" s="85">
        <v>8.9476741116215219</v>
      </c>
      <c r="N67" s="85">
        <f t="shared" si="8"/>
        <v>80.668612764288355</v>
      </c>
      <c r="O67" s="85">
        <f t="shared" si="9"/>
        <v>6.7223843970240296</v>
      </c>
      <c r="R67" s="84" t="s">
        <v>41</v>
      </c>
      <c r="S67" s="85">
        <v>6.2739773558718595</v>
      </c>
      <c r="T67" s="85">
        <v>8.6127642883543416</v>
      </c>
      <c r="U67" s="85">
        <v>6.7261056172825544</v>
      </c>
      <c r="V67" s="85">
        <v>9.7905305001772618</v>
      </c>
      <c r="W67" s="85">
        <v>8.2387816523726549</v>
      </c>
      <c r="X67" s="85">
        <v>10.471513807487197</v>
      </c>
      <c r="Y67" s="85">
        <v>14.847668831511696</v>
      </c>
      <c r="Z67" s="85">
        <v>12.693082301826166</v>
      </c>
      <c r="AA67" s="85">
        <v>7.4238344157558496</v>
      </c>
      <c r="AB67" s="85">
        <v>6.7986694123237781</v>
      </c>
      <c r="AC67" s="85">
        <f t="shared" si="10"/>
        <v>91.876928182963354</v>
      </c>
      <c r="AD67" s="85">
        <f t="shared" si="11"/>
        <v>9.1876928182963358</v>
      </c>
      <c r="AE67" s="148"/>
    </row>
    <row r="68" spans="1:31" x14ac:dyDescent="0.35">
      <c r="A68" s="9" t="s">
        <v>42</v>
      </c>
      <c r="B68" s="91">
        <v>678</v>
      </c>
      <c r="C68" s="91">
        <v>851</v>
      </c>
      <c r="D68" s="91">
        <v>1127</v>
      </c>
      <c r="E68" s="91">
        <v>1061</v>
      </c>
      <c r="F68" s="91">
        <v>1064</v>
      </c>
      <c r="G68" s="91">
        <v>1191</v>
      </c>
      <c r="H68" s="91">
        <v>1172</v>
      </c>
      <c r="I68" s="91">
        <v>1486</v>
      </c>
      <c r="J68" s="91">
        <v>1489</v>
      </c>
      <c r="K68" s="91">
        <v>1275</v>
      </c>
      <c r="L68" s="91">
        <v>1455</v>
      </c>
      <c r="M68" s="91">
        <v>1603</v>
      </c>
      <c r="N68" s="92">
        <f>SUM(N43:N67)</f>
        <v>14452</v>
      </c>
      <c r="O68" s="92">
        <f>SUM(O43:O67)</f>
        <v>1204.333333333333</v>
      </c>
      <c r="R68" s="9" t="s">
        <v>42</v>
      </c>
      <c r="S68" s="91">
        <f>SUM(S43:S67)</f>
        <v>1124</v>
      </c>
      <c r="T68" s="91">
        <f t="shared" ref="T68:AC68" si="12">SUM(T43:T67)</f>
        <v>1543</v>
      </c>
      <c r="U68" s="91">
        <f t="shared" si="12"/>
        <v>1204.9999999999998</v>
      </c>
      <c r="V68" s="91">
        <f t="shared" si="12"/>
        <v>1753.9999999999998</v>
      </c>
      <c r="W68" s="91">
        <f t="shared" si="12"/>
        <v>1476</v>
      </c>
      <c r="X68" s="91">
        <f t="shared" si="12"/>
        <v>1876</v>
      </c>
      <c r="Y68" s="91">
        <f t="shared" si="12"/>
        <v>2660.0000000000005</v>
      </c>
      <c r="Z68" s="91">
        <f t="shared" si="12"/>
        <v>2274</v>
      </c>
      <c r="AA68" s="91">
        <f t="shared" si="12"/>
        <v>1330.0000000000005</v>
      </c>
      <c r="AB68" s="91">
        <f t="shared" si="12"/>
        <v>1218.0000000000002</v>
      </c>
      <c r="AC68" s="91">
        <f t="shared" si="12"/>
        <v>16459.999999999996</v>
      </c>
      <c r="AD68" s="91">
        <f>SUM(AD43:AD67)</f>
        <v>1646</v>
      </c>
      <c r="AE68" s="148"/>
    </row>
    <row r="69" spans="1:31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1" spans="1:31" ht="18.5" x14ac:dyDescent="0.45">
      <c r="A71" s="50" t="s">
        <v>137</v>
      </c>
      <c r="R71" s="50" t="s">
        <v>137</v>
      </c>
    </row>
    <row r="72" spans="1:31" x14ac:dyDescent="0.35">
      <c r="A72" s="81" t="s">
        <v>2</v>
      </c>
      <c r="B72" s="82" t="s">
        <v>3</v>
      </c>
      <c r="C72" s="82" t="s">
        <v>4</v>
      </c>
      <c r="D72" s="82" t="s">
        <v>5</v>
      </c>
      <c r="E72" s="82" t="s">
        <v>6</v>
      </c>
      <c r="F72" s="82" t="s">
        <v>7</v>
      </c>
      <c r="G72" s="82" t="s">
        <v>8</v>
      </c>
      <c r="H72" s="82" t="s">
        <v>9</v>
      </c>
      <c r="I72" s="82" t="s">
        <v>10</v>
      </c>
      <c r="J72" s="82" t="s">
        <v>11</v>
      </c>
      <c r="K72" s="82" t="s">
        <v>12</v>
      </c>
      <c r="L72" s="82" t="s">
        <v>13</v>
      </c>
      <c r="M72" s="82" t="s">
        <v>14</v>
      </c>
      <c r="N72" s="83" t="s">
        <v>15</v>
      </c>
      <c r="O72" s="83" t="s">
        <v>16</v>
      </c>
      <c r="R72" s="81" t="s">
        <v>2</v>
      </c>
      <c r="S72" s="82" t="s">
        <v>3</v>
      </c>
      <c r="T72" s="82" t="s">
        <v>4</v>
      </c>
      <c r="U72" s="82" t="s">
        <v>5</v>
      </c>
      <c r="V72" s="82" t="s">
        <v>6</v>
      </c>
      <c r="W72" s="82" t="s">
        <v>7</v>
      </c>
      <c r="X72" s="82" t="s">
        <v>8</v>
      </c>
      <c r="Y72" s="82" t="s">
        <v>9</v>
      </c>
      <c r="Z72" s="82" t="s">
        <v>10</v>
      </c>
      <c r="AA72" s="82" t="s">
        <v>11</v>
      </c>
      <c r="AB72" s="82" t="s">
        <v>12</v>
      </c>
      <c r="AC72" s="82" t="s">
        <v>15</v>
      </c>
      <c r="AD72" s="82" t="s">
        <v>16</v>
      </c>
    </row>
    <row r="73" spans="1:31" x14ac:dyDescent="0.35">
      <c r="A73" s="84" t="s">
        <v>17</v>
      </c>
      <c r="B73" s="85">
        <v>2.4643026860672985</v>
      </c>
      <c r="C73" s="85">
        <v>2.7086963408838902</v>
      </c>
      <c r="D73" s="85">
        <v>3.2653707768550158</v>
      </c>
      <c r="E73" s="85">
        <v>3.3536240410943403</v>
      </c>
      <c r="F73" s="85">
        <v>2.8105270303908036</v>
      </c>
      <c r="G73" s="85">
        <v>3.4147224547984885</v>
      </c>
      <c r="H73" s="85">
        <v>2.8919915819963342</v>
      </c>
      <c r="I73" s="85">
        <v>3.6726935348826681</v>
      </c>
      <c r="J73" s="85">
        <v>3.3943563168971056</v>
      </c>
      <c r="K73" s="85">
        <v>3.6523273969812857</v>
      </c>
      <c r="L73" s="85">
        <v>3.9306646149668483</v>
      </c>
      <c r="M73" s="85">
        <v>4.3311986603607071</v>
      </c>
      <c r="N73" s="93">
        <f t="shared" ref="N73:N97" si="13">SUM(B73:M73)</f>
        <v>39.890475436174782</v>
      </c>
      <c r="O73" s="93">
        <f t="shared" ref="O73:O97" si="14">AVERAGE(B73:M73)</f>
        <v>3.3242062863478985</v>
      </c>
      <c r="R73" s="84" t="s">
        <v>17</v>
      </c>
      <c r="S73" s="85">
        <v>3.428299880066076</v>
      </c>
      <c r="T73" s="85">
        <v>3.8695662012626992</v>
      </c>
      <c r="U73" s="85">
        <v>4.7928311194587119</v>
      </c>
      <c r="V73" s="85">
        <v>4.4601842004027956</v>
      </c>
      <c r="W73" s="85">
        <v>4.9353940847683901</v>
      </c>
      <c r="X73" s="85">
        <v>4.9964924984725378</v>
      </c>
      <c r="Y73" s="85">
        <v>5.3087732796270721</v>
      </c>
      <c r="Z73" s="85">
        <v>5.8790251408657852</v>
      </c>
      <c r="AA73" s="85">
        <v>6.5714738295127946</v>
      </c>
      <c r="AB73" s="85">
        <v>5.7771944513588727</v>
      </c>
      <c r="AC73" s="85">
        <f>SUM(S73:AB73)</f>
        <v>50.019234685795745</v>
      </c>
      <c r="AD73" s="85">
        <f>AVERAGE(S73:AB73)</f>
        <v>5.0019234685795748</v>
      </c>
      <c r="AE73" s="148"/>
    </row>
    <row r="74" spans="1:31" x14ac:dyDescent="0.35">
      <c r="A74" s="87" t="s">
        <v>18</v>
      </c>
      <c r="B74" s="88">
        <v>24.697789142585592</v>
      </c>
      <c r="C74" s="88">
        <v>27.147156660858542</v>
      </c>
      <c r="D74" s="88">
        <v>32.726271563591375</v>
      </c>
      <c r="E74" s="88">
        <v>33.610765389634388</v>
      </c>
      <c r="F74" s="88">
        <v>28.16772646013894</v>
      </c>
      <c r="G74" s="89">
        <v>34.223107269202622</v>
      </c>
      <c r="H74" s="88">
        <v>28.984182299563258</v>
      </c>
      <c r="I74" s="88">
        <v>36.808550760712961</v>
      </c>
      <c r="J74" s="88">
        <v>34.018993309346548</v>
      </c>
      <c r="K74" s="88">
        <v>36.604436800856881</v>
      </c>
      <c r="L74" s="88">
        <v>39.393994252223301</v>
      </c>
      <c r="M74" s="88">
        <v>43.408235462726189</v>
      </c>
      <c r="N74" s="94">
        <f t="shared" si="13"/>
        <v>399.79120937144057</v>
      </c>
      <c r="O74" s="94">
        <f t="shared" si="14"/>
        <v>33.315934114286712</v>
      </c>
      <c r="R74" s="87" t="s">
        <v>18</v>
      </c>
      <c r="S74" s="88">
        <v>34.359183242440004</v>
      </c>
      <c r="T74" s="88">
        <v>38.781652372655053</v>
      </c>
      <c r="U74" s="88">
        <v>48.034818552797311</v>
      </c>
      <c r="V74" s="88">
        <v>44.700957208481348</v>
      </c>
      <c r="W74" s="88">
        <v>49.463616271789867</v>
      </c>
      <c r="X74" s="89">
        <v>50.075958151358108</v>
      </c>
      <c r="Y74" s="88">
        <v>53.205705535817984</v>
      </c>
      <c r="Z74" s="88">
        <v>58.920896411788206</v>
      </c>
      <c r="AA74" s="88">
        <v>65.860771046894897</v>
      </c>
      <c r="AB74" s="88">
        <v>57.900326612507811</v>
      </c>
      <c r="AC74" s="88">
        <f t="shared" ref="AC74:AC97" si="15">SUM(S74:AB74)</f>
        <v>501.30388540653058</v>
      </c>
      <c r="AD74" s="88">
        <f t="shared" ref="AD74:AD97" si="16">AVERAGE(S74:AB74)</f>
        <v>50.130388540653058</v>
      </c>
      <c r="AE74" s="148"/>
    </row>
    <row r="75" spans="1:31" ht="29" x14ac:dyDescent="0.35">
      <c r="A75" s="90" t="s">
        <v>19</v>
      </c>
      <c r="B75" s="85">
        <v>107.74478966305355</v>
      </c>
      <c r="C75" s="85">
        <v>118.43022334864564</v>
      </c>
      <c r="D75" s="85">
        <v>142.76926674360539</v>
      </c>
      <c r="E75" s="85">
        <v>146.62789557451364</v>
      </c>
      <c r="F75" s="85">
        <v>122.88248738430902</v>
      </c>
      <c r="G75" s="86">
        <v>149.29925399591167</v>
      </c>
      <c r="H75" s="85">
        <v>126.4442986128397</v>
      </c>
      <c r="I75" s="85">
        <v>160.57832288625889</v>
      </c>
      <c r="J75" s="85">
        <v>148.40880118877899</v>
      </c>
      <c r="K75" s="85">
        <v>159.68787007912621</v>
      </c>
      <c r="L75" s="85">
        <v>171.85739177660608</v>
      </c>
      <c r="M75" s="85">
        <v>189.369630316882</v>
      </c>
      <c r="N75" s="93">
        <f t="shared" si="13"/>
        <v>1744.1002315705309</v>
      </c>
      <c r="O75" s="93">
        <f t="shared" si="14"/>
        <v>145.34168596421091</v>
      </c>
      <c r="R75" s="90" t="s">
        <v>19</v>
      </c>
      <c r="S75" s="85">
        <v>149.89288920066679</v>
      </c>
      <c r="T75" s="85">
        <v>169.18603335520805</v>
      </c>
      <c r="U75" s="85">
        <v>209.55322727855594</v>
      </c>
      <c r="V75" s="85">
        <v>195.0091647620556</v>
      </c>
      <c r="W75" s="85">
        <v>215.78639692848466</v>
      </c>
      <c r="X75" s="86">
        <v>218.45775534988269</v>
      </c>
      <c r="Y75" s="85">
        <v>232.11136505925035</v>
      </c>
      <c r="Z75" s="85">
        <v>257.04404365896522</v>
      </c>
      <c r="AA75" s="85">
        <v>287.31943910147612</v>
      </c>
      <c r="AB75" s="85">
        <v>252.59177962330185</v>
      </c>
      <c r="AC75" s="85">
        <f t="shared" si="15"/>
        <v>2186.9520943178472</v>
      </c>
      <c r="AD75" s="85">
        <f t="shared" si="16"/>
        <v>218.69520943178472</v>
      </c>
      <c r="AE75" s="148"/>
    </row>
    <row r="76" spans="1:31" x14ac:dyDescent="0.35">
      <c r="A76" s="87" t="s">
        <v>20</v>
      </c>
      <c r="B76" s="88">
        <v>10.278880314996266</v>
      </c>
      <c r="C76" s="88">
        <v>11.298273404086805</v>
      </c>
      <c r="D76" s="88">
        <v>13.620224329237477</v>
      </c>
      <c r="E76" s="88">
        <v>13.988338500297949</v>
      </c>
      <c r="F76" s="88">
        <v>11.723020524541196</v>
      </c>
      <c r="G76" s="89">
        <v>14.243186772570583</v>
      </c>
      <c r="H76" s="88">
        <v>12.06281822090471</v>
      </c>
      <c r="I76" s="88">
        <v>15.319212811055042</v>
      </c>
      <c r="J76" s="88">
        <v>14.158237348479705</v>
      </c>
      <c r="K76" s="88">
        <v>15.234263386964164</v>
      </c>
      <c r="L76" s="88">
        <v>16.395238849539499</v>
      </c>
      <c r="M76" s="88">
        <v>18.065910856660103</v>
      </c>
      <c r="N76" s="94">
        <f t="shared" si="13"/>
        <v>166.38760531933352</v>
      </c>
      <c r="O76" s="94">
        <f t="shared" si="14"/>
        <v>13.865633776611126</v>
      </c>
      <c r="R76" s="87" t="s">
        <v>20</v>
      </c>
      <c r="S76" s="88">
        <v>14.299819721964502</v>
      </c>
      <c r="T76" s="88">
        <v>16.140390577266864</v>
      </c>
      <c r="U76" s="88">
        <v>19.991431136053343</v>
      </c>
      <c r="V76" s="88">
        <v>18.603923875902332</v>
      </c>
      <c r="W76" s="88">
        <v>20.58607710468949</v>
      </c>
      <c r="X76" s="89">
        <v>20.840925376962126</v>
      </c>
      <c r="Y76" s="88">
        <v>22.143483213022257</v>
      </c>
      <c r="Z76" s="88">
        <v>24.522067087566846</v>
      </c>
      <c r="AA76" s="88">
        <v>27.410347506656706</v>
      </c>
      <c r="AB76" s="88">
        <v>24.097319967112455</v>
      </c>
      <c r="AC76" s="88">
        <f t="shared" si="15"/>
        <v>208.63578556719693</v>
      </c>
      <c r="AD76" s="88">
        <f t="shared" si="16"/>
        <v>20.863578556719695</v>
      </c>
      <c r="AE76" s="148"/>
    </row>
    <row r="77" spans="1:31" x14ac:dyDescent="0.35">
      <c r="A77" s="84" t="s">
        <v>21</v>
      </c>
      <c r="B77" s="85">
        <v>17.151546695028401</v>
      </c>
      <c r="C77" s="85">
        <v>18.852526532551877</v>
      </c>
      <c r="D77" s="85">
        <v>22.72698060691091</v>
      </c>
      <c r="E77" s="85">
        <v>23.34122332601661</v>
      </c>
      <c r="F77" s="85">
        <v>19.561268131519991</v>
      </c>
      <c r="G77" s="86">
        <v>23.76646828539748</v>
      </c>
      <c r="H77" s="85">
        <v>20.128261410694485</v>
      </c>
      <c r="I77" s="85">
        <v>25.561947002783374</v>
      </c>
      <c r="J77" s="85">
        <v>23.624719965603855</v>
      </c>
      <c r="K77" s="85">
        <v>25.420198682989749</v>
      </c>
      <c r="L77" s="85">
        <v>27.357425720169264</v>
      </c>
      <c r="M77" s="85">
        <v>30.14514267611052</v>
      </c>
      <c r="N77" s="93">
        <f t="shared" si="13"/>
        <v>277.63770903577654</v>
      </c>
      <c r="O77" s="93">
        <f t="shared" si="14"/>
        <v>23.136475752981379</v>
      </c>
      <c r="R77" s="84" t="s">
        <v>21</v>
      </c>
      <c r="S77" s="85">
        <v>23.86096716525989</v>
      </c>
      <c r="T77" s="85">
        <v>26.932180760788391</v>
      </c>
      <c r="U77" s="85">
        <v>33.358104591432642</v>
      </c>
      <c r="V77" s="85">
        <v>31.042882034803462</v>
      </c>
      <c r="W77" s="85">
        <v>34.350342829988001</v>
      </c>
      <c r="X77" s="86">
        <v>34.775587789368871</v>
      </c>
      <c r="Y77" s="85">
        <v>36.949062026204423</v>
      </c>
      <c r="Z77" s="85">
        <v>40.918014980425866</v>
      </c>
      <c r="AA77" s="85">
        <v>45.737457853409055</v>
      </c>
      <c r="AB77" s="85">
        <v>40.209273381457749</v>
      </c>
      <c r="AC77" s="85">
        <f t="shared" si="15"/>
        <v>348.13387341313836</v>
      </c>
      <c r="AD77" s="85">
        <f t="shared" si="16"/>
        <v>34.813387341313835</v>
      </c>
      <c r="AE77" s="148"/>
    </row>
    <row r="78" spans="1:31" x14ac:dyDescent="0.35">
      <c r="A78" s="87" t="s">
        <v>22</v>
      </c>
      <c r="B78" s="88">
        <v>1.7523930212034124</v>
      </c>
      <c r="C78" s="88">
        <v>1.9261840646285442</v>
      </c>
      <c r="D78" s="88">
        <v>2.3220414413191222</v>
      </c>
      <c r="E78" s="88">
        <v>2.384799318111531</v>
      </c>
      <c r="F78" s="88">
        <v>1.9985969993890158</v>
      </c>
      <c r="G78" s="89">
        <v>2.4282470789678139</v>
      </c>
      <c r="H78" s="88">
        <v>2.0565273471973931</v>
      </c>
      <c r="I78" s="88">
        <v>2.6116931803610086</v>
      </c>
      <c r="J78" s="88">
        <v>2.4137644920157193</v>
      </c>
      <c r="K78" s="88">
        <v>2.597210593408914</v>
      </c>
      <c r="L78" s="88">
        <v>2.7951392817542033</v>
      </c>
      <c r="M78" s="88">
        <v>3.079963491812058</v>
      </c>
      <c r="N78" s="94">
        <f t="shared" si="13"/>
        <v>28.366560310168737</v>
      </c>
      <c r="O78" s="94">
        <f t="shared" si="14"/>
        <v>2.3638800258473949</v>
      </c>
      <c r="R78" s="87" t="s">
        <v>22</v>
      </c>
      <c r="S78" s="88">
        <v>2.4379021369358762</v>
      </c>
      <c r="T78" s="88">
        <v>2.7516915208979196</v>
      </c>
      <c r="U78" s="88">
        <v>3.4082354627261955</v>
      </c>
      <c r="V78" s="88">
        <v>3.1716865425086547</v>
      </c>
      <c r="W78" s="88">
        <v>3.5096135713908554</v>
      </c>
      <c r="X78" s="89">
        <v>3.5530613322471383</v>
      </c>
      <c r="Y78" s="88">
        <v>3.7751276655125845</v>
      </c>
      <c r="Z78" s="88">
        <v>4.1806401001712254</v>
      </c>
      <c r="AA78" s="88">
        <v>4.6730480565424317</v>
      </c>
      <c r="AB78" s="88">
        <v>4.1082271654107538</v>
      </c>
      <c r="AC78" s="88">
        <f t="shared" si="15"/>
        <v>35.569233554343633</v>
      </c>
      <c r="AD78" s="88">
        <f t="shared" si="16"/>
        <v>3.5569233554343631</v>
      </c>
      <c r="AE78" s="148"/>
    </row>
    <row r="79" spans="1:31" x14ac:dyDescent="0.35">
      <c r="A79" s="84" t="s">
        <v>23</v>
      </c>
      <c r="B79" s="85">
        <v>21.398361657351042</v>
      </c>
      <c r="C79" s="85">
        <v>23.520513226675114</v>
      </c>
      <c r="D79" s="85">
        <v>28.354302912357721</v>
      </c>
      <c r="E79" s="85">
        <v>29.120635423502524</v>
      </c>
      <c r="F79" s="85">
        <v>24.404743047226809</v>
      </c>
      <c r="G79" s="86">
        <v>29.651173315833539</v>
      </c>
      <c r="H79" s="85">
        <v>25.112126903668166</v>
      </c>
      <c r="I79" s="85">
        <v>31.891222194564502</v>
      </c>
      <c r="J79" s="85">
        <v>29.474327351723201</v>
      </c>
      <c r="K79" s="85">
        <v>31.714376230454164</v>
      </c>
      <c r="L79" s="85">
        <v>34.131271073295466</v>
      </c>
      <c r="M79" s="85">
        <v>37.609241700798805</v>
      </c>
      <c r="N79" s="93">
        <f t="shared" si="13"/>
        <v>346.38229503745106</v>
      </c>
      <c r="O79" s="93">
        <f t="shared" si="14"/>
        <v>28.865191253120923</v>
      </c>
      <c r="R79" s="84" t="s">
        <v>23</v>
      </c>
      <c r="S79" s="85">
        <v>29.769070625240428</v>
      </c>
      <c r="T79" s="85">
        <v>33.600733180964447</v>
      </c>
      <c r="U79" s="85">
        <v>41.617750220633155</v>
      </c>
      <c r="V79" s="85">
        <v>38.729266140164285</v>
      </c>
      <c r="W79" s="85">
        <v>42.855671969405527</v>
      </c>
      <c r="X79" s="86">
        <v>43.386209861736546</v>
      </c>
      <c r="Y79" s="85">
        <v>46.097847978095082</v>
      </c>
      <c r="Z79" s="85">
        <v>51.049534973184578</v>
      </c>
      <c r="AA79" s="85">
        <v>57.062297752936111</v>
      </c>
      <c r="AB79" s="85">
        <v>50.165305152632882</v>
      </c>
      <c r="AC79" s="85">
        <f t="shared" si="15"/>
        <v>434.333687854993</v>
      </c>
      <c r="AD79" s="85">
        <f t="shared" si="16"/>
        <v>43.433368785499297</v>
      </c>
      <c r="AE79" s="148"/>
    </row>
    <row r="80" spans="1:31" x14ac:dyDescent="0.35">
      <c r="A80" s="87" t="s">
        <v>24</v>
      </c>
      <c r="B80" s="88">
        <v>11.765676268923537</v>
      </c>
      <c r="C80" s="88">
        <v>12.932520196420086</v>
      </c>
      <c r="D80" s="88">
        <v>15.590331364606669</v>
      </c>
      <c r="E80" s="88">
        <v>16.0116916717582</v>
      </c>
      <c r="F80" s="88">
        <v>13.418705166210314</v>
      </c>
      <c r="G80" s="89">
        <v>16.30340265363234</v>
      </c>
      <c r="H80" s="88">
        <v>13.807653142042497</v>
      </c>
      <c r="I80" s="88">
        <v>17.535071243767586</v>
      </c>
      <c r="J80" s="88">
        <v>16.206165659674291</v>
      </c>
      <c r="K80" s="88">
        <v>17.437834249809537</v>
      </c>
      <c r="L80" s="88">
        <v>18.766739833902832</v>
      </c>
      <c r="M80" s="88">
        <v>20.679067381744396</v>
      </c>
      <c r="N80" s="94">
        <f t="shared" si="13"/>
        <v>190.45485883249228</v>
      </c>
      <c r="O80" s="94">
        <f t="shared" si="14"/>
        <v>15.871238236041023</v>
      </c>
      <c r="R80" s="87" t="s">
        <v>24</v>
      </c>
      <c r="S80" s="88">
        <v>16.368227316271032</v>
      </c>
      <c r="T80" s="88">
        <v>18.475028852028689</v>
      </c>
      <c r="U80" s="88">
        <v>22.883105911460095</v>
      </c>
      <c r="V80" s="88">
        <v>21.294901676812017</v>
      </c>
      <c r="W80" s="88">
        <v>23.563764869166416</v>
      </c>
      <c r="X80" s="89">
        <v>23.855475851040552</v>
      </c>
      <c r="Y80" s="88">
        <v>25.346443091730588</v>
      </c>
      <c r="Z80" s="88">
        <v>28.069078922555867</v>
      </c>
      <c r="AA80" s="88">
        <v>31.375136717129422</v>
      </c>
      <c r="AB80" s="88">
        <v>27.582893952765641</v>
      </c>
      <c r="AC80" s="88">
        <f t="shared" si="15"/>
        <v>238.81405716096032</v>
      </c>
      <c r="AD80" s="88">
        <f t="shared" si="16"/>
        <v>23.881405716096033</v>
      </c>
      <c r="AE80" s="148"/>
    </row>
    <row r="81" spans="1:31" x14ac:dyDescent="0.35">
      <c r="A81" s="84" t="s">
        <v>25</v>
      </c>
      <c r="B81" s="85">
        <v>11.291982530379489</v>
      </c>
      <c r="C81" s="85">
        <v>12.411848566450182</v>
      </c>
      <c r="D81" s="85">
        <v>14.962654537500093</v>
      </c>
      <c r="E81" s="85">
        <v>15.367050606081177</v>
      </c>
      <c r="F81" s="85">
        <v>12.878459414812971</v>
      </c>
      <c r="G81" s="86">
        <v>15.647017115098851</v>
      </c>
      <c r="H81" s="85">
        <v>13.251748093503201</v>
      </c>
      <c r="I81" s="85">
        <v>16.829097930951249</v>
      </c>
      <c r="J81" s="85">
        <v>15.553694945426292</v>
      </c>
      <c r="K81" s="85">
        <v>16.735775761278692</v>
      </c>
      <c r="L81" s="85">
        <v>18.011178746803647</v>
      </c>
      <c r="M81" s="85">
        <v>19.846514750363948</v>
      </c>
      <c r="N81" s="93">
        <f t="shared" si="13"/>
        <v>182.78702299864977</v>
      </c>
      <c r="O81" s="93">
        <f t="shared" si="14"/>
        <v>15.232251916554148</v>
      </c>
      <c r="R81" s="84" t="s">
        <v>25</v>
      </c>
      <c r="S81" s="85">
        <v>15.709231894880553</v>
      </c>
      <c r="T81" s="85">
        <v>17.731212237785968</v>
      </c>
      <c r="U81" s="85">
        <v>21.961817262941921</v>
      </c>
      <c r="V81" s="85">
        <v>20.437555158290145</v>
      </c>
      <c r="W81" s="85">
        <v>22.615072450649823</v>
      </c>
      <c r="X81" s="86">
        <v>22.895038959667499</v>
      </c>
      <c r="Y81" s="85">
        <v>24.325978894646717</v>
      </c>
      <c r="Z81" s="85">
        <v>26.938999645478333</v>
      </c>
      <c r="AA81" s="85">
        <v>30.111953414345297</v>
      </c>
      <c r="AB81" s="85">
        <v>26.472388797115546</v>
      </c>
      <c r="AC81" s="85">
        <f t="shared" si="15"/>
        <v>229.19924871580179</v>
      </c>
      <c r="AD81" s="85">
        <f t="shared" si="16"/>
        <v>22.919924871580179</v>
      </c>
      <c r="AE81" s="148"/>
    </row>
    <row r="82" spans="1:31" x14ac:dyDescent="0.35">
      <c r="A82" s="87" t="s">
        <v>26</v>
      </c>
      <c r="B82" s="88">
        <v>5.4981331040257064</v>
      </c>
      <c r="C82" s="88">
        <v>6.0434025027720573</v>
      </c>
      <c r="D82" s="88">
        <v>7.2854050221387459</v>
      </c>
      <c r="E82" s="88">
        <v>7.4823078605749282</v>
      </c>
      <c r="F82" s="88">
        <v>6.2705980855830372</v>
      </c>
      <c r="G82" s="89">
        <v>7.6186252102615155</v>
      </c>
      <c r="H82" s="88">
        <v>6.4523545518318208</v>
      </c>
      <c r="I82" s="88">
        <v>8.1941873533826648</v>
      </c>
      <c r="J82" s="88">
        <v>7.5731860936993201</v>
      </c>
      <c r="K82" s="88">
        <v>8.1487482368204684</v>
      </c>
      <c r="L82" s="88">
        <v>8.7697494965038132</v>
      </c>
      <c r="M82" s="88">
        <v>9.6633854555603325</v>
      </c>
      <c r="N82" s="94">
        <f t="shared" si="13"/>
        <v>89.000082973154406</v>
      </c>
      <c r="O82" s="94">
        <f t="shared" si="14"/>
        <v>7.4166735810962008</v>
      </c>
      <c r="R82" s="87" t="s">
        <v>26</v>
      </c>
      <c r="S82" s="88">
        <v>7.6489179546363113</v>
      </c>
      <c r="T82" s="88">
        <v>8.6334321468172224</v>
      </c>
      <c r="U82" s="88">
        <v>10.693338764303437</v>
      </c>
      <c r="V82" s="88">
        <v>9.951166527120904</v>
      </c>
      <c r="W82" s="88">
        <v>11.011412580238808</v>
      </c>
      <c r="X82" s="89">
        <v>11.147729929925397</v>
      </c>
      <c r="Y82" s="88">
        <v>11.844463050545734</v>
      </c>
      <c r="Z82" s="88">
        <v>13.116758314287219</v>
      </c>
      <c r="AA82" s="88">
        <v>14.661688277401881</v>
      </c>
      <c r="AB82" s="88">
        <v>12.889562731476239</v>
      </c>
      <c r="AC82" s="88">
        <f t="shared" si="15"/>
        <v>111.59847027675315</v>
      </c>
      <c r="AD82" s="88">
        <f t="shared" si="16"/>
        <v>11.159847027675315</v>
      </c>
      <c r="AE82" s="148"/>
    </row>
    <row r="83" spans="1:31" x14ac:dyDescent="0.35">
      <c r="A83" s="84" t="s">
        <v>27</v>
      </c>
      <c r="B83" s="85">
        <v>9.9639971939987788</v>
      </c>
      <c r="C83" s="85">
        <v>10.952162204973863</v>
      </c>
      <c r="D83" s="85">
        <v>13.202982507750447</v>
      </c>
      <c r="E83" s="85">
        <v>13.559819872824784</v>
      </c>
      <c r="F83" s="85">
        <v>11.363897626213483</v>
      </c>
      <c r="G83" s="86">
        <v>13.806861125568554</v>
      </c>
      <c r="H83" s="85">
        <v>11.693285963205177</v>
      </c>
      <c r="I83" s="85">
        <v>14.849924192708922</v>
      </c>
      <c r="J83" s="85">
        <v>13.724514041320631</v>
      </c>
      <c r="K83" s="85">
        <v>14.767577108460999</v>
      </c>
      <c r="L83" s="85">
        <v>15.89298725984929</v>
      </c>
      <c r="M83" s="85">
        <v>17.512479916725127</v>
      </c>
      <c r="N83" s="93">
        <f t="shared" si="13"/>
        <v>161.29048901360005</v>
      </c>
      <c r="O83" s="93">
        <f t="shared" si="14"/>
        <v>13.440874084466671</v>
      </c>
      <c r="R83" s="84" t="s">
        <v>27</v>
      </c>
      <c r="S83" s="85">
        <v>13.861759181733836</v>
      </c>
      <c r="T83" s="85">
        <v>15.645946007105518</v>
      </c>
      <c r="U83" s="85">
        <v>19.379013826344728</v>
      </c>
      <c r="V83" s="85">
        <v>18.034011450295306</v>
      </c>
      <c r="W83" s="85">
        <v>19.955443416080197</v>
      </c>
      <c r="X83" s="86">
        <v>20.202484668823967</v>
      </c>
      <c r="Y83" s="85">
        <v>21.465139960625464</v>
      </c>
      <c r="Z83" s="85">
        <v>23.770858319567331</v>
      </c>
      <c r="AA83" s="85">
        <v>26.570659183996739</v>
      </c>
      <c r="AB83" s="85">
        <v>23.359122898327712</v>
      </c>
      <c r="AC83" s="85">
        <f t="shared" si="15"/>
        <v>202.24443891290082</v>
      </c>
      <c r="AD83" s="85">
        <f t="shared" si="16"/>
        <v>20.224443891290083</v>
      </c>
      <c r="AE83" s="148"/>
    </row>
    <row r="84" spans="1:31" x14ac:dyDescent="0.35">
      <c r="A84" s="87" t="s">
        <v>28</v>
      </c>
      <c r="B84" s="88">
        <v>18.008576406960696</v>
      </c>
      <c r="C84" s="88">
        <v>19.794550926659277</v>
      </c>
      <c r="D84" s="88">
        <v>23.862603999306042</v>
      </c>
      <c r="E84" s="88">
        <v>24.50753924253053</v>
      </c>
      <c r="F84" s="88">
        <v>20.538706976533685</v>
      </c>
      <c r="G84" s="89">
        <v>24.954032872455176</v>
      </c>
      <c r="H84" s="88">
        <v>21.134031816433211</v>
      </c>
      <c r="I84" s="88">
        <v>26.839228198803678</v>
      </c>
      <c r="J84" s="88">
        <v>24.805201662480297</v>
      </c>
      <c r="K84" s="88">
        <v>26.690396988828798</v>
      </c>
      <c r="L84" s="88">
        <v>28.724423525152183</v>
      </c>
      <c r="M84" s="88">
        <v>31.651437321324856</v>
      </c>
      <c r="N84" s="94">
        <f t="shared" si="13"/>
        <v>291.51072993746845</v>
      </c>
      <c r="O84" s="94">
        <f t="shared" si="14"/>
        <v>24.292560828122372</v>
      </c>
      <c r="R84" s="87" t="s">
        <v>28</v>
      </c>
      <c r="S84" s="88">
        <v>25.053253679105094</v>
      </c>
      <c r="T84" s="88">
        <v>28.277929895227533</v>
      </c>
      <c r="U84" s="88">
        <v>35.024944747422175</v>
      </c>
      <c r="V84" s="88">
        <v>32.594034984499103</v>
      </c>
      <c r="W84" s="88">
        <v>36.066763217246347</v>
      </c>
      <c r="X84" s="89">
        <v>36.513256847170993</v>
      </c>
      <c r="Y84" s="88">
        <v>38.795335400119178</v>
      </c>
      <c r="Z84" s="88">
        <v>42.962609279415865</v>
      </c>
      <c r="AA84" s="88">
        <v>48.022870418561844</v>
      </c>
      <c r="AB84" s="88">
        <v>42.21845322954146</v>
      </c>
      <c r="AC84" s="88">
        <f t="shared" si="15"/>
        <v>365.52945169830963</v>
      </c>
      <c r="AD84" s="88">
        <f t="shared" si="16"/>
        <v>36.552945169830963</v>
      </c>
      <c r="AE84" s="148"/>
    </row>
    <row r="85" spans="1:31" x14ac:dyDescent="0.35">
      <c r="A85" s="84" t="s">
        <v>29</v>
      </c>
      <c r="B85" s="85">
        <v>25.992917109818741</v>
      </c>
      <c r="C85" s="85">
        <v>28.570727071123081</v>
      </c>
      <c r="D85" s="85">
        <v>34.442405316316297</v>
      </c>
      <c r="E85" s="85">
        <v>35.373281135676194</v>
      </c>
      <c r="F85" s="85">
        <v>29.64481455499989</v>
      </c>
      <c r="G85" s="86">
        <v>36.017733626002283</v>
      </c>
      <c r="H85" s="85">
        <v>30.504084542101335</v>
      </c>
      <c r="I85" s="85">
        <v>38.738755251823527</v>
      </c>
      <c r="J85" s="85">
        <v>35.802916129226915</v>
      </c>
      <c r="K85" s="85">
        <v>38.523937755048166</v>
      </c>
      <c r="L85" s="85">
        <v>41.459776877644771</v>
      </c>
      <c r="M85" s="85">
        <v>45.684520980893545</v>
      </c>
      <c r="N85" s="93">
        <f t="shared" si="13"/>
        <v>420.75587035067468</v>
      </c>
      <c r="O85" s="93">
        <f t="shared" si="14"/>
        <v>35.062989195889557</v>
      </c>
      <c r="R85" s="84" t="s">
        <v>29</v>
      </c>
      <c r="S85" s="85">
        <v>36.16094529051918</v>
      </c>
      <c r="T85" s="85">
        <v>40.815324387318675</v>
      </c>
      <c r="U85" s="85">
        <v>50.553717574468401</v>
      </c>
      <c r="V85" s="85">
        <v>47.045031793804164</v>
      </c>
      <c r="W85" s="85">
        <v>52.057440051895931</v>
      </c>
      <c r="X85" s="86">
        <v>52.701892542222012</v>
      </c>
      <c r="Y85" s="85">
        <v>55.995760826110889</v>
      </c>
      <c r="Z85" s="85">
        <v>62.01065073582101</v>
      </c>
      <c r="AA85" s="85">
        <v>69.3144456261833</v>
      </c>
      <c r="AB85" s="85">
        <v>60.9365632519442</v>
      </c>
      <c r="AC85" s="85">
        <f t="shared" si="15"/>
        <v>527.5917720802878</v>
      </c>
      <c r="AD85" s="85">
        <f t="shared" si="16"/>
        <v>52.759177208028781</v>
      </c>
      <c r="AE85" s="148"/>
    </row>
    <row r="86" spans="1:31" x14ac:dyDescent="0.35">
      <c r="A86" s="87" t="s">
        <v>30</v>
      </c>
      <c r="B86" s="88">
        <v>3.3459754248602658</v>
      </c>
      <c r="C86" s="88">
        <v>3.6778076984001267</v>
      </c>
      <c r="D86" s="88">
        <v>4.4336478770186991</v>
      </c>
      <c r="E86" s="88">
        <v>4.5534761980192044</v>
      </c>
      <c r="F86" s="88">
        <v>3.8160711457084022</v>
      </c>
      <c r="G86" s="89">
        <v>4.6364342664041702</v>
      </c>
      <c r="H86" s="88">
        <v>3.9266819035550227</v>
      </c>
      <c r="I86" s="88">
        <v>4.9867016662518013</v>
      </c>
      <c r="J86" s="88">
        <v>4.6087815769425147</v>
      </c>
      <c r="K86" s="88">
        <v>4.9590489767901458</v>
      </c>
      <c r="L86" s="88">
        <v>5.3369690660994324</v>
      </c>
      <c r="M86" s="88">
        <v>5.8808052921786489</v>
      </c>
      <c r="N86" s="94">
        <f t="shared" si="13"/>
        <v>54.162401092228428</v>
      </c>
      <c r="O86" s="94">
        <f t="shared" si="14"/>
        <v>4.513533424352369</v>
      </c>
      <c r="R86" s="87" t="s">
        <v>30</v>
      </c>
      <c r="S86" s="88">
        <v>4.6548693927119391</v>
      </c>
      <c r="T86" s="88">
        <v>5.2540109977144658</v>
      </c>
      <c r="U86" s="88">
        <v>6.5075995866428293</v>
      </c>
      <c r="V86" s="88">
        <v>6.0559389921024636</v>
      </c>
      <c r="W86" s="88">
        <v>6.7011684128744156</v>
      </c>
      <c r="X86" s="89">
        <v>6.7841264812593804</v>
      </c>
      <c r="Y86" s="88">
        <v>7.2081343863380916</v>
      </c>
      <c r="Z86" s="88">
        <v>7.9824096912644338</v>
      </c>
      <c r="AA86" s="88">
        <v>8.9226011329607076</v>
      </c>
      <c r="AB86" s="88">
        <v>7.8441462439561587</v>
      </c>
      <c r="AC86" s="88">
        <f t="shared" si="15"/>
        <v>67.915005317824892</v>
      </c>
      <c r="AD86" s="88">
        <f t="shared" si="16"/>
        <v>6.7915005317824892</v>
      </c>
      <c r="AE86" s="148"/>
    </row>
    <row r="87" spans="1:31" x14ac:dyDescent="0.35">
      <c r="A87" s="84" t="s">
        <v>31</v>
      </c>
      <c r="B87" s="85">
        <v>10.81007444954855</v>
      </c>
      <c r="C87" s="85">
        <v>11.882147948677332</v>
      </c>
      <c r="D87" s="85">
        <v>14.324093141137334</v>
      </c>
      <c r="E87" s="85">
        <v>14.711230793600507</v>
      </c>
      <c r="F87" s="85">
        <v>12.328845239980991</v>
      </c>
      <c r="G87" s="86">
        <v>14.979249168382701</v>
      </c>
      <c r="H87" s="85">
        <v>12.686203073023918</v>
      </c>
      <c r="I87" s="85">
        <v>16.110882306351971</v>
      </c>
      <c r="J87" s="85">
        <v>14.88990971012197</v>
      </c>
      <c r="K87" s="85">
        <v>16.02154284809124</v>
      </c>
      <c r="L87" s="85">
        <v>17.242515444321242</v>
      </c>
      <c r="M87" s="85">
        <v>18.999524790115633</v>
      </c>
      <c r="N87" s="93">
        <f t="shared" si="13"/>
        <v>174.98621891335335</v>
      </c>
      <c r="O87" s="93">
        <f t="shared" si="14"/>
        <v>14.582184909446113</v>
      </c>
      <c r="R87" s="84" t="s">
        <v>31</v>
      </c>
      <c r="S87" s="85">
        <v>15.038808807223184</v>
      </c>
      <c r="T87" s="85">
        <v>16.974497069539041</v>
      </c>
      <c r="U87" s="85">
        <v>21.024552510692214</v>
      </c>
      <c r="V87" s="85">
        <v>19.565341359100263</v>
      </c>
      <c r="W87" s="85">
        <v>21.649928718517337</v>
      </c>
      <c r="X87" s="86">
        <v>21.917947093299532</v>
      </c>
      <c r="Y87" s="85">
        <v>23.287818786630751</v>
      </c>
      <c r="Z87" s="85">
        <v>25.789323617931238</v>
      </c>
      <c r="AA87" s="85">
        <v>28.826865198796121</v>
      </c>
      <c r="AB87" s="85">
        <v>25.342626326627581</v>
      </c>
      <c r="AC87" s="85">
        <f t="shared" si="15"/>
        <v>219.41770948835727</v>
      </c>
      <c r="AD87" s="85">
        <f t="shared" si="16"/>
        <v>21.941770948835728</v>
      </c>
      <c r="AE87" s="148"/>
    </row>
    <row r="88" spans="1:31" x14ac:dyDescent="0.35">
      <c r="A88" s="87" t="s">
        <v>32</v>
      </c>
      <c r="B88" s="88">
        <v>8.997442918241271</v>
      </c>
      <c r="C88" s="88">
        <v>9.8897513068271827</v>
      </c>
      <c r="D88" s="88">
        <v>11.922231525272869</v>
      </c>
      <c r="E88" s="88">
        <v>12.244453998928893</v>
      </c>
      <c r="F88" s="88">
        <v>10.261546468737979</v>
      </c>
      <c r="G88" s="89">
        <v>12.467531096075371</v>
      </c>
      <c r="H88" s="88">
        <v>10.558982598266615</v>
      </c>
      <c r="I88" s="88">
        <v>13.409412172916054</v>
      </c>
      <c r="J88" s="88">
        <v>12.393172063693211</v>
      </c>
      <c r="K88" s="88">
        <v>13.335053140533896</v>
      </c>
      <c r="L88" s="88">
        <v>14.351293249756738</v>
      </c>
      <c r="M88" s="88">
        <v>15.813687553272537</v>
      </c>
      <c r="N88" s="94">
        <f t="shared" si="13"/>
        <v>145.64455809252263</v>
      </c>
      <c r="O88" s="94">
        <f t="shared" si="14"/>
        <v>12.137046507710219</v>
      </c>
      <c r="R88" s="87" t="s">
        <v>32</v>
      </c>
      <c r="S88" s="88">
        <v>12.517103784330141</v>
      </c>
      <c r="T88" s="88">
        <v>14.128216152610259</v>
      </c>
      <c r="U88" s="88">
        <v>17.499158953934813</v>
      </c>
      <c r="V88" s="88">
        <v>16.284628091692877</v>
      </c>
      <c r="W88" s="88">
        <v>18.019672180609927</v>
      </c>
      <c r="X88" s="89">
        <v>18.242749277756406</v>
      </c>
      <c r="Y88" s="88">
        <v>19.38292110761618</v>
      </c>
      <c r="Z88" s="88">
        <v>21.464974014316638</v>
      </c>
      <c r="AA88" s="88">
        <v>23.993181115310055</v>
      </c>
      <c r="AB88" s="88">
        <v>21.093178852405842</v>
      </c>
      <c r="AC88" s="88">
        <f t="shared" si="15"/>
        <v>182.62578353058313</v>
      </c>
      <c r="AD88" s="88">
        <f t="shared" si="16"/>
        <v>18.262578353058313</v>
      </c>
      <c r="AE88" s="148"/>
    </row>
    <row r="89" spans="1:31" x14ac:dyDescent="0.35">
      <c r="A89" s="84" t="s">
        <v>33</v>
      </c>
      <c r="B89" s="85">
        <v>8.1513656626914983</v>
      </c>
      <c r="C89" s="85">
        <v>8.9597655631237139</v>
      </c>
      <c r="D89" s="85">
        <v>10.801120891885979</v>
      </c>
      <c r="E89" s="85">
        <v>11.093043078153169</v>
      </c>
      <c r="F89" s="85">
        <v>9.296598854970469</v>
      </c>
      <c r="G89" s="86">
        <v>11.295143053261222</v>
      </c>
      <c r="H89" s="85">
        <v>9.5660654884478742</v>
      </c>
      <c r="I89" s="85">
        <v>12.148454059273005</v>
      </c>
      <c r="J89" s="85">
        <v>11.227776394891871</v>
      </c>
      <c r="K89" s="85">
        <v>12.081087400903654</v>
      </c>
      <c r="L89" s="85">
        <v>13.001765065284786</v>
      </c>
      <c r="M89" s="85">
        <v>14.326642679882028</v>
      </c>
      <c r="N89" s="93">
        <f t="shared" si="13"/>
        <v>131.94882819276927</v>
      </c>
      <c r="O89" s="93">
        <f t="shared" si="14"/>
        <v>10.995735682730773</v>
      </c>
      <c r="R89" s="84" t="s">
        <v>33</v>
      </c>
      <c r="S89" s="85">
        <v>11.340054158840788</v>
      </c>
      <c r="T89" s="85">
        <v>12.799665090176731</v>
      </c>
      <c r="U89" s="85">
        <v>15.853620269587319</v>
      </c>
      <c r="V89" s="85">
        <v>14.753298182887916</v>
      </c>
      <c r="W89" s="85">
        <v>16.325186878172779</v>
      </c>
      <c r="X89" s="86">
        <v>16.527286853280831</v>
      </c>
      <c r="Y89" s="85">
        <v>17.560242281610883</v>
      </c>
      <c r="Z89" s="85">
        <v>19.446508715952717</v>
      </c>
      <c r="AA89" s="85">
        <v>21.736975100510659</v>
      </c>
      <c r="AB89" s="85">
        <v>19.109675424105962</v>
      </c>
      <c r="AC89" s="85">
        <f t="shared" si="15"/>
        <v>165.45251295512659</v>
      </c>
      <c r="AD89" s="85">
        <f t="shared" si="16"/>
        <v>16.54525129551266</v>
      </c>
      <c r="AE89" s="148"/>
    </row>
    <row r="90" spans="1:31" x14ac:dyDescent="0.35">
      <c r="A90" s="87" t="s">
        <v>34</v>
      </c>
      <c r="B90" s="88">
        <v>25.727320042542598</v>
      </c>
      <c r="C90" s="88">
        <v>28.278789798827813</v>
      </c>
      <c r="D90" s="88">
        <v>34.090470910366363</v>
      </c>
      <c r="E90" s="88">
        <v>35.011834989024912</v>
      </c>
      <c r="F90" s="88">
        <v>29.341902197279985</v>
      </c>
      <c r="G90" s="89">
        <v>35.649702428096212</v>
      </c>
      <c r="H90" s="88">
        <v>30.192392116041724</v>
      </c>
      <c r="I90" s="88">
        <v>38.342920504175055</v>
      </c>
      <c r="J90" s="88">
        <v>35.437079948405781</v>
      </c>
      <c r="K90" s="88">
        <v>38.130298024484617</v>
      </c>
      <c r="L90" s="88">
        <v>41.036138580253898</v>
      </c>
      <c r="M90" s="88">
        <v>45.217714014165779</v>
      </c>
      <c r="N90" s="94">
        <f t="shared" si="13"/>
        <v>416.45656355366475</v>
      </c>
      <c r="O90" s="94">
        <f t="shared" si="14"/>
        <v>34.70471362947206</v>
      </c>
      <c r="R90" s="87" t="s">
        <v>34</v>
      </c>
      <c r="S90" s="88">
        <v>35.791450747889833</v>
      </c>
      <c r="T90" s="88">
        <v>40.398271141182583</v>
      </c>
      <c r="U90" s="88">
        <v>50.037156887148953</v>
      </c>
      <c r="V90" s="88">
        <v>46.564323052205189</v>
      </c>
      <c r="W90" s="88">
        <v>51.525514244981999</v>
      </c>
      <c r="X90" s="89">
        <v>52.163381684053299</v>
      </c>
      <c r="Y90" s="88">
        <v>55.423593039306631</v>
      </c>
      <c r="Z90" s="88">
        <v>61.377022470638799</v>
      </c>
      <c r="AA90" s="88">
        <v>68.606186780113575</v>
      </c>
      <c r="AB90" s="88">
        <v>60.31391007218663</v>
      </c>
      <c r="AC90" s="88">
        <f t="shared" si="15"/>
        <v>522.20081011970751</v>
      </c>
      <c r="AD90" s="88">
        <f t="shared" si="16"/>
        <v>52.220081011970748</v>
      </c>
      <c r="AE90" s="148"/>
    </row>
    <row r="91" spans="1:31" x14ac:dyDescent="0.35">
      <c r="A91" s="84" t="s">
        <v>35</v>
      </c>
      <c r="B91" s="85">
        <v>4.9422959426127493</v>
      </c>
      <c r="C91" s="85">
        <v>5.4324409947726915</v>
      </c>
      <c r="D91" s="85">
        <v>6.5488825024703372</v>
      </c>
      <c r="E91" s="85">
        <v>6.7258793268614276</v>
      </c>
      <c r="F91" s="85">
        <v>5.6366680998393344</v>
      </c>
      <c r="G91" s="86">
        <v>6.8484155899014132</v>
      </c>
      <c r="H91" s="85">
        <v>5.8000497838926481</v>
      </c>
      <c r="I91" s="85">
        <v>7.3657909227369078</v>
      </c>
      <c r="J91" s="85">
        <v>6.807570168888085</v>
      </c>
      <c r="K91" s="85">
        <v>7.3249455017235787</v>
      </c>
      <c r="L91" s="85">
        <v>7.8831662555724025</v>
      </c>
      <c r="M91" s="85">
        <v>8.6864595355011964</v>
      </c>
      <c r="N91" s="93">
        <f t="shared" si="13"/>
        <v>80.002564624772759</v>
      </c>
      <c r="O91" s="93">
        <f t="shared" si="14"/>
        <v>6.6668803853977296</v>
      </c>
      <c r="R91" s="84" t="s">
        <v>35</v>
      </c>
      <c r="S91" s="85">
        <v>6.8756458705769639</v>
      </c>
      <c r="T91" s="85">
        <v>7.7606299925324143</v>
      </c>
      <c r="U91" s="85">
        <v>9.6122890784699724</v>
      </c>
      <c r="V91" s="85">
        <v>8.9451472019189406</v>
      </c>
      <c r="W91" s="85">
        <v>9.8982070255632735</v>
      </c>
      <c r="X91" s="86">
        <v>10.020743288603258</v>
      </c>
      <c r="Y91" s="85">
        <v>10.647039744140962</v>
      </c>
      <c r="Z91" s="85">
        <v>11.790711532514159</v>
      </c>
      <c r="AA91" s="85">
        <v>13.179455846967329</v>
      </c>
      <c r="AB91" s="85">
        <v>11.586484427447518</v>
      </c>
      <c r="AC91" s="85">
        <f t="shared" si="15"/>
        <v>100.31635400873479</v>
      </c>
      <c r="AD91" s="85">
        <f t="shared" si="16"/>
        <v>10.03163540087348</v>
      </c>
      <c r="AE91" s="148"/>
    </row>
    <row r="92" spans="1:31" x14ac:dyDescent="0.35">
      <c r="A92" s="87" t="s">
        <v>36</v>
      </c>
      <c r="B92" s="88">
        <v>1.7578692493946733</v>
      </c>
      <c r="C92" s="88">
        <v>1.9322033898305087</v>
      </c>
      <c r="D92" s="88">
        <v>2.3292978208232449</v>
      </c>
      <c r="E92" s="88">
        <v>2.3922518159806296</v>
      </c>
      <c r="F92" s="88">
        <v>2.0048426150121066</v>
      </c>
      <c r="G92" s="89">
        <v>2.4358353510895885</v>
      </c>
      <c r="H92" s="88">
        <v>2.0629539951573852</v>
      </c>
      <c r="I92" s="88">
        <v>2.6198547215496371</v>
      </c>
      <c r="J92" s="88">
        <v>2.4213075060532687</v>
      </c>
      <c r="K92" s="88">
        <v>2.6053268765133173</v>
      </c>
      <c r="L92" s="88">
        <v>2.8038740920096852</v>
      </c>
      <c r="M92" s="88">
        <v>3.0895883777239712</v>
      </c>
      <c r="N92" s="94">
        <f t="shared" si="13"/>
        <v>28.455205811138015</v>
      </c>
      <c r="O92" s="94">
        <f t="shared" si="14"/>
        <v>2.3712671509281678</v>
      </c>
      <c r="R92" s="87" t="s">
        <v>36</v>
      </c>
      <c r="S92" s="88">
        <v>2.4455205811138012</v>
      </c>
      <c r="T92" s="88">
        <v>2.7602905569007259</v>
      </c>
      <c r="U92" s="88">
        <v>3.4188861985472152</v>
      </c>
      <c r="V92" s="88">
        <v>3.1815980629539946</v>
      </c>
      <c r="W92" s="88">
        <v>3.5205811138014522</v>
      </c>
      <c r="X92" s="89">
        <v>3.5641646489104111</v>
      </c>
      <c r="Y92" s="88">
        <v>3.7869249394673119</v>
      </c>
      <c r="Z92" s="88">
        <v>4.19370460048426</v>
      </c>
      <c r="AA92" s="88">
        <v>4.6876513317191266</v>
      </c>
      <c r="AB92" s="88">
        <v>4.1210653753026625</v>
      </c>
      <c r="AC92" s="88">
        <f t="shared" si="15"/>
        <v>35.680387409200961</v>
      </c>
      <c r="AD92" s="88">
        <f t="shared" si="16"/>
        <v>3.568038740920096</v>
      </c>
      <c r="AE92" s="148"/>
    </row>
    <row r="93" spans="1:31" x14ac:dyDescent="0.35">
      <c r="A93" s="84" t="s">
        <v>37</v>
      </c>
      <c r="B93" s="85">
        <v>7.0944536217781904</v>
      </c>
      <c r="C93" s="85">
        <v>7.798035799144623</v>
      </c>
      <c r="D93" s="85">
        <v>9.4006396475903848</v>
      </c>
      <c r="E93" s="85">
        <v>9.6547109894171523</v>
      </c>
      <c r="F93" s="85">
        <v>8.0911950397139698</v>
      </c>
      <c r="G93" s="86">
        <v>9.8306065337587594</v>
      </c>
      <c r="H93" s="85">
        <v>8.3257224321694476</v>
      </c>
      <c r="I93" s="85">
        <v>10.573276609867772</v>
      </c>
      <c r="J93" s="85">
        <v>9.7719746856448904</v>
      </c>
      <c r="K93" s="85">
        <v>10.514644761753903</v>
      </c>
      <c r="L93" s="85">
        <v>11.315946685976783</v>
      </c>
      <c r="M93" s="85">
        <v>12.469039698882881</v>
      </c>
      <c r="N93" s="93">
        <f t="shared" si="13"/>
        <v>114.84024650569876</v>
      </c>
      <c r="O93" s="93">
        <f t="shared" si="14"/>
        <v>9.5700205421415632</v>
      </c>
      <c r="R93" s="84" t="s">
        <v>37</v>
      </c>
      <c r="S93" s="85">
        <v>9.8696944325013387</v>
      </c>
      <c r="T93" s="85">
        <v>11.140051141635174</v>
      </c>
      <c r="U93" s="85">
        <v>13.798028256130584</v>
      </c>
      <c r="V93" s="85">
        <v>12.840374736937385</v>
      </c>
      <c r="W93" s="85">
        <v>14.208451192927669</v>
      </c>
      <c r="X93" s="86">
        <v>14.384346737269277</v>
      </c>
      <c r="Y93" s="85">
        <v>15.283368408348606</v>
      </c>
      <c r="Z93" s="85">
        <v>16.925060155536947</v>
      </c>
      <c r="AA93" s="85">
        <v>18.918542991408504</v>
      </c>
      <c r="AB93" s="85">
        <v>16.631900914967602</v>
      </c>
      <c r="AC93" s="85">
        <f t="shared" si="15"/>
        <v>143.99981896766309</v>
      </c>
      <c r="AD93" s="85">
        <f t="shared" si="16"/>
        <v>14.39998189676631</v>
      </c>
      <c r="AE93" s="148"/>
    </row>
    <row r="94" spans="1:31" x14ac:dyDescent="0.35">
      <c r="A94" s="87" t="s">
        <v>38</v>
      </c>
      <c r="B94" s="88">
        <v>3.8470503043606166</v>
      </c>
      <c r="C94" s="88">
        <v>4.2285759543798509</v>
      </c>
      <c r="D94" s="88">
        <v>5.0976066016458859</v>
      </c>
      <c r="E94" s="88">
        <v>5.2353797530417205</v>
      </c>
      <c r="F94" s="88">
        <v>4.387544975221199</v>
      </c>
      <c r="G94" s="89">
        <v>5.3307611655465292</v>
      </c>
      <c r="H94" s="88">
        <v>4.514720191894277</v>
      </c>
      <c r="I94" s="88">
        <v>5.7334826850112766</v>
      </c>
      <c r="J94" s="88">
        <v>5.29896736137826</v>
      </c>
      <c r="K94" s="88">
        <v>5.7016888808430073</v>
      </c>
      <c r="L94" s="88">
        <v>6.1362042044760248</v>
      </c>
      <c r="M94" s="88">
        <v>6.7614823531186596</v>
      </c>
      <c r="N94" s="94">
        <f t="shared" si="13"/>
        <v>62.273464430917308</v>
      </c>
      <c r="O94" s="94">
        <f t="shared" si="14"/>
        <v>5.1894553692431087</v>
      </c>
      <c r="R94" s="87" t="s">
        <v>38</v>
      </c>
      <c r="S94" s="88">
        <v>5.3519570349920418</v>
      </c>
      <c r="T94" s="88">
        <v>6.0408227919712152</v>
      </c>
      <c r="U94" s="88">
        <v>7.4821419142661014</v>
      </c>
      <c r="V94" s="88">
        <v>6.962843112851032</v>
      </c>
      <c r="W94" s="88">
        <v>7.7046985434439881</v>
      </c>
      <c r="X94" s="89">
        <v>7.8000799559487968</v>
      </c>
      <c r="Y94" s="88">
        <v>8.2875849531955961</v>
      </c>
      <c r="Z94" s="88">
        <v>9.1778114699071445</v>
      </c>
      <c r="AA94" s="88">
        <v>10.258800811628308</v>
      </c>
      <c r="AB94" s="88">
        <v>9.0188424490657972</v>
      </c>
      <c r="AC94" s="88">
        <f t="shared" si="15"/>
        <v>78.085583037270027</v>
      </c>
      <c r="AD94" s="88">
        <f t="shared" si="16"/>
        <v>7.8085583037270023</v>
      </c>
      <c r="AE94" s="148"/>
    </row>
    <row r="95" spans="1:31" x14ac:dyDescent="0.35">
      <c r="A95" s="84" t="s">
        <v>39</v>
      </c>
      <c r="B95" s="85">
        <v>4.5836029960851761</v>
      </c>
      <c r="C95" s="85">
        <v>5.0381751940440358</v>
      </c>
      <c r="D95" s="85">
        <v>6.0735896449503297</v>
      </c>
      <c r="E95" s="85">
        <v>6.2377407164354732</v>
      </c>
      <c r="F95" s="85">
        <v>5.2275802765268944</v>
      </c>
      <c r="G95" s="86">
        <v>6.3513837659251884</v>
      </c>
      <c r="H95" s="85">
        <v>5.3791043425131813</v>
      </c>
      <c r="I95" s="85">
        <v>6.8312099748817632</v>
      </c>
      <c r="J95" s="85">
        <v>6.3135027494286167</v>
      </c>
      <c r="K95" s="85">
        <v>6.7933289583851915</v>
      </c>
      <c r="L95" s="85">
        <v>7.311036183838338</v>
      </c>
      <c r="M95" s="85">
        <v>8.0560295082709157</v>
      </c>
      <c r="N95" s="93">
        <f t="shared" si="13"/>
        <v>74.196284311285098</v>
      </c>
      <c r="O95" s="93">
        <f t="shared" si="14"/>
        <v>6.1830236926070912</v>
      </c>
      <c r="R95" s="84" t="s">
        <v>39</v>
      </c>
      <c r="S95" s="85">
        <v>6.3766377769229008</v>
      </c>
      <c r="T95" s="85">
        <v>7.197393134348621</v>
      </c>
      <c r="U95" s="85">
        <v>8.914665882193205</v>
      </c>
      <c r="V95" s="85">
        <v>8.2959426127492009</v>
      </c>
      <c r="W95" s="85">
        <v>9.179832997669207</v>
      </c>
      <c r="X95" s="86">
        <v>9.2934760471589222</v>
      </c>
      <c r="Y95" s="85">
        <v>9.8743183001063546</v>
      </c>
      <c r="Z95" s="85">
        <v>10.934986762010361</v>
      </c>
      <c r="AA95" s="85">
        <v>12.222941322893799</v>
      </c>
      <c r="AB95" s="85">
        <v>10.745581679527502</v>
      </c>
      <c r="AC95" s="85">
        <f t="shared" si="15"/>
        <v>93.035776515580068</v>
      </c>
      <c r="AD95" s="85">
        <f t="shared" si="16"/>
        <v>9.3035776515580064</v>
      </c>
      <c r="AE95" s="148"/>
    </row>
    <row r="96" spans="1:31" x14ac:dyDescent="0.35">
      <c r="A96" s="87" t="s">
        <v>40</v>
      </c>
      <c r="B96" s="88">
        <v>13.706999162725442</v>
      </c>
      <c r="C96" s="88">
        <v>15.066370980516394</v>
      </c>
      <c r="D96" s="88">
        <v>18.162717898818009</v>
      </c>
      <c r="E96" s="88">
        <v>18.653602166353632</v>
      </c>
      <c r="F96" s="88">
        <v>15.632775904595958</v>
      </c>
      <c r="G96" s="89">
        <v>18.993445120801368</v>
      </c>
      <c r="H96" s="88">
        <v>16.085899843859611</v>
      </c>
      <c r="I96" s="88">
        <v>20.428337595136263</v>
      </c>
      <c r="J96" s="88">
        <v>18.880164135985456</v>
      </c>
      <c r="K96" s="88">
        <v>20.315056610320351</v>
      </c>
      <c r="L96" s="88">
        <v>21.863230069471157</v>
      </c>
      <c r="M96" s="88">
        <v>24.091089437517443</v>
      </c>
      <c r="N96" s="94">
        <f t="shared" si="13"/>
        <v>221.8796889261011</v>
      </c>
      <c r="O96" s="94">
        <f t="shared" si="14"/>
        <v>18.489974077175091</v>
      </c>
      <c r="R96" s="87" t="s">
        <v>40</v>
      </c>
      <c r="S96" s="88">
        <v>19.068965777345309</v>
      </c>
      <c r="T96" s="88">
        <v>21.523387115023418</v>
      </c>
      <c r="U96" s="88">
        <v>26.658791760011461</v>
      </c>
      <c r="V96" s="88">
        <v>24.808535674684887</v>
      </c>
      <c r="W96" s="88">
        <v>27.451758653722848</v>
      </c>
      <c r="X96" s="89">
        <v>27.791601608170588</v>
      </c>
      <c r="Y96" s="88">
        <v>29.52857670868125</v>
      </c>
      <c r="Z96" s="88">
        <v>32.700444283526807</v>
      </c>
      <c r="AA96" s="88">
        <v>36.551997767267835</v>
      </c>
      <c r="AB96" s="88">
        <v>32.134039359447243</v>
      </c>
      <c r="AC96" s="88">
        <f t="shared" si="15"/>
        <v>278.21809870788161</v>
      </c>
      <c r="AD96" s="88">
        <f t="shared" si="16"/>
        <v>27.821809870788162</v>
      </c>
      <c r="AE96" s="148"/>
    </row>
    <row r="97" spans="1:31" x14ac:dyDescent="0.35">
      <c r="A97" s="84" t="s">
        <v>41</v>
      </c>
      <c r="B97" s="85">
        <v>2.026204430766446</v>
      </c>
      <c r="C97" s="85">
        <v>2.2271503247267543</v>
      </c>
      <c r="D97" s="85">
        <v>2.6848604165252352</v>
      </c>
      <c r="E97" s="85">
        <v>2.757424211566458</v>
      </c>
      <c r="F97" s="85">
        <v>2.3108777805435499</v>
      </c>
      <c r="G97" s="86">
        <v>2.8076606850565349</v>
      </c>
      <c r="H97" s="85">
        <v>2.3778597451969858</v>
      </c>
      <c r="I97" s="85">
        <v>3.0197702397924164</v>
      </c>
      <c r="J97" s="85">
        <v>2.7909151938931758</v>
      </c>
      <c r="K97" s="85">
        <v>3.0030247486290573</v>
      </c>
      <c r="L97" s="85">
        <v>3.231879794528298</v>
      </c>
      <c r="M97" s="85">
        <v>3.5612077874076924</v>
      </c>
      <c r="N97" s="93">
        <f t="shared" si="13"/>
        <v>32.798835358632601</v>
      </c>
      <c r="O97" s="93">
        <f t="shared" si="14"/>
        <v>2.7332362798860501</v>
      </c>
      <c r="R97" s="84" t="s">
        <v>41</v>
      </c>
      <c r="S97" s="85">
        <v>2.8188243458321067</v>
      </c>
      <c r="T97" s="85">
        <v>3.1816433210382198</v>
      </c>
      <c r="U97" s="85">
        <v>3.9407722537771632</v>
      </c>
      <c r="V97" s="85">
        <v>3.6672625647756321</v>
      </c>
      <c r="W97" s="85">
        <v>4.0579906919206765</v>
      </c>
      <c r="X97" s="86">
        <v>4.1082271654107538</v>
      </c>
      <c r="Y97" s="85">
        <v>4.3649913632489259</v>
      </c>
      <c r="Z97" s="85">
        <v>4.8338651158229791</v>
      </c>
      <c r="AA97" s="85">
        <v>5.4032118153771869</v>
      </c>
      <c r="AB97" s="85">
        <v>4.7501376600061844</v>
      </c>
      <c r="AC97" s="85">
        <f t="shared" si="15"/>
        <v>41.126926297209828</v>
      </c>
      <c r="AD97" s="85">
        <f t="shared" si="16"/>
        <v>4.1126926297209829</v>
      </c>
      <c r="AE97" s="148"/>
    </row>
    <row r="98" spans="1:31" x14ac:dyDescent="0.35">
      <c r="A98" s="9" t="s">
        <v>42</v>
      </c>
      <c r="B98" s="91">
        <v>363</v>
      </c>
      <c r="C98" s="91">
        <v>399</v>
      </c>
      <c r="D98" s="91">
        <v>481</v>
      </c>
      <c r="E98" s="91">
        <v>494</v>
      </c>
      <c r="F98" s="91">
        <v>414</v>
      </c>
      <c r="G98" s="91">
        <v>503</v>
      </c>
      <c r="H98" s="91">
        <v>426</v>
      </c>
      <c r="I98" s="91">
        <v>541</v>
      </c>
      <c r="J98" s="91">
        <v>500</v>
      </c>
      <c r="K98" s="91">
        <v>538</v>
      </c>
      <c r="L98" s="91">
        <v>579</v>
      </c>
      <c r="M98" s="91">
        <v>638</v>
      </c>
      <c r="N98" s="92">
        <f>SUM(N73:N97)</f>
        <v>5876.0000000000009</v>
      </c>
      <c r="O98" s="92">
        <f>SUM(O73:O97)</f>
        <v>489.66666666666663</v>
      </c>
      <c r="R98" s="9" t="s">
        <v>42</v>
      </c>
      <c r="S98" s="91">
        <f>SUM(S73:S97)</f>
        <v>504.99999999999983</v>
      </c>
      <c r="T98" s="91">
        <f t="shared" ref="T98:AC98" si="17">SUM(T73:T97)</f>
        <v>569.99999999999989</v>
      </c>
      <c r="U98" s="91">
        <f t="shared" si="17"/>
        <v>705.99999999999977</v>
      </c>
      <c r="V98" s="91">
        <f t="shared" si="17"/>
        <v>657</v>
      </c>
      <c r="W98" s="91">
        <f t="shared" si="17"/>
        <v>726.99999999999977</v>
      </c>
      <c r="X98" s="91">
        <f t="shared" si="17"/>
        <v>735.99999999999989</v>
      </c>
      <c r="Y98" s="91">
        <f t="shared" si="17"/>
        <v>781.99999999999989</v>
      </c>
      <c r="Z98" s="91">
        <f t="shared" si="17"/>
        <v>866.00000000000011</v>
      </c>
      <c r="AA98" s="91">
        <f t="shared" si="17"/>
        <v>968.00000000000011</v>
      </c>
      <c r="AB98" s="91">
        <f t="shared" si="17"/>
        <v>851</v>
      </c>
      <c r="AC98" s="91">
        <f t="shared" si="17"/>
        <v>7367.9999999999982</v>
      </c>
      <c r="AD98" s="91">
        <f>SUM(AD73:AD97)</f>
        <v>736.79999999999973</v>
      </c>
      <c r="AE98" s="148"/>
    </row>
    <row r="99" spans="1:31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</sheetData>
  <pageMargins left="0.7" right="0.7" top="0.75" bottom="0.75" header="0.3" footer="0.3"/>
  <headerFooter>
    <oddFooter>&amp;C_x000D_&amp;1#&amp;"Calibri"&amp;10&amp;K008000 DOCUMENTO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9"/>
  <sheetViews>
    <sheetView topLeftCell="A22" workbookViewId="0">
      <selection activeCell="B36" sqref="B36:O39"/>
    </sheetView>
  </sheetViews>
  <sheetFormatPr baseColWidth="10" defaultColWidth="0" defaultRowHeight="14.5" zeroHeight="1" x14ac:dyDescent="0.35"/>
  <cols>
    <col min="1" max="1" width="5.26953125" style="137" customWidth="1"/>
    <col min="2" max="2" width="11.453125" customWidth="1"/>
    <col min="3" max="6" width="6.81640625" customWidth="1"/>
    <col min="7" max="7" width="7.54296875" bestFit="1" customWidth="1"/>
    <col min="8" max="12" width="6.81640625" customWidth="1"/>
    <col min="13" max="15" width="14.1796875" customWidth="1"/>
    <col min="16" max="16" width="11.453125" style="137" customWidth="1"/>
    <col min="17" max="16384" width="11.453125" hidden="1"/>
  </cols>
  <sheetData>
    <row r="1" spans="2:15" x14ac:dyDescent="0.35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2:15" x14ac:dyDescent="0.35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2:15" x14ac:dyDescent="0.35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5" x14ac:dyDescent="0.35">
      <c r="B4" s="155" t="s">
        <v>138</v>
      </c>
      <c r="C4" s="155" t="s">
        <v>139</v>
      </c>
      <c r="D4" s="155"/>
      <c r="E4" s="155"/>
      <c r="F4" s="155"/>
      <c r="G4" s="155"/>
      <c r="H4" s="156" t="s">
        <v>140</v>
      </c>
      <c r="I4" s="156"/>
      <c r="J4" s="156"/>
      <c r="K4" s="156"/>
      <c r="L4" s="156"/>
      <c r="M4" s="154" t="s">
        <v>141</v>
      </c>
      <c r="N4" s="154" t="s">
        <v>142</v>
      </c>
      <c r="O4" s="154" t="s">
        <v>143</v>
      </c>
    </row>
    <row r="5" spans="2:15" x14ac:dyDescent="0.35">
      <c r="B5" s="155"/>
      <c r="C5" s="138" t="s">
        <v>144</v>
      </c>
      <c r="D5" s="138" t="s">
        <v>145</v>
      </c>
      <c r="E5" s="138" t="s">
        <v>146</v>
      </c>
      <c r="F5" s="138" t="s">
        <v>147</v>
      </c>
      <c r="G5" s="138" t="s">
        <v>105</v>
      </c>
      <c r="H5" s="55" t="s">
        <v>144</v>
      </c>
      <c r="I5" s="55" t="s">
        <v>145</v>
      </c>
      <c r="J5" s="55" t="s">
        <v>146</v>
      </c>
      <c r="K5" s="55" t="s">
        <v>147</v>
      </c>
      <c r="L5" s="55" t="s">
        <v>105</v>
      </c>
      <c r="M5" s="154"/>
      <c r="N5" s="154"/>
      <c r="O5" s="154"/>
    </row>
    <row r="6" spans="2:15" x14ac:dyDescent="0.35">
      <c r="B6" s="56">
        <v>43831</v>
      </c>
      <c r="C6" s="57">
        <v>1267</v>
      </c>
      <c r="D6" s="57">
        <v>22695</v>
      </c>
      <c r="E6" s="57">
        <v>15021</v>
      </c>
      <c r="F6" s="57">
        <v>3188</v>
      </c>
      <c r="G6" s="57">
        <f>SUM(C6:F6)</f>
        <v>42171</v>
      </c>
      <c r="H6" s="57">
        <v>16</v>
      </c>
      <c r="I6" s="57">
        <v>406</v>
      </c>
      <c r="J6" s="57">
        <v>189</v>
      </c>
      <c r="K6" s="57">
        <v>0</v>
      </c>
      <c r="L6" s="57">
        <f>SUM(H6:K6)</f>
        <v>611</v>
      </c>
      <c r="M6" s="57">
        <f>+G6+L6</f>
        <v>42782</v>
      </c>
      <c r="N6" s="58">
        <f>+G6/M6</f>
        <v>0.98571829273993739</v>
      </c>
      <c r="O6" s="58">
        <f>+L6/M6</f>
        <v>1.4281707260062643E-2</v>
      </c>
    </row>
    <row r="7" spans="2:15" x14ac:dyDescent="0.35">
      <c r="B7" s="56">
        <v>43862</v>
      </c>
      <c r="C7" s="57">
        <v>1524</v>
      </c>
      <c r="D7" s="57">
        <v>22308</v>
      </c>
      <c r="E7" s="57">
        <v>14491</v>
      </c>
      <c r="F7" s="57">
        <v>2803</v>
      </c>
      <c r="G7" s="57">
        <f t="shared" ref="G7:G29" si="0">SUM(C7:F7)</f>
        <v>41126</v>
      </c>
      <c r="H7" s="57">
        <v>7</v>
      </c>
      <c r="I7" s="57">
        <v>402</v>
      </c>
      <c r="J7" s="57">
        <v>210</v>
      </c>
      <c r="K7" s="57">
        <v>0</v>
      </c>
      <c r="L7" s="57">
        <f t="shared" ref="L7:L29" si="1">SUM(H7:K7)</f>
        <v>619</v>
      </c>
      <c r="M7" s="57">
        <f t="shared" ref="M7:M35" si="2">+G7+L7</f>
        <v>41745</v>
      </c>
      <c r="N7" s="58">
        <f t="shared" ref="N7:N35" si="3">+G7/M7</f>
        <v>0.98517187687148167</v>
      </c>
      <c r="O7" s="58">
        <f t="shared" ref="O7:O35" si="4">+L7/M7</f>
        <v>1.4828123128518386E-2</v>
      </c>
    </row>
    <row r="8" spans="2:15" x14ac:dyDescent="0.35">
      <c r="B8" s="56">
        <v>43891</v>
      </c>
      <c r="C8" s="57">
        <v>857</v>
      </c>
      <c r="D8" s="57">
        <v>18362</v>
      </c>
      <c r="E8" s="57">
        <v>13121</v>
      </c>
      <c r="F8" s="57">
        <v>2264</v>
      </c>
      <c r="G8" s="57">
        <f t="shared" si="0"/>
        <v>34604</v>
      </c>
      <c r="H8" s="57">
        <v>30</v>
      </c>
      <c r="I8" s="57">
        <v>380</v>
      </c>
      <c r="J8" s="57">
        <v>183</v>
      </c>
      <c r="K8" s="57">
        <v>0</v>
      </c>
      <c r="L8" s="57">
        <f t="shared" si="1"/>
        <v>593</v>
      </c>
      <c r="M8" s="57">
        <f t="shared" si="2"/>
        <v>35197</v>
      </c>
      <c r="N8" s="58">
        <f t="shared" si="3"/>
        <v>0.9831519731795324</v>
      </c>
      <c r="O8" s="58">
        <f t="shared" si="4"/>
        <v>1.6848026820467654E-2</v>
      </c>
    </row>
    <row r="9" spans="2:15" x14ac:dyDescent="0.35">
      <c r="B9" s="56">
        <v>43922</v>
      </c>
      <c r="C9" s="57">
        <v>1082</v>
      </c>
      <c r="D9" s="57">
        <v>14183</v>
      </c>
      <c r="E9" s="57">
        <v>10602</v>
      </c>
      <c r="F9" s="57">
        <v>1725</v>
      </c>
      <c r="G9" s="57">
        <f t="shared" si="0"/>
        <v>27592</v>
      </c>
      <c r="H9" s="57">
        <v>9</v>
      </c>
      <c r="I9" s="57">
        <v>289</v>
      </c>
      <c r="J9" s="57">
        <v>152</v>
      </c>
      <c r="K9" s="57">
        <v>0</v>
      </c>
      <c r="L9" s="57">
        <f t="shared" si="1"/>
        <v>450</v>
      </c>
      <c r="M9" s="57">
        <f t="shared" si="2"/>
        <v>28042</v>
      </c>
      <c r="N9" s="58">
        <f t="shared" si="3"/>
        <v>0.98395264246487413</v>
      </c>
      <c r="O9" s="58">
        <f t="shared" si="4"/>
        <v>1.6047357535125883E-2</v>
      </c>
    </row>
    <row r="10" spans="2:15" x14ac:dyDescent="0.35">
      <c r="B10" s="56">
        <v>43952</v>
      </c>
      <c r="C10" s="57">
        <v>999</v>
      </c>
      <c r="D10" s="57">
        <v>14543</v>
      </c>
      <c r="E10" s="57">
        <v>13781</v>
      </c>
      <c r="F10" s="57">
        <v>2693</v>
      </c>
      <c r="G10" s="57">
        <f t="shared" si="0"/>
        <v>32016</v>
      </c>
      <c r="H10" s="57">
        <v>25</v>
      </c>
      <c r="I10" s="57">
        <v>248</v>
      </c>
      <c r="J10" s="57">
        <v>141</v>
      </c>
      <c r="K10" s="57">
        <v>0</v>
      </c>
      <c r="L10" s="57">
        <f t="shared" si="1"/>
        <v>414</v>
      </c>
      <c r="M10" s="57">
        <f t="shared" si="2"/>
        <v>32430</v>
      </c>
      <c r="N10" s="58">
        <f t="shared" si="3"/>
        <v>0.98723404255319147</v>
      </c>
      <c r="O10" s="58">
        <f t="shared" si="4"/>
        <v>1.276595744680851E-2</v>
      </c>
    </row>
    <row r="11" spans="2:15" x14ac:dyDescent="0.35">
      <c r="B11" s="56">
        <v>43983</v>
      </c>
      <c r="C11" s="57">
        <v>1323</v>
      </c>
      <c r="D11" s="57">
        <v>12491</v>
      </c>
      <c r="E11" s="57">
        <v>12573</v>
      </c>
      <c r="F11" s="57">
        <v>2660</v>
      </c>
      <c r="G11" s="57">
        <f t="shared" si="0"/>
        <v>29047</v>
      </c>
      <c r="H11" s="57">
        <v>12</v>
      </c>
      <c r="I11" s="57">
        <v>158</v>
      </c>
      <c r="J11" s="57">
        <v>100</v>
      </c>
      <c r="K11" s="57">
        <v>0</v>
      </c>
      <c r="L11" s="57">
        <f t="shared" si="1"/>
        <v>270</v>
      </c>
      <c r="M11" s="57">
        <f t="shared" si="2"/>
        <v>29317</v>
      </c>
      <c r="N11" s="58">
        <f t="shared" si="3"/>
        <v>0.99079032643176312</v>
      </c>
      <c r="O11" s="58">
        <f t="shared" si="4"/>
        <v>9.2096735682368584E-3</v>
      </c>
    </row>
    <row r="12" spans="2:15" x14ac:dyDescent="0.35">
      <c r="B12" s="56">
        <v>44013</v>
      </c>
      <c r="C12" s="57">
        <v>1870</v>
      </c>
      <c r="D12" s="57">
        <v>12744</v>
      </c>
      <c r="E12" s="57">
        <v>14301</v>
      </c>
      <c r="F12" s="57">
        <v>3109</v>
      </c>
      <c r="G12" s="57">
        <f t="shared" si="0"/>
        <v>32024</v>
      </c>
      <c r="H12" s="57">
        <v>21</v>
      </c>
      <c r="I12" s="57">
        <v>100</v>
      </c>
      <c r="J12" s="57">
        <v>143</v>
      </c>
      <c r="K12" s="57">
        <v>0</v>
      </c>
      <c r="L12" s="57">
        <f t="shared" si="1"/>
        <v>264</v>
      </c>
      <c r="M12" s="57">
        <f t="shared" si="2"/>
        <v>32288</v>
      </c>
      <c r="N12" s="58">
        <f t="shared" si="3"/>
        <v>0.99182358771060453</v>
      </c>
      <c r="O12" s="58">
        <f t="shared" si="4"/>
        <v>8.1764122893954409E-3</v>
      </c>
    </row>
    <row r="13" spans="2:15" x14ac:dyDescent="0.35">
      <c r="B13" s="56">
        <v>44044</v>
      </c>
      <c r="C13" s="57">
        <v>1486</v>
      </c>
      <c r="D13" s="57">
        <v>11342</v>
      </c>
      <c r="E13" s="57">
        <v>10962</v>
      </c>
      <c r="F13" s="57">
        <v>2180</v>
      </c>
      <c r="G13" s="57">
        <f t="shared" si="0"/>
        <v>25970</v>
      </c>
      <c r="H13" s="57">
        <v>22</v>
      </c>
      <c r="I13" s="57">
        <v>73</v>
      </c>
      <c r="J13" s="57">
        <v>87</v>
      </c>
      <c r="K13" s="57">
        <v>0</v>
      </c>
      <c r="L13" s="57">
        <f t="shared" si="1"/>
        <v>182</v>
      </c>
      <c r="M13" s="57">
        <f t="shared" si="2"/>
        <v>26152</v>
      </c>
      <c r="N13" s="58">
        <f t="shared" si="3"/>
        <v>0.99304068522483935</v>
      </c>
      <c r="O13" s="58">
        <f t="shared" si="4"/>
        <v>6.9593147751605992E-3</v>
      </c>
    </row>
    <row r="14" spans="2:15" x14ac:dyDescent="0.35">
      <c r="B14" s="56">
        <v>44075</v>
      </c>
      <c r="C14" s="57">
        <v>1703</v>
      </c>
      <c r="D14" s="57">
        <v>12393</v>
      </c>
      <c r="E14" s="57">
        <v>10155</v>
      </c>
      <c r="F14" s="57">
        <v>2617</v>
      </c>
      <c r="G14" s="57">
        <f t="shared" si="0"/>
        <v>26868</v>
      </c>
      <c r="H14" s="57">
        <v>50</v>
      </c>
      <c r="I14" s="57">
        <v>72</v>
      </c>
      <c r="J14" s="57">
        <v>115</v>
      </c>
      <c r="K14" s="57">
        <v>0</v>
      </c>
      <c r="L14" s="57">
        <f t="shared" si="1"/>
        <v>237</v>
      </c>
      <c r="M14" s="57">
        <f t="shared" si="2"/>
        <v>27105</v>
      </c>
      <c r="N14" s="58">
        <f t="shared" si="3"/>
        <v>0.99125622578859984</v>
      </c>
      <c r="O14" s="58">
        <f t="shared" si="4"/>
        <v>8.7437742114001103E-3</v>
      </c>
    </row>
    <row r="15" spans="2:15" x14ac:dyDescent="0.35">
      <c r="B15" s="56">
        <v>44105</v>
      </c>
      <c r="C15" s="57">
        <v>2829</v>
      </c>
      <c r="D15" s="57">
        <v>13308</v>
      </c>
      <c r="E15" s="57">
        <v>10409</v>
      </c>
      <c r="F15" s="57">
        <v>2628</v>
      </c>
      <c r="G15" s="57">
        <f t="shared" si="0"/>
        <v>29174</v>
      </c>
      <c r="H15" s="57">
        <v>17</v>
      </c>
      <c r="I15" s="57">
        <v>58</v>
      </c>
      <c r="J15" s="57">
        <v>55</v>
      </c>
      <c r="K15" s="57">
        <v>0</v>
      </c>
      <c r="L15" s="57">
        <f t="shared" si="1"/>
        <v>130</v>
      </c>
      <c r="M15" s="57">
        <f t="shared" si="2"/>
        <v>29304</v>
      </c>
      <c r="N15" s="58">
        <f t="shared" si="3"/>
        <v>0.99556374556374561</v>
      </c>
      <c r="O15" s="58">
        <f t="shared" si="4"/>
        <v>4.4362544362544359E-3</v>
      </c>
    </row>
    <row r="16" spans="2:15" x14ac:dyDescent="0.35">
      <c r="B16" s="56">
        <v>44136</v>
      </c>
      <c r="C16" s="57">
        <v>2316</v>
      </c>
      <c r="D16" s="57">
        <v>12844</v>
      </c>
      <c r="E16" s="57">
        <v>10256</v>
      </c>
      <c r="F16" s="57">
        <v>2865</v>
      </c>
      <c r="G16" s="57">
        <f t="shared" si="0"/>
        <v>28281</v>
      </c>
      <c r="H16" s="57">
        <v>32</v>
      </c>
      <c r="I16" s="57">
        <v>51</v>
      </c>
      <c r="J16" s="57">
        <v>74</v>
      </c>
      <c r="K16" s="57">
        <v>0</v>
      </c>
      <c r="L16" s="57">
        <f t="shared" si="1"/>
        <v>157</v>
      </c>
      <c r="M16" s="57">
        <f t="shared" si="2"/>
        <v>28438</v>
      </c>
      <c r="N16" s="58">
        <f t="shared" si="3"/>
        <v>0.99447921794781635</v>
      </c>
      <c r="O16" s="58">
        <f t="shared" si="4"/>
        <v>5.5207820521836976E-3</v>
      </c>
    </row>
    <row r="17" spans="2:15" x14ac:dyDescent="0.35">
      <c r="B17" s="56">
        <v>44166</v>
      </c>
      <c r="C17" s="57">
        <v>2477</v>
      </c>
      <c r="D17" s="57">
        <v>15382</v>
      </c>
      <c r="E17" s="57">
        <v>11139</v>
      </c>
      <c r="F17" s="57">
        <v>3381</v>
      </c>
      <c r="G17" s="57">
        <f t="shared" si="0"/>
        <v>32379</v>
      </c>
      <c r="H17" s="57">
        <v>20</v>
      </c>
      <c r="I17" s="57">
        <v>33</v>
      </c>
      <c r="J17" s="57">
        <v>36</v>
      </c>
      <c r="K17" s="57">
        <v>0</v>
      </c>
      <c r="L17" s="57">
        <f t="shared" si="1"/>
        <v>89</v>
      </c>
      <c r="M17" s="57">
        <f t="shared" si="2"/>
        <v>32468</v>
      </c>
      <c r="N17" s="58">
        <f t="shared" si="3"/>
        <v>0.99725883947271154</v>
      </c>
      <c r="O17" s="58">
        <f t="shared" si="4"/>
        <v>2.7411605272884072E-3</v>
      </c>
    </row>
    <row r="18" spans="2:15" x14ac:dyDescent="0.35">
      <c r="B18" s="56">
        <v>44197</v>
      </c>
      <c r="C18" s="57">
        <v>2370</v>
      </c>
      <c r="D18" s="57">
        <v>15127</v>
      </c>
      <c r="E18" s="57">
        <v>8786</v>
      </c>
      <c r="F18" s="57">
        <v>2450</v>
      </c>
      <c r="G18" s="57">
        <f t="shared" si="0"/>
        <v>28733</v>
      </c>
      <c r="H18" s="57">
        <v>67</v>
      </c>
      <c r="I18" s="57">
        <v>52</v>
      </c>
      <c r="J18" s="57">
        <v>73</v>
      </c>
      <c r="K18" s="57">
        <v>0</v>
      </c>
      <c r="L18" s="57">
        <f t="shared" si="1"/>
        <v>192</v>
      </c>
      <c r="M18" s="57">
        <f t="shared" si="2"/>
        <v>28925</v>
      </c>
      <c r="N18" s="58">
        <f t="shared" si="3"/>
        <v>0.99336214347450302</v>
      </c>
      <c r="O18" s="58">
        <f t="shared" si="4"/>
        <v>6.6378565254969751E-3</v>
      </c>
    </row>
    <row r="19" spans="2:15" x14ac:dyDescent="0.35">
      <c r="B19" s="56">
        <v>44228</v>
      </c>
      <c r="C19" s="57">
        <v>2477</v>
      </c>
      <c r="D19" s="57">
        <v>16436</v>
      </c>
      <c r="E19" s="57">
        <v>11497</v>
      </c>
      <c r="F19" s="57">
        <v>2874</v>
      </c>
      <c r="G19" s="57">
        <f t="shared" si="0"/>
        <v>33284</v>
      </c>
      <c r="H19" s="57">
        <v>45</v>
      </c>
      <c r="I19" s="57">
        <v>30</v>
      </c>
      <c r="J19" s="57">
        <v>24</v>
      </c>
      <c r="K19" s="57">
        <v>0</v>
      </c>
      <c r="L19" s="57">
        <f t="shared" si="1"/>
        <v>99</v>
      </c>
      <c r="M19" s="57">
        <f t="shared" si="2"/>
        <v>33383</v>
      </c>
      <c r="N19" s="58">
        <f t="shared" si="3"/>
        <v>0.99703441871611298</v>
      </c>
      <c r="O19" s="58">
        <f t="shared" si="4"/>
        <v>2.9655812838870082E-3</v>
      </c>
    </row>
    <row r="20" spans="2:15" x14ac:dyDescent="0.35">
      <c r="B20" s="56">
        <v>44256</v>
      </c>
      <c r="C20" s="57">
        <v>4657</v>
      </c>
      <c r="D20" s="57">
        <v>18781</v>
      </c>
      <c r="E20" s="57">
        <v>9112</v>
      </c>
      <c r="F20" s="57">
        <v>3162</v>
      </c>
      <c r="G20" s="57">
        <f t="shared" si="0"/>
        <v>35712</v>
      </c>
      <c r="H20" s="57">
        <v>144</v>
      </c>
      <c r="I20" s="57">
        <v>89</v>
      </c>
      <c r="J20" s="57">
        <v>44</v>
      </c>
      <c r="K20" s="57">
        <v>0</v>
      </c>
      <c r="L20" s="57">
        <f t="shared" si="1"/>
        <v>277</v>
      </c>
      <c r="M20" s="57">
        <f t="shared" si="2"/>
        <v>35989</v>
      </c>
      <c r="N20" s="58">
        <f t="shared" si="3"/>
        <v>0.99230320375670344</v>
      </c>
      <c r="O20" s="58">
        <f t="shared" si="4"/>
        <v>7.6967962432965631E-3</v>
      </c>
    </row>
    <row r="21" spans="2:15" x14ac:dyDescent="0.35">
      <c r="B21" s="56">
        <v>44287</v>
      </c>
      <c r="C21" s="57">
        <v>3857</v>
      </c>
      <c r="D21" s="57">
        <v>20073</v>
      </c>
      <c r="E21" s="57">
        <v>10123</v>
      </c>
      <c r="F21" s="57">
        <v>4698</v>
      </c>
      <c r="G21" s="57">
        <f t="shared" si="0"/>
        <v>38751</v>
      </c>
      <c r="H21" s="57">
        <v>51</v>
      </c>
      <c r="I21" s="57">
        <v>117</v>
      </c>
      <c r="J21" s="57">
        <v>30</v>
      </c>
      <c r="K21" s="57">
        <v>0</v>
      </c>
      <c r="L21" s="57">
        <f t="shared" si="1"/>
        <v>198</v>
      </c>
      <c r="M21" s="57">
        <f t="shared" si="2"/>
        <v>38949</v>
      </c>
      <c r="N21" s="58">
        <f t="shared" si="3"/>
        <v>0.9949164291766156</v>
      </c>
      <c r="O21" s="58">
        <f t="shared" si="4"/>
        <v>5.0835708233844257E-3</v>
      </c>
    </row>
    <row r="22" spans="2:15" x14ac:dyDescent="0.35">
      <c r="B22" s="56">
        <v>44317</v>
      </c>
      <c r="C22" s="57">
        <v>4817</v>
      </c>
      <c r="D22" s="57">
        <v>18693</v>
      </c>
      <c r="E22" s="57">
        <v>8492</v>
      </c>
      <c r="F22" s="57">
        <v>5037</v>
      </c>
      <c r="G22" s="57">
        <f t="shared" si="0"/>
        <v>37039</v>
      </c>
      <c r="H22" s="57">
        <v>52</v>
      </c>
      <c r="I22" s="57">
        <v>46</v>
      </c>
      <c r="J22" s="57">
        <v>120</v>
      </c>
      <c r="K22" s="57">
        <v>0</v>
      </c>
      <c r="L22" s="57">
        <f t="shared" si="1"/>
        <v>218</v>
      </c>
      <c r="M22" s="57">
        <f t="shared" si="2"/>
        <v>37257</v>
      </c>
      <c r="N22" s="58">
        <f t="shared" si="3"/>
        <v>0.99414875057036267</v>
      </c>
      <c r="O22" s="58">
        <f t="shared" si="4"/>
        <v>5.8512494296373832E-3</v>
      </c>
    </row>
    <row r="23" spans="2:15" x14ac:dyDescent="0.35">
      <c r="B23" s="56">
        <v>44348</v>
      </c>
      <c r="C23" s="57">
        <v>3057</v>
      </c>
      <c r="D23" s="57">
        <v>23161</v>
      </c>
      <c r="E23" s="57">
        <v>9944</v>
      </c>
      <c r="F23" s="57">
        <v>4371</v>
      </c>
      <c r="G23" s="57">
        <f t="shared" si="0"/>
        <v>40533</v>
      </c>
      <c r="H23" s="57">
        <v>10</v>
      </c>
      <c r="I23" s="57">
        <v>164</v>
      </c>
      <c r="J23" s="57">
        <v>20</v>
      </c>
      <c r="K23" s="57">
        <v>0</v>
      </c>
      <c r="L23" s="57">
        <f t="shared" si="1"/>
        <v>194</v>
      </c>
      <c r="M23" s="57">
        <f t="shared" si="2"/>
        <v>40727</v>
      </c>
      <c r="N23" s="58">
        <f t="shared" si="3"/>
        <v>0.99523657524492348</v>
      </c>
      <c r="O23" s="58">
        <f t="shared" si="4"/>
        <v>4.7634247550764845E-3</v>
      </c>
    </row>
    <row r="24" spans="2:15" x14ac:dyDescent="0.35">
      <c r="B24" s="56">
        <v>44378</v>
      </c>
      <c r="C24" s="57">
        <v>2252</v>
      </c>
      <c r="D24" s="57">
        <v>23739</v>
      </c>
      <c r="E24" s="57">
        <v>13351</v>
      </c>
      <c r="F24" s="57">
        <v>2492</v>
      </c>
      <c r="G24" s="57">
        <f t="shared" si="0"/>
        <v>41834</v>
      </c>
      <c r="H24" s="57">
        <v>4</v>
      </c>
      <c r="I24" s="57">
        <v>84</v>
      </c>
      <c r="J24" s="57">
        <v>39</v>
      </c>
      <c r="K24" s="57">
        <v>0</v>
      </c>
      <c r="L24" s="57">
        <f t="shared" si="1"/>
        <v>127</v>
      </c>
      <c r="M24" s="57">
        <f t="shared" si="2"/>
        <v>41961</v>
      </c>
      <c r="N24" s="58">
        <f t="shared" si="3"/>
        <v>0.99697338004337366</v>
      </c>
      <c r="O24" s="58">
        <f t="shared" si="4"/>
        <v>3.0266199566263913E-3</v>
      </c>
    </row>
    <row r="25" spans="2:15" x14ac:dyDescent="0.35">
      <c r="B25" s="56">
        <v>44409</v>
      </c>
      <c r="C25" s="57">
        <v>3716</v>
      </c>
      <c r="D25" s="57">
        <v>25852</v>
      </c>
      <c r="E25" s="57">
        <v>13619</v>
      </c>
      <c r="F25" s="57">
        <v>3410</v>
      </c>
      <c r="G25" s="57">
        <f t="shared" si="0"/>
        <v>46597</v>
      </c>
      <c r="H25" s="57">
        <v>6</v>
      </c>
      <c r="I25" s="57">
        <v>94</v>
      </c>
      <c r="J25" s="57">
        <v>54</v>
      </c>
      <c r="K25" s="57">
        <v>0</v>
      </c>
      <c r="L25" s="57">
        <f t="shared" si="1"/>
        <v>154</v>
      </c>
      <c r="M25" s="57">
        <f t="shared" si="2"/>
        <v>46751</v>
      </c>
      <c r="N25" s="58">
        <f t="shared" si="3"/>
        <v>0.99670595281384355</v>
      </c>
      <c r="O25" s="58">
        <f t="shared" si="4"/>
        <v>3.2940471861564458E-3</v>
      </c>
    </row>
    <row r="26" spans="2:15" x14ac:dyDescent="0.35">
      <c r="B26" s="56">
        <v>44440</v>
      </c>
      <c r="C26" s="57">
        <v>1920</v>
      </c>
      <c r="D26" s="57">
        <v>27474</v>
      </c>
      <c r="E26" s="57">
        <v>13158</v>
      </c>
      <c r="F26" s="57">
        <v>2309</v>
      </c>
      <c r="G26" s="57">
        <f t="shared" si="0"/>
        <v>44861</v>
      </c>
      <c r="H26" s="57">
        <v>13</v>
      </c>
      <c r="I26" s="57">
        <v>102</v>
      </c>
      <c r="J26" s="57">
        <v>34</v>
      </c>
      <c r="K26" s="57">
        <v>0</v>
      </c>
      <c r="L26" s="57">
        <f t="shared" si="1"/>
        <v>149</v>
      </c>
      <c r="M26" s="57">
        <f t="shared" si="2"/>
        <v>45010</v>
      </c>
      <c r="N26" s="58">
        <f t="shared" si="3"/>
        <v>0.99668962452788268</v>
      </c>
      <c r="O26" s="58">
        <f t="shared" si="4"/>
        <v>3.3103754721173074E-3</v>
      </c>
    </row>
    <row r="27" spans="2:15" x14ac:dyDescent="0.35">
      <c r="B27" s="56">
        <v>44470</v>
      </c>
      <c r="C27" s="57">
        <v>2549</v>
      </c>
      <c r="D27" s="57">
        <v>25509</v>
      </c>
      <c r="E27" s="57">
        <v>12354</v>
      </c>
      <c r="F27" s="57">
        <v>3384</v>
      </c>
      <c r="G27" s="57">
        <f t="shared" si="0"/>
        <v>43796</v>
      </c>
      <c r="H27" s="57">
        <v>17</v>
      </c>
      <c r="I27" s="57">
        <v>93</v>
      </c>
      <c r="J27" s="57">
        <v>25</v>
      </c>
      <c r="K27" s="57">
        <v>0</v>
      </c>
      <c r="L27" s="57">
        <f t="shared" si="1"/>
        <v>135</v>
      </c>
      <c r="M27" s="57">
        <f t="shared" si="2"/>
        <v>43931</v>
      </c>
      <c r="N27" s="58">
        <f t="shared" si="3"/>
        <v>0.99692699915777017</v>
      </c>
      <c r="O27" s="58">
        <f t="shared" si="4"/>
        <v>3.0730008422298603E-3</v>
      </c>
    </row>
    <row r="28" spans="2:15" x14ac:dyDescent="0.35">
      <c r="B28" s="56">
        <v>44501</v>
      </c>
      <c r="C28" s="57">
        <v>1888</v>
      </c>
      <c r="D28" s="57">
        <v>31029</v>
      </c>
      <c r="E28" s="57">
        <v>12970</v>
      </c>
      <c r="F28" s="57">
        <v>2681</v>
      </c>
      <c r="G28" s="57">
        <f t="shared" si="0"/>
        <v>48568</v>
      </c>
      <c r="H28" s="57">
        <v>6</v>
      </c>
      <c r="I28" s="57">
        <v>118</v>
      </c>
      <c r="J28" s="57">
        <v>30</v>
      </c>
      <c r="K28" s="57">
        <v>0</v>
      </c>
      <c r="L28" s="57">
        <f t="shared" si="1"/>
        <v>154</v>
      </c>
      <c r="M28" s="57">
        <f t="shared" si="2"/>
        <v>48722</v>
      </c>
      <c r="N28" s="58">
        <f t="shared" si="3"/>
        <v>0.99683921021304545</v>
      </c>
      <c r="O28" s="58">
        <f t="shared" si="4"/>
        <v>3.1607897869545586E-3</v>
      </c>
    </row>
    <row r="29" spans="2:15" x14ac:dyDescent="0.35">
      <c r="B29" s="56">
        <v>44531</v>
      </c>
      <c r="C29" s="57">
        <v>2101</v>
      </c>
      <c r="D29" s="57">
        <v>32953</v>
      </c>
      <c r="E29" s="57">
        <v>14116</v>
      </c>
      <c r="F29" s="57">
        <v>1882</v>
      </c>
      <c r="G29" s="57">
        <f t="shared" si="0"/>
        <v>51052</v>
      </c>
      <c r="H29" s="57">
        <v>4</v>
      </c>
      <c r="I29" s="57">
        <v>135</v>
      </c>
      <c r="J29" s="57">
        <v>33</v>
      </c>
      <c r="K29" s="57">
        <v>0</v>
      </c>
      <c r="L29" s="57">
        <f t="shared" si="1"/>
        <v>172</v>
      </c>
      <c r="M29" s="57">
        <f t="shared" si="2"/>
        <v>51224</v>
      </c>
      <c r="N29" s="58">
        <f t="shared" si="3"/>
        <v>0.99664219896923312</v>
      </c>
      <c r="O29" s="58">
        <f t="shared" si="4"/>
        <v>3.357801030766828E-3</v>
      </c>
    </row>
    <row r="30" spans="2:15" x14ac:dyDescent="0.35">
      <c r="B30" s="56">
        <v>44562</v>
      </c>
      <c r="C30" s="57">
        <v>900</v>
      </c>
      <c r="D30" s="57">
        <v>25672</v>
      </c>
      <c r="E30" s="57">
        <v>14927</v>
      </c>
      <c r="F30" s="57">
        <v>1372</v>
      </c>
      <c r="G30" s="57">
        <f t="shared" ref="G30:G35" si="5">SUM(C30:F30)</f>
        <v>42871</v>
      </c>
      <c r="H30" s="57">
        <v>0</v>
      </c>
      <c r="I30" s="57">
        <v>39</v>
      </c>
      <c r="J30" s="57">
        <v>18</v>
      </c>
      <c r="K30" s="57">
        <v>0</v>
      </c>
      <c r="L30" s="57">
        <f t="shared" ref="L30:L35" si="6">SUM(H30:K30)</f>
        <v>57</v>
      </c>
      <c r="M30" s="57">
        <f t="shared" si="2"/>
        <v>42928</v>
      </c>
      <c r="N30" s="58">
        <f t="shared" si="3"/>
        <v>0.9986721953037645</v>
      </c>
      <c r="O30" s="58">
        <f t="shared" si="4"/>
        <v>1.3278046962355572E-3</v>
      </c>
    </row>
    <row r="31" spans="2:15" x14ac:dyDescent="0.35">
      <c r="B31" s="56">
        <v>44593</v>
      </c>
      <c r="C31" s="57">
        <v>2794</v>
      </c>
      <c r="D31" s="57">
        <v>27390</v>
      </c>
      <c r="E31" s="57">
        <v>17352</v>
      </c>
      <c r="F31" s="57">
        <v>4078</v>
      </c>
      <c r="G31" s="57">
        <f t="shared" si="5"/>
        <v>51614</v>
      </c>
      <c r="H31" s="57">
        <v>19</v>
      </c>
      <c r="I31" s="57">
        <v>163</v>
      </c>
      <c r="J31" s="57">
        <v>23</v>
      </c>
      <c r="K31" s="57">
        <v>0</v>
      </c>
      <c r="L31" s="57">
        <f t="shared" si="6"/>
        <v>205</v>
      </c>
      <c r="M31" s="57">
        <f t="shared" si="2"/>
        <v>51819</v>
      </c>
      <c r="N31" s="58">
        <f t="shared" si="3"/>
        <v>0.99604392211351045</v>
      </c>
      <c r="O31" s="58">
        <f t="shared" si="4"/>
        <v>3.9560778864895117E-3</v>
      </c>
    </row>
    <row r="32" spans="2:15" x14ac:dyDescent="0.35">
      <c r="B32" s="56">
        <v>44621</v>
      </c>
      <c r="C32" s="57">
        <v>3136</v>
      </c>
      <c r="D32" s="57">
        <v>24170.731103098289</v>
      </c>
      <c r="E32" s="57">
        <v>17083.268896901711</v>
      </c>
      <c r="F32" s="57">
        <v>3644</v>
      </c>
      <c r="G32" s="57">
        <f t="shared" si="5"/>
        <v>48034</v>
      </c>
      <c r="H32" s="57"/>
      <c r="I32" s="57">
        <v>102</v>
      </c>
      <c r="J32" s="57">
        <v>8</v>
      </c>
      <c r="K32" s="57">
        <v>0</v>
      </c>
      <c r="L32" s="57">
        <f t="shared" si="6"/>
        <v>110</v>
      </c>
      <c r="M32" s="57">
        <f t="shared" si="2"/>
        <v>48144</v>
      </c>
      <c r="N32" s="58">
        <f t="shared" si="3"/>
        <v>0.99771518777002322</v>
      </c>
      <c r="O32" s="58">
        <f t="shared" si="4"/>
        <v>2.2848122299767367E-3</v>
      </c>
    </row>
    <row r="33" spans="2:15" x14ac:dyDescent="0.35">
      <c r="B33" s="56">
        <v>44652</v>
      </c>
      <c r="C33" s="57">
        <v>1567.523416646445</v>
      </c>
      <c r="D33" s="57">
        <v>27956.581442400377</v>
      </c>
      <c r="E33" s="57">
        <v>13684.895140953178</v>
      </c>
      <c r="F33" s="57">
        <v>2180</v>
      </c>
      <c r="G33" s="57">
        <f t="shared" si="5"/>
        <v>45389</v>
      </c>
      <c r="H33" s="57">
        <v>1</v>
      </c>
      <c r="I33" s="57">
        <v>276</v>
      </c>
      <c r="J33" s="57">
        <v>6</v>
      </c>
      <c r="K33" s="57">
        <v>0</v>
      </c>
      <c r="L33" s="57">
        <f t="shared" si="6"/>
        <v>283</v>
      </c>
      <c r="M33" s="57">
        <f t="shared" si="2"/>
        <v>45672</v>
      </c>
      <c r="N33" s="58">
        <f t="shared" si="3"/>
        <v>0.9938036433701174</v>
      </c>
      <c r="O33" s="58">
        <f t="shared" si="4"/>
        <v>6.1963566298826418E-3</v>
      </c>
    </row>
    <row r="34" spans="2:15" x14ac:dyDescent="0.35">
      <c r="B34" s="56">
        <v>44682</v>
      </c>
      <c r="C34" s="57">
        <v>1394.476583353555</v>
      </c>
      <c r="D34" s="57">
        <v>27760.687454501334</v>
      </c>
      <c r="E34" s="57">
        <v>16175.835962145111</v>
      </c>
      <c r="F34" s="57">
        <v>2177</v>
      </c>
      <c r="G34" s="57">
        <f t="shared" si="5"/>
        <v>47508</v>
      </c>
      <c r="H34" s="57">
        <v>2</v>
      </c>
      <c r="I34" s="57">
        <v>542</v>
      </c>
      <c r="J34" s="57">
        <v>8</v>
      </c>
      <c r="K34" s="57">
        <v>0</v>
      </c>
      <c r="L34" s="57">
        <f t="shared" si="6"/>
        <v>552</v>
      </c>
      <c r="M34" s="57">
        <f t="shared" si="2"/>
        <v>48060</v>
      </c>
      <c r="N34" s="58">
        <f t="shared" si="3"/>
        <v>0.98851435705368285</v>
      </c>
      <c r="O34" s="58">
        <f t="shared" si="4"/>
        <v>1.1485642946317104E-2</v>
      </c>
    </row>
    <row r="35" spans="2:15" x14ac:dyDescent="0.35">
      <c r="B35" s="56">
        <v>44713</v>
      </c>
      <c r="C35" s="57">
        <v>3509.0020665078127</v>
      </c>
      <c r="D35" s="57">
        <v>30739.688864053307</v>
      </c>
      <c r="E35" s="57">
        <v>18857.309069438881</v>
      </c>
      <c r="F35" s="57">
        <v>3812</v>
      </c>
      <c r="G35" s="57">
        <f t="shared" si="5"/>
        <v>56918</v>
      </c>
      <c r="H35" s="57">
        <v>5</v>
      </c>
      <c r="I35" s="57">
        <v>296</v>
      </c>
      <c r="J35" s="57">
        <v>22</v>
      </c>
      <c r="K35" s="57">
        <v>0</v>
      </c>
      <c r="L35" s="57">
        <f t="shared" si="6"/>
        <v>323</v>
      </c>
      <c r="M35" s="57">
        <f t="shared" si="2"/>
        <v>57241</v>
      </c>
      <c r="N35" s="58">
        <f t="shared" si="3"/>
        <v>0.99435719152355828</v>
      </c>
      <c r="O35" s="58">
        <f t="shared" si="4"/>
        <v>5.6428084764417116E-3</v>
      </c>
    </row>
    <row r="36" spans="2:15" x14ac:dyDescent="0.35">
      <c r="B36" s="56">
        <v>44743</v>
      </c>
      <c r="C36" s="57">
        <v>1431</v>
      </c>
      <c r="D36" s="57">
        <v>25858</v>
      </c>
      <c r="E36" s="57">
        <v>18781</v>
      </c>
      <c r="F36" s="57">
        <v>3352</v>
      </c>
      <c r="G36" s="57">
        <v>49422</v>
      </c>
      <c r="H36" s="57">
        <v>4</v>
      </c>
      <c r="I36" s="57">
        <v>322</v>
      </c>
      <c r="J36" s="57">
        <v>66</v>
      </c>
      <c r="K36" s="57">
        <v>0</v>
      </c>
      <c r="L36" s="57">
        <v>392</v>
      </c>
      <c r="M36" s="57">
        <v>49814</v>
      </c>
      <c r="N36" s="58">
        <v>0.99209999999999998</v>
      </c>
      <c r="O36" s="58">
        <v>7.9000000000000008E-3</v>
      </c>
    </row>
    <row r="37" spans="2:15" x14ac:dyDescent="0.35">
      <c r="B37" s="56">
        <v>44774</v>
      </c>
      <c r="C37" s="57">
        <v>1163</v>
      </c>
      <c r="D37" s="57">
        <v>34539</v>
      </c>
      <c r="E37" s="57">
        <v>23424</v>
      </c>
      <c r="F37" s="57">
        <v>2471</v>
      </c>
      <c r="G37" s="57">
        <v>61597</v>
      </c>
      <c r="H37" s="57" t="s">
        <v>205</v>
      </c>
      <c r="I37" s="57">
        <v>256</v>
      </c>
      <c r="J37" s="57">
        <v>15</v>
      </c>
      <c r="K37" s="57">
        <v>0</v>
      </c>
      <c r="L37" s="57">
        <v>271</v>
      </c>
      <c r="M37" s="57">
        <v>61868</v>
      </c>
      <c r="N37" s="58">
        <v>0.99560000000000004</v>
      </c>
      <c r="O37" s="58">
        <v>4.4000000000000003E-3</v>
      </c>
    </row>
    <row r="38" spans="2:15" x14ac:dyDescent="0.35">
      <c r="B38" s="56">
        <v>44805</v>
      </c>
      <c r="C38" s="57">
        <v>1623</v>
      </c>
      <c r="D38" s="57">
        <v>28665</v>
      </c>
      <c r="E38" s="57">
        <v>24752</v>
      </c>
      <c r="F38" s="57">
        <v>2507</v>
      </c>
      <c r="G38" s="57">
        <v>57547</v>
      </c>
      <c r="H38" s="57">
        <v>1</v>
      </c>
      <c r="I38" s="57">
        <v>510</v>
      </c>
      <c r="J38" s="57">
        <v>107</v>
      </c>
      <c r="K38" s="57">
        <v>0</v>
      </c>
      <c r="L38" s="57">
        <v>618</v>
      </c>
      <c r="M38" s="57">
        <v>58165</v>
      </c>
      <c r="N38" s="58">
        <v>0.98939999999999995</v>
      </c>
      <c r="O38" s="58">
        <v>1.06E-2</v>
      </c>
    </row>
    <row r="39" spans="2:15" x14ac:dyDescent="0.35">
      <c r="B39" s="56">
        <v>44835</v>
      </c>
      <c r="C39" s="57">
        <v>1087</v>
      </c>
      <c r="D39" s="57">
        <v>26661</v>
      </c>
      <c r="E39" s="57">
        <v>25157</v>
      </c>
      <c r="F39" s="57">
        <v>2125</v>
      </c>
      <c r="G39" s="57">
        <v>55030</v>
      </c>
      <c r="H39" s="57" t="s">
        <v>205</v>
      </c>
      <c r="I39" s="57">
        <v>372</v>
      </c>
      <c r="J39" s="57">
        <v>85</v>
      </c>
      <c r="K39" s="57">
        <v>0</v>
      </c>
      <c r="L39" s="57">
        <v>457</v>
      </c>
      <c r="M39" s="57">
        <v>55487</v>
      </c>
      <c r="N39" s="58">
        <v>0.99180000000000001</v>
      </c>
      <c r="O39" s="58">
        <v>8.2000000000000007E-3</v>
      </c>
    </row>
  </sheetData>
  <mergeCells count="6">
    <mergeCell ref="O4:O5"/>
    <mergeCell ref="B4:B5"/>
    <mergeCell ref="C4:G4"/>
    <mergeCell ref="H4:L4"/>
    <mergeCell ref="M4:M5"/>
    <mergeCell ref="N4:N5"/>
  </mergeCells>
  <pageMargins left="0.7" right="0.7" top="0.75" bottom="0.75" header="0.3" footer="0.3"/>
  <headerFooter>
    <oddFooter>&amp;C_x000D_&amp;1#&amp;"Calibri"&amp;10&amp;K008000 DOCUMENTO PÚBLICO</oddFooter>
  </headerFooter>
  <ignoredErrors>
    <ignoredError sqref="G6:G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4" ma:contentTypeDescription="Crear nuevo documento." ma:contentTypeScope="" ma:versionID="08d665858f0d4475f5175a7c7cf1baee">
  <xsd:schema xmlns:xsd="http://www.w3.org/2001/XMLSchema" xmlns:xs="http://www.w3.org/2001/XMLSchema" xmlns:p="http://schemas.microsoft.com/office/2006/metadata/properties" xmlns:ns2="1a6c6317-3194-4412-af4f-e4b52205be6b" xmlns:ns3="7c08faed-86f4-4d59-ae5f-03a874d4c613" targetNamespace="http://schemas.microsoft.com/office/2006/metadata/properties" ma:root="true" ma:fieldsID="62e3371f22c9cae32d156f958807ab31" ns2:_="" ns3:_="">
    <xsd:import namespace="1a6c6317-3194-4412-af4f-e4b52205be6b"/>
    <xsd:import namespace="7c08faed-86f4-4d59-ae5f-03a874d4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aed-86f4-4d59-ae5f-03a874d4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D6D23-B56D-4B30-9C7D-F2330743E5B1}"/>
</file>

<file path=customXml/itemProps2.xml><?xml version="1.0" encoding="utf-8"?>
<ds:datastoreItem xmlns:ds="http://schemas.openxmlformats.org/officeDocument/2006/customXml" ds:itemID="{CEC01C91-72FA-44C1-A956-303BF8C05B4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1a6c6317-3194-4412-af4f-e4b52205be6b"/>
  </ds:schemaRefs>
</ds:datastoreItem>
</file>

<file path=customXml/itemProps3.xml><?xml version="1.0" encoding="utf-8"?>
<ds:datastoreItem xmlns:ds="http://schemas.openxmlformats.org/officeDocument/2006/customXml" ds:itemID="{0A1A24F5-E1B1-4C10-AA54-86333E776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Corr_Recibida</vt:lpstr>
      <vt:lpstr>Corr_Enviada</vt:lpstr>
      <vt:lpstr>Administración Archivo</vt:lpstr>
      <vt:lpstr>Consultas-Prestamos</vt:lpstr>
      <vt:lpstr>Transferencias</vt:lpstr>
      <vt:lpstr>Custodia_Bodegaje</vt:lpstr>
      <vt:lpstr>Archivo_Gestion</vt:lpstr>
      <vt:lpstr>Indem.AUT_GEN_PAT_VIDA</vt:lpstr>
      <vt:lpstr>Indem. SOAT_AP</vt:lpstr>
      <vt:lpstr>Facturación electrónica Soat AP</vt:lpstr>
      <vt:lpstr>Cant.x.amparo_Indem SOAT</vt:lpstr>
      <vt:lpstr>Cant.x.amparo_Indem AP</vt:lpstr>
      <vt:lpstr>Fondo Documental Acumulado</vt:lpstr>
      <vt:lpstr>Archivo medios Magneticos</vt:lpstr>
      <vt:lpstr>Fact Elec ad au gn 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CRISTHIAN  OSWALDO ALVARADO</dc:creator>
  <cp:keywords/>
  <dc:description/>
  <cp:lastModifiedBy>LINA YHICEDT DUARTE KLINGER</cp:lastModifiedBy>
  <cp:revision/>
  <dcterms:created xsi:type="dcterms:W3CDTF">2022-01-17T17:02:26Z</dcterms:created>
  <dcterms:modified xsi:type="dcterms:W3CDTF">2022-11-30T21:51:55Z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0x010100F803AB336490BC4BA98EDE3797AB3E99</vt:lpwstr>
  </property>
  <property fmtid="{D5CDD505-2E9C-101B-9397-08002B2CF9AE}" pid="3" name="MSIP_Label_4d7dcfcf-2f13-416d-bd85-85e5cda1e908_Enabled">
    <vt:lpwstr>true</vt:lpwstr>
  </property>
  <property fmtid="{D5CDD505-2E9C-101B-9397-08002B2CF9AE}" pid="4" name="MSIP_Label_4d7dcfcf-2f13-416d-bd85-85e5cda1e908_SetDate">
    <vt:lpwstr>2022-08-19T13:59:53Z</vt:lpwstr>
  </property>
  <property fmtid="{D5CDD505-2E9C-101B-9397-08002B2CF9AE}" pid="5" name="MSIP_Label_4d7dcfcf-2f13-416d-bd85-85e5cda1e908_Method">
    <vt:lpwstr>Privileged</vt:lpwstr>
  </property>
  <property fmtid="{D5CDD505-2E9C-101B-9397-08002B2CF9AE}" pid="6" name="MSIP_Label_4d7dcfcf-2f13-416d-bd85-85e5cda1e908_Name">
    <vt:lpwstr>Pública</vt:lpwstr>
  </property>
  <property fmtid="{D5CDD505-2E9C-101B-9397-08002B2CF9AE}" pid="7" name="MSIP_Label_4d7dcfcf-2f13-416d-bd85-85e5cda1e908_SiteId">
    <vt:lpwstr>73e84937-70de-4ceb-8f14-b8f9ab356f6e</vt:lpwstr>
  </property>
  <property fmtid="{D5CDD505-2E9C-101B-9397-08002B2CF9AE}" pid="8" name="MSIP_Label_4d7dcfcf-2f13-416d-bd85-85e5cda1e908_ActionId">
    <vt:lpwstr>56d9655e-f195-482d-9f7a-379aab8c28aa</vt:lpwstr>
  </property>
  <property fmtid="{D5CDD505-2E9C-101B-9397-08002B2CF9AE}" pid="9" name="MSIP_Label_4d7dcfcf-2f13-416d-bd85-85e5cda1e908_ContentBits">
    <vt:lpwstr>2</vt:lpwstr>
  </property>
</Properties>
</file>