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710" documentId="8_{A6FAA2EA-6C70-4B1C-93C6-6FECA31E22A5}" xr6:coauthVersionLast="47" xr6:coauthVersionMax="47" xr10:uidLastSave="{3DECE1A0-B0AB-42C7-BCAC-0ADF5B2410D8}"/>
  <bookViews>
    <workbookView xWindow="-28920" yWindow="-120" windowWidth="29040" windowHeight="15720" tabRatio="851" activeTab="6" xr2:uid="{00000000-000D-0000-FFFF-FFFF00000000}"/>
  </bookViews>
  <sheets>
    <sheet name="GENERALIDADES" sheetId="50" r:id="rId1"/>
    <sheet name="VGD" sheetId="51" r:id="rId2"/>
    <sheet name="VG EMP. CONVENCIONADOS" sheetId="52" r:id="rId3"/>
    <sheet name="VG DIRECTIVOS" sheetId="53" r:id="rId4"/>
    <sheet name="PONDERACION" sheetId="46" r:id="rId5"/>
    <sheet name="ECONOMICA" sheetId="48" r:id="rId6"/>
    <sheet name="CONSOLIDADO" sheetId="49" r:id="rId7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9" l="1"/>
  <c r="C10" i="49"/>
  <c r="D4" i="49"/>
  <c r="C4" i="49"/>
  <c r="C8" i="46"/>
  <c r="E8" i="46" s="1"/>
  <c r="C7" i="46"/>
  <c r="C6" i="46"/>
  <c r="E6" i="46" s="1"/>
  <c r="E19" i="46"/>
  <c r="C18" i="46"/>
  <c r="C17" i="46"/>
  <c r="C16" i="46"/>
  <c r="C28" i="46"/>
  <c r="E28" i="46" s="1"/>
  <c r="C27" i="46"/>
  <c r="E27" i="46" s="1"/>
  <c r="C38" i="46"/>
  <c r="E38" i="46" s="1"/>
  <c r="C37" i="46"/>
  <c r="C47" i="46"/>
  <c r="C46" i="46"/>
  <c r="E47" i="46"/>
  <c r="E46" i="46"/>
  <c r="E18" i="46"/>
  <c r="E17" i="46"/>
  <c r="E37" i="46"/>
  <c r="E16" i="46"/>
  <c r="E7" i="46"/>
  <c r="F12" i="48"/>
  <c r="G20" i="48" s="1"/>
  <c r="G3" i="49" s="1"/>
  <c r="E8" i="53"/>
  <c r="G8" i="53"/>
  <c r="K8" i="53"/>
  <c r="I8" i="53"/>
  <c r="M8" i="53"/>
  <c r="M7" i="53"/>
  <c r="K7" i="53"/>
  <c r="I7" i="53"/>
  <c r="G7" i="53"/>
  <c r="E7" i="53"/>
  <c r="M6" i="53"/>
  <c r="K6" i="53"/>
  <c r="I6" i="53"/>
  <c r="G6" i="53"/>
  <c r="E6" i="53"/>
  <c r="M5" i="53"/>
  <c r="K5" i="53"/>
  <c r="I5" i="53"/>
  <c r="G5" i="53"/>
  <c r="E5" i="53"/>
  <c r="E8" i="52"/>
  <c r="G8" i="52"/>
  <c r="I8" i="52"/>
  <c r="K8" i="52"/>
  <c r="M8" i="52"/>
  <c r="E7" i="52"/>
  <c r="G7" i="52"/>
  <c r="I7" i="52"/>
  <c r="K7" i="52"/>
  <c r="M7" i="52"/>
  <c r="E6" i="52"/>
  <c r="G6" i="52"/>
  <c r="I6" i="52"/>
  <c r="K6" i="52"/>
  <c r="M6" i="52"/>
  <c r="M5" i="52"/>
  <c r="K5" i="52"/>
  <c r="I5" i="52"/>
  <c r="G5" i="52"/>
  <c r="E5" i="52"/>
  <c r="E5" i="51"/>
  <c r="M5" i="51"/>
  <c r="K5" i="51"/>
  <c r="I5" i="51"/>
  <c r="C7" i="53"/>
  <c r="C6" i="53"/>
  <c r="C5" i="53"/>
  <c r="O6" i="53"/>
  <c r="O7" i="53"/>
  <c r="O5" i="53"/>
  <c r="B8" i="53"/>
  <c r="C7" i="52"/>
  <c r="C6" i="52"/>
  <c r="C5" i="52"/>
  <c r="P7" i="52"/>
  <c r="P6" i="52"/>
  <c r="P5" i="52"/>
  <c r="G18" i="48" l="1"/>
  <c r="G19" i="48"/>
  <c r="F3" i="49" s="1"/>
  <c r="G16" i="48"/>
  <c r="C3" i="49" s="1"/>
  <c r="G17" i="48"/>
  <c r="D3" i="49" s="1"/>
  <c r="E9" i="46"/>
  <c r="O6" i="52"/>
  <c r="O7" i="52"/>
  <c r="O5" i="52"/>
  <c r="B8" i="52"/>
  <c r="O6" i="51"/>
  <c r="P6" i="51" s="1"/>
  <c r="C6" i="51" s="1"/>
  <c r="O5" i="51"/>
  <c r="P5" i="51" s="1"/>
  <c r="C5" i="51" s="1"/>
  <c r="B7" i="51"/>
  <c r="C8" i="52"/>
  <c r="M7" i="51"/>
  <c r="C36" i="46" s="1"/>
  <c r="E36" i="46" s="1"/>
  <c r="E39" i="46" s="1"/>
  <c r="G4" i="49" s="1"/>
  <c r="G10" i="49" s="1"/>
  <c r="K7" i="51"/>
  <c r="C45" i="46" s="1"/>
  <c r="E45" i="46" s="1"/>
  <c r="E48" i="46" s="1"/>
  <c r="F4" i="49" s="1"/>
  <c r="F10" i="49" s="1"/>
  <c r="I7" i="51"/>
  <c r="C26" i="46" s="1"/>
  <c r="E26" i="46" s="1"/>
  <c r="E29" i="46" s="1"/>
  <c r="E10" i="49" s="1"/>
  <c r="G7" i="51"/>
  <c r="E7" i="51"/>
  <c r="B10" i="49"/>
  <c r="C7" i="51" l="1"/>
  <c r="F11" i="48"/>
  <c r="C8" i="53" l="1"/>
  <c r="P6" i="53" s="1"/>
  <c r="P7" i="53"/>
  <c r="P5" i="53" l="1"/>
</calcChain>
</file>

<file path=xl/sharedStrings.xml><?xml version="1.0" encoding="utf-8"?>
<sst xmlns="http://schemas.openxmlformats.org/spreadsheetml/2006/main" count="221" uniqueCount="98">
  <si>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</si>
  <si>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</si>
  <si>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</si>
  <si>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</si>
  <si>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</si>
  <si>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</si>
  <si>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</si>
  <si>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</si>
  <si>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</si>
  <si>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PROPONENTE</t>
  </si>
  <si>
    <t>RAMO</t>
  </si>
  <si>
    <t>CONDICIONES TECNICAS COMPLEMENTARIAS</t>
  </si>
  <si>
    <t>% DE PONDERACION</t>
  </si>
  <si>
    <t>TOTAL PUNTAJE</t>
  </si>
  <si>
    <t>PUNTOS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</si>
  <si>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</si>
  <si>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</si>
  <si>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</si>
  <si>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</si>
  <si>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</si>
  <si>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</si>
  <si>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</si>
  <si>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</si>
  <si>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</si>
  <si>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</si>
  <si>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</si>
  <si>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</si>
  <si>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</si>
  <si>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</si>
  <si>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</si>
  <si>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</si>
  <si>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</si>
  <si>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</si>
  <si>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</si>
  <si>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</si>
  <si>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</si>
  <si>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</si>
  <si>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</si>
  <si>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</si>
  <si>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</si>
  <si>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</si>
  <si>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</si>
  <si>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Puntos</t>
  </si>
  <si>
    <t xml:space="preserve">CONDICIONES COMPLEMENTARIAS CALIFICABLES NO OBLIGATORIA  </t>
  </si>
  <si>
    <t>EVALUACION TECNICA Y ECONOMICA
LA PREVISORA SEGUROS S.A.</t>
  </si>
  <si>
    <t>ASPECTOS AMBIENTALES</t>
  </si>
  <si>
    <t xml:space="preserve">EVALUACION ECONOMICA </t>
  </si>
  <si>
    <t>LA PREVISORA SEGUROS</t>
  </si>
  <si>
    <t>SEGURO DE VIDA GRUPO DEUDORES 2026</t>
  </si>
  <si>
    <r>
      <t xml:space="preserve">Repatriación.  </t>
    </r>
    <r>
      <rPr>
        <sz val="10"/>
        <color theme="1"/>
        <rFont val="Century Gothic"/>
        <family val="2"/>
      </rPr>
      <t>Se calificará con el puntaje ofrecido a la oferta que otorgue el mejor limite asegurado, sin cobro de prima adicional, en exceso del básico obligatorio.  Las demás ofertas se calificarán de manera proporcional descendente.</t>
    </r>
  </si>
  <si>
    <r>
      <t xml:space="preserve">Auxilio Exequial $5,000,000=
</t>
    </r>
    <r>
      <rPr>
        <sz val="10"/>
        <color theme="1"/>
        <rFont val="Century Gothic"/>
        <family val="2"/>
      </rPr>
      <t xml:space="preserve">
Se calificará la oferta que incluya este amparo con el límite señalado.</t>
    </r>
  </si>
  <si>
    <t>UT POSITIVA AURORA</t>
  </si>
  <si>
    <t>BMI SEGUROS</t>
  </si>
  <si>
    <t>MAPFRE SEGUROS</t>
  </si>
  <si>
    <t>C</t>
  </si>
  <si>
    <t>SEGUROS COLSANITAS</t>
  </si>
  <si>
    <t>UT ESTADO - HDI</t>
  </si>
  <si>
    <t>VIDA GRUPO DEUDORES</t>
  </si>
  <si>
    <t>VIDA GRUPO EMPLEADOS CONVENCIONADOS</t>
  </si>
  <si>
    <t>VIDA GRUPO DIRECTIVOS</t>
  </si>
  <si>
    <t>SEGURO DE VIDA GRUPO EMPLEADOS 2026</t>
  </si>
  <si>
    <r>
      <t xml:space="preserve">Auxilio por incapaciddad superior a 180 dias $10,000,000=
</t>
    </r>
    <r>
      <rPr>
        <sz val="10"/>
        <color theme="1"/>
        <rFont val="Century Gothic"/>
        <family val="2"/>
      </rPr>
      <t xml:space="preserve">
Se calificará la oferta que incluya este amparo con el límite señalado.</t>
    </r>
  </si>
  <si>
    <t>SEGURO DE VIDA GRUPO DIRECTIVOS 2026</t>
  </si>
  <si>
    <r>
      <t xml:space="preserve">Auxilio por incapaciddad superior a 180 dias $5,000,000=
</t>
    </r>
    <r>
      <rPr>
        <sz val="10"/>
        <color theme="1"/>
        <rFont val="Century Gothic"/>
        <family val="2"/>
      </rPr>
      <t xml:space="preserve">
Se calificará la oferta que incluya este amparo con el límite señalado.</t>
    </r>
  </si>
  <si>
    <r>
      <t xml:space="preserve">Repatriación $10.000.000=.  </t>
    </r>
    <r>
      <rPr>
        <sz val="10"/>
        <color theme="1"/>
        <rFont val="Century Gothic"/>
        <family val="2"/>
      </rPr>
      <t>Se calificará la oferta que incluya este amparo con el límite señalado.</t>
    </r>
  </si>
  <si>
    <r>
      <t xml:space="preserve">Auxilio Exequial 
</t>
    </r>
    <r>
      <rPr>
        <sz val="10"/>
        <color theme="1"/>
        <rFont val="Century Gothic"/>
        <family val="2"/>
      </rPr>
      <t xml:space="preserve">
Se calificará con el mayor puntaje a la la oferta con el mejor limite en exceso del básico obligatorio, sin cobro de prima, y a las demás de forma proporcional descendente</t>
    </r>
  </si>
  <si>
    <t>UT POSITIVA -AURORA</t>
  </si>
  <si>
    <t>Se otorgan $15.000.000</t>
  </si>
  <si>
    <t>Se otorga</t>
  </si>
  <si>
    <t>Se otorgan $10.000.000 adiocionales al básico de la cobertura de repatriación</t>
  </si>
  <si>
    <t>Se otorga, Auxilio por incapaciddad superior a 180 dias $5,000,000</t>
  </si>
  <si>
    <t>Se otorga, Repatriación $10.000.000</t>
  </si>
  <si>
    <t xml:space="preserve">Se otorgan $10.000.000 adicionales al básico obligatoria </t>
  </si>
  <si>
    <t xml:space="preserve">SE OTORGA  $30.000.000  </t>
  </si>
  <si>
    <t>SE OTORGA</t>
  </si>
  <si>
    <t xml:space="preserve">SE OTORGA ADICIONAL $15.000.000 AL 
BASICO OBLIGATORIO </t>
  </si>
  <si>
    <t>SE OTORGA ADICIONAL $6.600.000 
ADICIONALES AL BASICO OBLIGATORIO</t>
  </si>
  <si>
    <t>AUXILIO DE REPATRIACIÓN
En el evento en que el asegurado principal fallezca en un país diferente a su país de origen, La Compañía reconocerá a los beneficiarios una suma adicional equivalente a un valor asegurado de quince millones de pesos ($15.000.000), como auxilio por repatriación, siempre y cuando se haya surtido este trámite. 
La Compañía no asume responsabilidad en la atención del servicio de repatriación</t>
  </si>
  <si>
    <t>AUXILIO EXEQUIAL 
En caso de fallecimiento del asegurado, la compañía pagará la suma de diez millones de pesos ($10,000,000) asegurada para este amparo al (los) beneficiario (s) designado (s) o en su defecto los de ley, para sufragar los gastos funerarios, siempre y cuando se contrate la cobertura.</t>
  </si>
  <si>
    <t>Se otorga según los solicitado - En caso de que el Asegurado presente una incapacidad total y continua por un período superior a ciento ochenta (180) días calendario consecutivos, debidamente certificada por autoridad médica competente, la Compañía reconocerá y pagará al Beneficiario el valor asegurado establecido $10,000,000</t>
  </si>
  <si>
    <t>AUXILIO DE REPATRIACIÓN ADICIONALES A LOS 5 MILLONES DEFINIDAS EN CONDICIONES OBLIGATORIAS
En el evento en que el asegurado principal fallezca en un país diferente a su país de origen, La Compañía reconocerá a los beneficiarios una suma adicional equivalente a un valor asegurado de diez millones de pesos ($10.000.000), como auxilio por repatriación, siempre y cuando se haya surtido este trámite. 
La Compañía no asume responsabilidad en la atención del servicio de repatriación</t>
  </si>
  <si>
    <t>AUXILIO EXEQUIAL 
En caso de fallecimiento del asegurado, la compañía pagará la suma de cinco de pesos ($5,000,000) asegurada para este amparo al (los) beneficiario (s) designado (s) o en su defecto los de ley, para sufragar los gastos funerarios, siempre y cuando se contrate la cobertura.</t>
  </si>
  <si>
    <t>Se otorga según los solicitado - En caso de que el Asegurado presente una incapacidad total y continua por un período superior a ciento ochenta (180) días calendario consecutivos, debidamente certificada por autoridad médica competente, la Compañía reconocerá y pagará al Beneficiario el valor asegurado establecido $5,000,000 y bajo la definición de las condiciones obligatorias</t>
  </si>
  <si>
    <t>AUXILIO DE REPATRIACIÓN
En el evento en que el asegurado principal fallezca en un país diferente a su país de origen, La Compañía reconocerá a los beneficiarios una suma adicional equivalente a un valor asegurado de diez millones de pesos ($10.000.000), como auxilio por repatriación, siempre y cuando se haya surtido este trámite. 
La Compañía no asume responsabilidad en la atención del servicio de repatriación</t>
  </si>
  <si>
    <t>AUXILIO EXEQUIAL ADICIONALES A LOS $6,600,000 DEFINIDOS EN CONDICIONES OBLIGATORIAS
En caso de fallecimiento del asegurado, la compañía pagará la suma de ocho millones cuatrocientos mil de pesos ($8,400,000) asegurada para este amparo al (los) beneficiario (s) designado (s) o en su defecto los de ley, para sufragar los gastos funerarios, siempre y cuando se contrate la cobertura.</t>
  </si>
  <si>
    <t>Se otorga 12 SMMLV</t>
  </si>
  <si>
    <t>Se otorga 10 SMMLV Adicionales</t>
  </si>
  <si>
    <t>Se otoga $10.000.000 adicionales para un total de $16.600.000</t>
  </si>
  <si>
    <t xml:space="preserve">En caso de fallecimiento opera como auxilio no como servicio.
En el evento en que el asegurado principal fallezca en un país diferente a su país de origen, La Compañía reconocerá a los beneficiarios una suma adicional como auxilio por repatriación, siempre y cuando se haya surtido este trámite. La Compañía no asume responsabilidad en la atención del servicio de repatriación. También podrá reconocerse este valor a la persona que demuestre haber sufragado los gastos, previa presentación de las facturas que demuestren el pago de los servicios.
Valor Asegurado: $5.000.000 </t>
  </si>
  <si>
    <t>Auxilio funerario
En el evento en que el asegurado fallezca a causa de un evento amparado en la póliza la Aseguradora , pagará a los beneficiarios designados o en su defecto a los de ley, el valor asegurado e indicado en el certificado individual del seguro para este amparo, con el propósito de contribuir a los gastos funerarios.
Valor asegurado: $6,000,000</t>
  </si>
  <si>
    <t xml:space="preserve">
Auxilio por Incapacidad superior a 180 días.
Si el asegurado es incapacitado total y temporalmente duranre ciento ochenta (180) dias continuos, Seguros Colsanitas pagará el valor asegurado en un pago único de $10.000.000 siempre y cuando las lesiones que la hayan ocasionado ocurran dentro de la de vigencia de la póliza y sea originada por un accidente que no esté excluida bajo los terminos de esta póliza. </t>
  </si>
  <si>
    <t xml:space="preserve">En caso de fallecimiento opera como auxilio no como servicio.
En el evento en que el asegurado principal fallezca en un país diferente a su país de origen, La Compañía reconocerá a los beneficiarios una suma adicional como auxilio por repatriación, siempre y cuando se haya surtido este trámite. La Compañía no asume responsabilidad en la atención del servicio de repatriación. También podrá reconocerse este valor a la persona que demuestre haber sufragado los gastos, previa presentación de las facturas que demuestren el pago de los servicios.
Valor Asegurado: $7.000.000 </t>
  </si>
  <si>
    <t xml:space="preserve">
Auxilio por Incapacidad superior a 180 días.
Si el asegurado es incapacitado total y temporalmente duranre ciento ochenta (180) dias continuos, Seguros Colsanitas pagará el valor asegurado en un pago único de $5.000.000 siempre y cuando las lesiones que la hayan ocasionado ocurran dentro de la de vigencia de la póliza y sea originada por un accidente que no esté excluida bajo los terminos de esta póliza. </t>
  </si>
  <si>
    <t xml:space="preserve">En caso de fallecimiento opera como auxilio no como servicio.
En el evento en que el asegurado principal fallezca en un país diferente a su país de origen, La Compañía reconocerá a los beneficiarios una suma adicional como auxilio por repatriación, siempre y cuando se haya surtido este trámite. La Compañía no asume responsabilidad en la atención del servicio de repatriación. También podrá reconocerse este valor a la persona que demuestre haber sufragado los gastos, previa presentación de las facturas que demuestren el pago de los servicios.
Valor Asegurado: $10.000.000 </t>
  </si>
  <si>
    <t>Auxilio funerario
En el evento en que el asegurado fallezca a causa de un evento amparado en la póliza la Aseguradora , pagará a los beneficiarios designados o en su defecto a los de ley, el valor asegurado e indicado en el certificado individual del seguro para este amparo, con el propósito de contribuir a los gastos funerarios.
Valor asegurado: $7,000,000</t>
  </si>
  <si>
    <t>PONDERACION PUNTAJE - CONDICIONES COMPLEMENTARIAS</t>
  </si>
  <si>
    <t>GRUPO 7</t>
  </si>
  <si>
    <t>Se rechaza por NO subsanar habilitantes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</si>
</sst>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sz val="11"/>
      <color theme="1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b/>
      <sz val="10"/>
      <color theme="0"/>
      <name val="Century Gothic"/>
      <family val="2"/>
    </font>
    <font>
      <b/>
      <sz val="11"/>
      <color theme="0"/>
      <name val="Century Gothic"/>
      <family val="2"/>
    </font>
    <font>
      <sz val="10"/>
      <name val="Arial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9" fontId="37" fillId="0" borderId="0" applyFont="0" applyFill="0" applyBorder="0" applyAlignment="0" applyProtection="0"/>
    <xf numFmtId="44" fontId="37" fillId="0" borderId="0" applyFont="0" applyFill="0" applyBorder="0" applyAlignment="0" applyProtection="0"/>
  </cellStyleXfs>
  <cellXfs count="175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21" fillId="0" borderId="4" xfId="0" applyFont="1" applyBorder="1"/>
    <xf numFmtId="9" fontId="21" fillId="0" borderId="4" xfId="0" applyNumberFormat="1" applyFont="1" applyBorder="1" applyAlignment="1">
      <alignment horizontal="center" vertical="center"/>
    </xf>
    <xf numFmtId="1" fontId="24" fillId="0" borderId="0" xfId="23" applyNumberFormat="1" applyFont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5" fillId="4" borderId="4" xfId="0" applyFont="1" applyFill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23" fillId="0" borderId="4" xfId="28" applyFont="1" applyBorder="1" applyAlignment="1">
      <alignment vertical="center" wrapText="1"/>
    </xf>
    <xf numFmtId="0" fontId="23" fillId="0" borderId="4" xfId="28" applyFont="1" applyBorder="1" applyAlignment="1">
      <alignment vertical="center"/>
    </xf>
    <xf numFmtId="0" fontId="25" fillId="0" borderId="4" xfId="28" applyFont="1" applyBorder="1" applyAlignment="1">
      <alignment horizontal="center" vertical="center" wrapText="1"/>
    </xf>
    <xf numFmtId="0" fontId="23" fillId="0" borderId="4" xfId="28" applyFont="1" applyBorder="1"/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0" fontId="28" fillId="4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31" fillId="0" borderId="4" xfId="0" applyFont="1" applyBorder="1" applyAlignment="1">
      <alignment horizontal="justify" vertical="center" wrapText="1"/>
    </xf>
    <xf numFmtId="0" fontId="31" fillId="4" borderId="4" xfId="0" applyFont="1" applyFill="1" applyBorder="1" applyAlignment="1">
      <alignment horizontal="justify" vertical="center" wrapText="1"/>
    </xf>
    <xf numFmtId="0" fontId="33" fillId="2" borderId="4" xfId="0" applyFont="1" applyFill="1" applyBorder="1" applyAlignment="1">
      <alignment horizontal="center" vertical="center"/>
    </xf>
    <xf numFmtId="2" fontId="23" fillId="0" borderId="4" xfId="28" applyNumberFormat="1" applyFont="1" applyBorder="1" applyAlignment="1">
      <alignment horizontal="center" vertical="center"/>
    </xf>
    <xf numFmtId="2" fontId="23" fillId="0" borderId="14" xfId="28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/>
    </xf>
    <xf numFmtId="2" fontId="23" fillId="0" borderId="14" xfId="28" applyNumberFormat="1" applyFont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 wrapText="1"/>
    </xf>
    <xf numFmtId="168" fontId="34" fillId="0" borderId="4" xfId="0" applyNumberFormat="1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168" fontId="33" fillId="2" borderId="4" xfId="0" applyNumberFormat="1" applyFont="1" applyFill="1" applyBorder="1" applyAlignment="1">
      <alignment horizontal="center" vertical="center"/>
    </xf>
    <xf numFmtId="0" fontId="30" fillId="7" borderId="4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/>
    </xf>
    <xf numFmtId="0" fontId="30" fillId="9" borderId="4" xfId="0" applyFont="1" applyFill="1" applyBorder="1" applyAlignment="1">
      <alignment horizontal="center" vertical="center" wrapText="1"/>
    </xf>
    <xf numFmtId="0" fontId="33" fillId="9" borderId="4" xfId="0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/>
    </xf>
    <xf numFmtId="0" fontId="35" fillId="10" borderId="4" xfId="0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/>
    </xf>
    <xf numFmtId="9" fontId="28" fillId="4" borderId="0" xfId="37" applyFont="1" applyFill="1" applyAlignment="1">
      <alignment vertical="center"/>
    </xf>
    <xf numFmtId="2" fontId="28" fillId="4" borderId="0" xfId="0" applyNumberFormat="1" applyFont="1" applyFill="1" applyAlignment="1">
      <alignment vertical="center"/>
    </xf>
    <xf numFmtId="10" fontId="28" fillId="4" borderId="0" xfId="37" applyNumberFormat="1" applyFont="1" applyFill="1" applyAlignment="1">
      <alignment vertical="center"/>
    </xf>
    <xf numFmtId="0" fontId="34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8" fillId="0" borderId="4" xfId="0" applyFont="1" applyBorder="1" applyAlignment="1">
      <alignment vertical="center" wrapText="1"/>
    </xf>
    <xf numFmtId="2" fontId="34" fillId="0" borderId="4" xfId="0" applyNumberFormat="1" applyFont="1" applyBorder="1" applyAlignment="1">
      <alignment vertical="center"/>
    </xf>
    <xf numFmtId="168" fontId="28" fillId="4" borderId="4" xfId="0" applyNumberFormat="1" applyFont="1" applyFill="1" applyBorder="1" applyAlignment="1">
      <alignment vertical="center"/>
    </xf>
    <xf numFmtId="2" fontId="28" fillId="4" borderId="4" xfId="0" applyNumberFormat="1" applyFont="1" applyFill="1" applyBorder="1" applyAlignment="1">
      <alignment vertical="center"/>
    </xf>
    <xf numFmtId="2" fontId="34" fillId="0" borderId="4" xfId="0" applyNumberFormat="1" applyFont="1" applyBorder="1" applyAlignment="1">
      <alignment horizontal="center" vertical="center"/>
    </xf>
    <xf numFmtId="2" fontId="31" fillId="9" borderId="4" xfId="0" applyNumberFormat="1" applyFont="1" applyFill="1" applyBorder="1" applyAlignment="1">
      <alignment horizontal="center" vertical="center" wrapText="1"/>
    </xf>
    <xf numFmtId="2" fontId="35" fillId="10" borderId="4" xfId="0" applyNumberFormat="1" applyFont="1" applyFill="1" applyBorder="1" applyAlignment="1">
      <alignment horizontal="center" vertical="center" wrapText="1"/>
    </xf>
    <xf numFmtId="2" fontId="31" fillId="8" borderId="4" xfId="0" applyNumberFormat="1" applyFont="1" applyFill="1" applyBorder="1" applyAlignment="1">
      <alignment horizontal="center" vertical="center" wrapText="1"/>
    </xf>
    <xf numFmtId="2" fontId="31" fillId="5" borderId="4" xfId="0" applyNumberFormat="1" applyFont="1" applyFill="1" applyBorder="1" applyAlignment="1">
      <alignment horizontal="center" vertical="center" wrapText="1"/>
    </xf>
    <xf numFmtId="2" fontId="30" fillId="7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/>
    </xf>
    <xf numFmtId="168" fontId="39" fillId="2" borderId="4" xfId="0" applyNumberFormat="1" applyFont="1" applyFill="1" applyBorder="1" applyAlignment="1">
      <alignment horizontal="center" vertical="center"/>
    </xf>
    <xf numFmtId="0" fontId="39" fillId="9" borderId="4" xfId="0" applyFont="1" applyFill="1" applyBorder="1" applyAlignment="1">
      <alignment horizontal="center" vertical="center"/>
    </xf>
    <xf numFmtId="2" fontId="39" fillId="9" borderId="4" xfId="0" applyNumberFormat="1" applyFont="1" applyFill="1" applyBorder="1" applyAlignment="1">
      <alignment horizontal="center" vertical="center" wrapText="1"/>
    </xf>
    <xf numFmtId="0" fontId="40" fillId="10" borderId="4" xfId="0" applyFont="1" applyFill="1" applyBorder="1" applyAlignment="1">
      <alignment horizontal="center" vertical="center"/>
    </xf>
    <xf numFmtId="2" fontId="40" fillId="10" borderId="4" xfId="0" applyNumberFormat="1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/>
    </xf>
    <xf numFmtId="2" fontId="39" fillId="8" borderId="4" xfId="0" applyNumberFormat="1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/>
    </xf>
    <xf numFmtId="2" fontId="39" fillId="5" borderId="4" xfId="0" applyNumberFormat="1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2" fontId="41" fillId="7" borderId="4" xfId="0" applyNumberFormat="1" applyFont="1" applyFill="1" applyBorder="1" applyAlignment="1">
      <alignment horizontal="center" vertical="center" wrapText="1"/>
    </xf>
    <xf numFmtId="0" fontId="42" fillId="4" borderId="0" xfId="0" applyFont="1" applyFill="1" applyAlignment="1">
      <alignment vertical="center"/>
    </xf>
    <xf numFmtId="0" fontId="41" fillId="2" borderId="4" xfId="0" applyFont="1" applyFill="1" applyBorder="1" applyAlignment="1">
      <alignment horizontal="center" vertical="center" wrapText="1"/>
    </xf>
    <xf numFmtId="0" fontId="41" fillId="9" borderId="4" xfId="0" applyFont="1" applyFill="1" applyBorder="1" applyAlignment="1">
      <alignment horizontal="center" vertical="center" wrapText="1"/>
    </xf>
    <xf numFmtId="0" fontId="40" fillId="10" borderId="4" xfId="0" applyFont="1" applyFill="1" applyBorder="1" applyAlignment="1">
      <alignment horizontal="center" vertical="center" wrapText="1"/>
    </xf>
    <xf numFmtId="0" fontId="41" fillId="8" borderId="4" xfId="0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2" fontId="23" fillId="0" borderId="4" xfId="0" applyNumberFormat="1" applyFont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 wrapText="1"/>
    </xf>
    <xf numFmtId="0" fontId="43" fillId="10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2" fontId="18" fillId="9" borderId="4" xfId="0" applyNumberFormat="1" applyFont="1" applyFill="1" applyBorder="1" applyAlignment="1">
      <alignment horizontal="center" vertical="center" wrapText="1"/>
    </xf>
    <xf numFmtId="2" fontId="43" fillId="10" borderId="4" xfId="0" applyNumberFormat="1" applyFont="1" applyFill="1" applyBorder="1" applyAlignment="1">
      <alignment horizontal="center" vertical="center" wrapText="1"/>
    </xf>
    <xf numFmtId="2" fontId="18" fillId="8" borderId="4" xfId="0" applyNumberFormat="1" applyFont="1" applyFill="1" applyBorder="1" applyAlignment="1">
      <alignment horizontal="center" vertical="center" wrapText="1"/>
    </xf>
    <xf numFmtId="2" fontId="18" fillId="5" borderId="4" xfId="0" applyNumberFormat="1" applyFont="1" applyFill="1" applyBorder="1" applyAlignment="1">
      <alignment horizontal="center" vertical="center" wrapText="1"/>
    </xf>
    <xf numFmtId="2" fontId="18" fillId="7" borderId="4" xfId="0" applyNumberFormat="1" applyFont="1" applyFill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/>
    </xf>
    <xf numFmtId="2" fontId="18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4" borderId="0" xfId="0" applyFont="1" applyFill="1" applyAlignment="1">
      <alignment vertical="center"/>
    </xf>
    <xf numFmtId="164" fontId="25" fillId="4" borderId="0" xfId="1" applyFont="1" applyFill="1" applyBorder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3" fillId="0" borderId="4" xfId="0" applyFont="1" applyBorder="1" applyAlignment="1">
      <alignment vertical="center" wrapText="1"/>
    </xf>
    <xf numFmtId="170" fontId="23" fillId="0" borderId="4" xfId="38" applyNumberFormat="1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2" fontId="23" fillId="11" borderId="4" xfId="28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0" fontId="5" fillId="0" borderId="0" xfId="0" applyFont="1"/>
    <xf numFmtId="170" fontId="23" fillId="0" borderId="4" xfId="38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2" fontId="23" fillId="0" borderId="5" xfId="28" applyNumberFormat="1" applyFont="1" applyBorder="1" applyAlignment="1">
      <alignment vertical="center" wrapText="1"/>
    </xf>
    <xf numFmtId="2" fontId="23" fillId="0" borderId="11" xfId="28" applyNumberFormat="1" applyFont="1" applyBorder="1" applyAlignment="1">
      <alignment vertical="center" wrapText="1"/>
    </xf>
    <xf numFmtId="2" fontId="23" fillId="0" borderId="12" xfId="28" applyNumberFormat="1" applyFont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0" fontId="16" fillId="5" borderId="8" xfId="15" applyFont="1" applyFill="1" applyBorder="1" applyAlignment="1">
      <alignment horizontal="center" vertical="center" wrapText="1"/>
    </xf>
    <xf numFmtId="0" fontId="16" fillId="5" borderId="9" xfId="15" applyFont="1" applyFill="1" applyBorder="1" applyAlignment="1">
      <alignment horizontal="center" vertical="center" wrapText="1"/>
    </xf>
    <xf numFmtId="0" fontId="16" fillId="5" borderId="10" xfId="15" applyFont="1" applyFill="1" applyBorder="1" applyAlignment="1">
      <alignment horizontal="center" vertical="center" wrapText="1"/>
    </xf>
    <xf numFmtId="0" fontId="16" fillId="5" borderId="1" xfId="15" applyFont="1" applyFill="1" applyBorder="1" applyAlignment="1">
      <alignment horizontal="center" vertical="center" wrapText="1"/>
    </xf>
    <xf numFmtId="0" fontId="16" fillId="5" borderId="0" xfId="15" applyFont="1" applyFill="1" applyAlignment="1">
      <alignment horizontal="center" vertical="center" wrapText="1"/>
    </xf>
    <xf numFmtId="0" fontId="16" fillId="5" borderId="2" xfId="15" applyFont="1" applyFill="1" applyBorder="1" applyAlignment="1">
      <alignment horizontal="center" vertical="center" wrapText="1"/>
    </xf>
    <xf numFmtId="0" fontId="16" fillId="5" borderId="6" xfId="15" applyFont="1" applyFill="1" applyBorder="1" applyAlignment="1">
      <alignment horizontal="center" vertical="center" wrapText="1"/>
    </xf>
    <xf numFmtId="0" fontId="26" fillId="5" borderId="7" xfId="15" applyFont="1" applyFill="1" applyBorder="1" applyAlignment="1">
      <alignment horizontal="center" vertical="center" wrapText="1"/>
    </xf>
    <xf numFmtId="0" fontId="16" fillId="5" borderId="7" xfId="15" applyFont="1" applyFill="1" applyBorder="1" applyAlignment="1">
      <alignment horizontal="center" vertical="center" wrapText="1"/>
    </xf>
    <xf numFmtId="0" fontId="16" fillId="5" borderId="3" xfId="15" applyFont="1" applyFill="1" applyBorder="1" applyAlignment="1">
      <alignment horizontal="center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0" fontId="26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6" fillId="0" borderId="1" xfId="15" applyFont="1" applyBorder="1" applyAlignment="1">
      <alignment horizontal="justify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2" xfId="15" applyFont="1" applyBorder="1" applyAlignment="1">
      <alignment horizontal="justify" vertical="center" wrapText="1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left" vertical="center" wrapText="1"/>
    </xf>
    <xf numFmtId="0" fontId="16" fillId="0" borderId="0" xfId="15" applyFont="1" applyAlignment="1">
      <alignment horizontal="left" vertical="center" wrapText="1"/>
    </xf>
    <xf numFmtId="0" fontId="16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8" fillId="0" borderId="4" xfId="15" applyFont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/>
    </xf>
    <xf numFmtId="0" fontId="18" fillId="6" borderId="4" xfId="15" applyFont="1" applyFill="1" applyBorder="1" applyAlignment="1">
      <alignment horizontal="center" vertical="center"/>
    </xf>
    <xf numFmtId="0" fontId="18" fillId="6" borderId="4" xfId="27" applyNumberFormat="1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17" fillId="6" borderId="4" xfId="15" applyFont="1" applyFill="1" applyBorder="1" applyAlignment="1">
      <alignment horizontal="center" vertical="center" wrapText="1"/>
    </xf>
    <xf numFmtId="167" fontId="23" fillId="0" borderId="14" xfId="0" applyNumberFormat="1" applyFont="1" applyBorder="1" applyAlignment="1">
      <alignment horizontal="center" vertical="center"/>
    </xf>
    <xf numFmtId="167" fontId="23" fillId="0" borderId="16" xfId="0" applyNumberFormat="1" applyFont="1" applyBorder="1" applyAlignment="1">
      <alignment horizontal="center" vertical="center"/>
    </xf>
    <xf numFmtId="167" fontId="23" fillId="0" borderId="15" xfId="0" applyNumberFormat="1" applyFont="1" applyBorder="1" applyAlignment="1">
      <alignment horizontal="center" vertical="center"/>
    </xf>
    <xf numFmtId="1" fontId="17" fillId="6" borderId="8" xfId="23" applyNumberFormat="1" applyFont="1" applyFill="1" applyBorder="1" applyAlignment="1">
      <alignment horizontal="center" vertical="center" wrapText="1"/>
    </xf>
    <xf numFmtId="1" fontId="17" fillId="6" borderId="9" xfId="23" applyNumberFormat="1" applyFont="1" applyFill="1" applyBorder="1" applyAlignment="1">
      <alignment horizontal="center" vertical="center" wrapText="1"/>
    </xf>
    <xf numFmtId="1" fontId="17" fillId="6" borderId="10" xfId="23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1" fontId="24" fillId="6" borderId="1" xfId="23" applyNumberFormat="1" applyFont="1" applyFill="1" applyBorder="1" applyAlignment="1">
      <alignment horizontal="center" vertical="center" wrapText="1"/>
    </xf>
    <xf numFmtId="1" fontId="24" fillId="6" borderId="0" xfId="23" applyNumberFormat="1" applyFont="1" applyFill="1" applyAlignment="1">
      <alignment horizontal="center" vertical="center" wrapText="1"/>
    </xf>
    <xf numFmtId="1" fontId="24" fillId="6" borderId="2" xfId="23" applyNumberFormat="1" applyFont="1" applyFill="1" applyBorder="1" applyAlignment="1">
      <alignment horizontal="center" vertical="center" wrapText="1"/>
    </xf>
    <xf numFmtId="166" fontId="25" fillId="4" borderId="4" xfId="1" applyNumberFormat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6" fontId="25" fillId="4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39">
    <cellStyle name="Millares [0] 2" xfId="1" xr:uid="{00000000-0005-0000-0000-000000000000}"/>
    <cellStyle name="Millares [0] 2 2" xfId="20" xr:uid="{00000000-0005-0000-0000-000001000000}"/>
    <cellStyle name="Millares [0] 2 3" xfId="35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30" xr:uid="{21D2C222-68DA-4B4B-B698-99CA3D85F6E1}"/>
    <cellStyle name="Millares 4" xfId="19" xr:uid="{00000000-0005-0000-0000-000008000000}"/>
    <cellStyle name="Millares 4 2" xfId="32" xr:uid="{E52E4E54-007D-4BD3-BFAD-CAD6F3612AE2}"/>
    <cellStyle name="Millares 5" xfId="4" xr:uid="{00000000-0005-0000-0000-000009000000}"/>
    <cellStyle name="Millares 5 2" xfId="12" xr:uid="{00000000-0005-0000-0000-00000A000000}"/>
    <cellStyle name="Moneda" xfId="38" builtinId="4"/>
    <cellStyle name="Moneda 2" xfId="29" xr:uid="{E6FC6C53-1081-4ED1-A621-52428C4BC359}"/>
    <cellStyle name="Normal" xfId="0" builtinId="0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1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6" xr:uid="{9E0FB367-310F-4E47-82A1-01EE927FE30D}"/>
    <cellStyle name="Normal 3 3" xfId="25" xr:uid="{00000000-0005-0000-0000-000016000000}"/>
    <cellStyle name="Normal 3 4" xfId="34" xr:uid="{C634285F-646E-4C79-BA7C-36419895B90D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8" xr:uid="{250D4D83-982E-46BF-8962-EAEEAED9CC50}"/>
    <cellStyle name="Normal 8" xfId="11" xr:uid="{00000000-0005-0000-0000-00001A000000}"/>
    <cellStyle name="Porcentaje" xfId="37" builtinId="5"/>
    <cellStyle name="Porcentaje 2" xfId="33" xr:uid="{A26E3591-2E7C-4D14-B3A9-6EF39A242521}"/>
    <cellStyle name="Texto explicativo" xfId="27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zoomScale="80" zoomScaleNormal="80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18" customWidth="1"/>
    <col min="5" max="5" width="37.90625" style="16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112" t="s">
        <v>30</v>
      </c>
      <c r="B1" s="113"/>
      <c r="C1" s="113"/>
      <c r="D1" s="114"/>
    </row>
    <row r="2" spans="1:6" ht="14" x14ac:dyDescent="0.25">
      <c r="A2" s="115" t="s">
        <v>31</v>
      </c>
      <c r="B2" s="116"/>
      <c r="C2" s="116"/>
      <c r="D2" s="117"/>
    </row>
    <row r="3" spans="1:6" ht="14.5" thickBot="1" x14ac:dyDescent="0.3">
      <c r="A3" s="118" t="s">
        <v>5</v>
      </c>
      <c r="B3" s="119"/>
      <c r="C3" s="120"/>
      <c r="D3" s="121"/>
    </row>
    <row r="4" spans="1:6" ht="66" customHeight="1" x14ac:dyDescent="0.25">
      <c r="A4" s="122" t="s">
        <v>0</v>
      </c>
      <c r="B4" s="123"/>
      <c r="C4" s="123"/>
      <c r="D4" s="124"/>
      <c r="E4" s="2"/>
    </row>
    <row r="5" spans="1:6" ht="58.75" customHeight="1" x14ac:dyDescent="0.25">
      <c r="A5" s="122" t="s">
        <v>32</v>
      </c>
      <c r="B5" s="125"/>
      <c r="C5" s="123"/>
      <c r="D5" s="124"/>
      <c r="E5" s="126"/>
      <c r="F5" s="126"/>
    </row>
    <row r="6" spans="1:6" ht="36.65" customHeight="1" x14ac:dyDescent="0.25">
      <c r="A6" s="127" t="s">
        <v>33</v>
      </c>
      <c r="B6" s="125"/>
      <c r="C6" s="128"/>
      <c r="D6" s="129"/>
    </row>
    <row r="7" spans="1:6" ht="126.65" customHeight="1" x14ac:dyDescent="0.25">
      <c r="A7" s="122" t="s">
        <v>34</v>
      </c>
      <c r="B7" s="123"/>
      <c r="C7" s="123"/>
      <c r="D7" s="124"/>
    </row>
    <row r="8" spans="1:6" ht="18.649999999999999" customHeight="1" x14ac:dyDescent="0.25">
      <c r="A8" s="127" t="s">
        <v>35</v>
      </c>
      <c r="B8" s="128"/>
      <c r="C8" s="128"/>
      <c r="D8" s="129"/>
    </row>
    <row r="9" spans="1:6" ht="60.65" customHeight="1" x14ac:dyDescent="0.25">
      <c r="A9" s="122" t="s">
        <v>4</v>
      </c>
      <c r="B9" s="123"/>
      <c r="C9" s="123"/>
      <c r="D9" s="124"/>
    </row>
    <row r="10" spans="1:6" ht="57.65" customHeight="1" x14ac:dyDescent="0.25">
      <c r="A10" s="122" t="s">
        <v>36</v>
      </c>
      <c r="B10" s="123"/>
      <c r="C10" s="123"/>
      <c r="D10" s="124"/>
      <c r="E10" s="111"/>
      <c r="F10" s="111"/>
    </row>
    <row r="11" spans="1:6" ht="56.4" customHeight="1" x14ac:dyDescent="0.25">
      <c r="A11" s="122" t="s">
        <v>1</v>
      </c>
      <c r="B11" s="123"/>
      <c r="C11" s="123"/>
      <c r="D11" s="124"/>
      <c r="E11" s="136"/>
      <c r="F11" s="136"/>
    </row>
    <row r="12" spans="1:6" ht="69" customHeight="1" x14ac:dyDescent="0.25">
      <c r="A12" s="130" t="s">
        <v>37</v>
      </c>
      <c r="B12" s="131"/>
      <c r="C12" s="131"/>
      <c r="D12" s="132"/>
      <c r="E12" s="17"/>
    </row>
    <row r="13" spans="1:6" ht="37.75" customHeight="1" x14ac:dyDescent="0.25">
      <c r="A13" s="137" t="s">
        <v>38</v>
      </c>
      <c r="B13" s="138"/>
      <c r="C13" s="138"/>
      <c r="D13" s="139"/>
    </row>
    <row r="14" spans="1:6" ht="34.25" customHeight="1" x14ac:dyDescent="0.25">
      <c r="A14" s="140" t="s">
        <v>2</v>
      </c>
      <c r="B14" s="141"/>
      <c r="C14" s="141"/>
      <c r="D14" s="142"/>
    </row>
    <row r="15" spans="1:6" ht="55.75" customHeight="1" x14ac:dyDescent="0.25">
      <c r="A15" s="140" t="s">
        <v>39</v>
      </c>
      <c r="B15" s="141"/>
      <c r="C15" s="141"/>
      <c r="D15" s="142"/>
    </row>
    <row r="16" spans="1:6" ht="52.25" customHeight="1" x14ac:dyDescent="0.25">
      <c r="A16" s="130" t="s">
        <v>40</v>
      </c>
      <c r="B16" s="131"/>
      <c r="C16" s="131"/>
      <c r="D16" s="132"/>
    </row>
    <row r="17" spans="1:4" ht="62.4" customHeight="1" thickBot="1" x14ac:dyDescent="0.3">
      <c r="A17" s="133" t="s">
        <v>41</v>
      </c>
      <c r="B17" s="134"/>
      <c r="C17" s="134"/>
      <c r="D17" s="135"/>
    </row>
  </sheetData>
  <mergeCells count="20">
    <mergeCell ref="A16:D16"/>
    <mergeCell ref="A17:D17"/>
    <mergeCell ref="A11:D11"/>
    <mergeCell ref="E11:F11"/>
    <mergeCell ref="A12:D12"/>
    <mergeCell ref="A13:D13"/>
    <mergeCell ref="A14:D14"/>
    <mergeCell ref="A15:D15"/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FADE-65AC-439E-8460-0D703845885D}">
  <dimension ref="A1:AR7"/>
  <sheetViews>
    <sheetView showGridLines="0" zoomScale="90" zoomScaleNormal="90" workbookViewId="0">
      <selection activeCell="K7" sqref="K7"/>
    </sheetView>
  </sheetViews>
  <sheetFormatPr baseColWidth="10" defaultColWidth="11.54296875" defaultRowHeight="13.5" x14ac:dyDescent="0.25"/>
  <cols>
    <col min="1" max="1" width="48.90625" style="20" customWidth="1"/>
    <col min="2" max="2" width="13.08984375" style="20" hidden="1" customWidth="1"/>
    <col min="3" max="3" width="13.08984375" style="20" customWidth="1"/>
    <col min="4" max="4" width="26.36328125" style="20" customWidth="1"/>
    <col min="5" max="5" width="11.453125" style="19" customWidth="1"/>
    <col min="6" max="6" width="24.08984375" style="20" customWidth="1"/>
    <col min="7" max="7" width="11.6328125" style="19" customWidth="1"/>
    <col min="8" max="8" width="35.453125" style="20" customWidth="1"/>
    <col min="9" max="9" width="11.6328125" style="19" customWidth="1"/>
    <col min="10" max="10" width="36.36328125" style="20" customWidth="1"/>
    <col min="11" max="11" width="11.6328125" style="19" customWidth="1"/>
    <col min="12" max="12" width="28.08984375" style="20" customWidth="1"/>
    <col min="13" max="13" width="11.6328125" style="19" customWidth="1"/>
    <col min="14" max="14" width="5.90625" style="19" customWidth="1"/>
    <col min="15" max="16" width="11.453125" style="19" hidden="1" customWidth="1"/>
    <col min="17" max="44" width="11.453125" style="19" customWidth="1"/>
    <col min="45" max="16384" width="11.54296875" style="20"/>
  </cols>
  <sheetData>
    <row r="1" spans="1:16" ht="17.5" x14ac:dyDescent="0.25">
      <c r="A1" s="143" t="s">
        <v>48</v>
      </c>
      <c r="B1" s="144"/>
      <c r="C1" s="144"/>
      <c r="D1" s="145"/>
      <c r="F1" s="19" t="s">
        <v>54</v>
      </c>
      <c r="H1" s="19"/>
      <c r="J1" s="19" t="s">
        <v>54</v>
      </c>
      <c r="L1" s="19"/>
    </row>
    <row r="2" spans="1:16" ht="17.5" x14ac:dyDescent="0.25">
      <c r="A2" s="146"/>
      <c r="B2" s="146"/>
      <c r="C2" s="146"/>
      <c r="D2" s="146"/>
      <c r="F2" s="19"/>
      <c r="H2" s="19"/>
      <c r="J2" s="19"/>
      <c r="L2" s="19"/>
    </row>
    <row r="3" spans="1:16" ht="17.5" x14ac:dyDescent="0.25">
      <c r="A3" s="143" t="s">
        <v>43</v>
      </c>
      <c r="B3" s="144"/>
      <c r="C3" s="144"/>
      <c r="D3" s="147"/>
      <c r="F3" s="19"/>
      <c r="H3" s="19"/>
      <c r="J3" s="19"/>
      <c r="L3" s="19"/>
    </row>
    <row r="4" spans="1:16" ht="23.4" customHeight="1" x14ac:dyDescent="0.25">
      <c r="A4" s="28" t="s">
        <v>3</v>
      </c>
      <c r="B4" s="28" t="s">
        <v>14</v>
      </c>
      <c r="C4" s="28" t="s">
        <v>14</v>
      </c>
      <c r="D4" s="35" t="s">
        <v>51</v>
      </c>
      <c r="E4" s="35" t="s">
        <v>42</v>
      </c>
      <c r="F4" s="39" t="s">
        <v>52</v>
      </c>
      <c r="G4" s="39" t="s">
        <v>42</v>
      </c>
      <c r="H4" s="33" t="s">
        <v>53</v>
      </c>
      <c r="I4" s="33" t="s">
        <v>42</v>
      </c>
      <c r="J4" s="37" t="s">
        <v>55</v>
      </c>
      <c r="K4" s="37" t="s">
        <v>42</v>
      </c>
      <c r="L4" s="32" t="s">
        <v>56</v>
      </c>
      <c r="M4" s="32" t="s">
        <v>42</v>
      </c>
    </row>
    <row r="5" spans="1:16" s="19" customFormat="1" ht="195.5" x14ac:dyDescent="0.25">
      <c r="A5" s="21" t="s">
        <v>49</v>
      </c>
      <c r="B5" s="29">
        <v>27</v>
      </c>
      <c r="C5" s="53">
        <f>+P5</f>
        <v>200</v>
      </c>
      <c r="D5" s="30" t="s">
        <v>67</v>
      </c>
      <c r="E5" s="52">
        <f>15000000*C5/30000000</f>
        <v>100</v>
      </c>
      <c r="F5" s="45" t="s">
        <v>73</v>
      </c>
      <c r="G5" s="50">
        <v>200</v>
      </c>
      <c r="H5" s="46" t="s">
        <v>77</v>
      </c>
      <c r="I5" s="50">
        <f>15000000*C5/30000000</f>
        <v>100</v>
      </c>
      <c r="J5" s="49" t="s">
        <v>88</v>
      </c>
      <c r="K5" s="50">
        <f>5000000*C5/30000000</f>
        <v>33.333333333333336</v>
      </c>
      <c r="L5" s="45" t="s">
        <v>85</v>
      </c>
      <c r="M5" s="50">
        <f>20471400*C5/30000000</f>
        <v>136.476</v>
      </c>
      <c r="O5" s="41">
        <f>+B5/B7</f>
        <v>0.5</v>
      </c>
      <c r="P5" s="19">
        <f>+P7*O5</f>
        <v>200</v>
      </c>
    </row>
    <row r="6" spans="1:16" s="19" customFormat="1" ht="175.5" x14ac:dyDescent="0.25">
      <c r="A6" s="21" t="s">
        <v>50</v>
      </c>
      <c r="B6" s="29">
        <v>27</v>
      </c>
      <c r="C6" s="53">
        <f>+P6</f>
        <v>200</v>
      </c>
      <c r="D6" s="30" t="s">
        <v>68</v>
      </c>
      <c r="E6" s="52">
        <v>200</v>
      </c>
      <c r="F6" s="45" t="s">
        <v>74</v>
      </c>
      <c r="G6" s="50">
        <v>200</v>
      </c>
      <c r="H6" s="46" t="s">
        <v>78</v>
      </c>
      <c r="I6" s="50">
        <v>200</v>
      </c>
      <c r="J6" s="104" t="s">
        <v>89</v>
      </c>
      <c r="K6" s="50">
        <v>200</v>
      </c>
      <c r="L6" s="45" t="s">
        <v>68</v>
      </c>
      <c r="M6" s="50">
        <v>200</v>
      </c>
      <c r="O6" s="41">
        <f>+B6/B7</f>
        <v>0.5</v>
      </c>
      <c r="P6" s="19">
        <f>+P7*O6</f>
        <v>200</v>
      </c>
    </row>
    <row r="7" spans="1:16" s="19" customFormat="1" ht="23.4" customHeight="1" x14ac:dyDescent="0.25">
      <c r="A7" s="23" t="s">
        <v>8</v>
      </c>
      <c r="B7" s="31">
        <f>SUM(B5:B6)</f>
        <v>54</v>
      </c>
      <c r="C7" s="31">
        <f>SUM(C5:C6)</f>
        <v>400</v>
      </c>
      <c r="D7" s="36" t="s">
        <v>8</v>
      </c>
      <c r="E7" s="54">
        <f>SUM(E1:E6)</f>
        <v>300</v>
      </c>
      <c r="F7" s="40" t="s">
        <v>8</v>
      </c>
      <c r="G7" s="55">
        <f>SUM(G1:G6)</f>
        <v>400</v>
      </c>
      <c r="H7" s="34" t="s">
        <v>8</v>
      </c>
      <c r="I7" s="56">
        <f>SUM(I1:I6)</f>
        <v>300</v>
      </c>
      <c r="J7" s="38" t="s">
        <v>8</v>
      </c>
      <c r="K7" s="57">
        <f>SUM(K1:K6)</f>
        <v>233.33333333333334</v>
      </c>
      <c r="L7" s="32" t="s">
        <v>8</v>
      </c>
      <c r="M7" s="58">
        <f>SUM(M1:M6)</f>
        <v>336.476</v>
      </c>
      <c r="P7" s="19">
        <v>400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0E65-656C-47C6-951F-5F47E6F74888}">
  <dimension ref="A1:AR8"/>
  <sheetViews>
    <sheetView showGridLines="0" topLeftCell="C6" zoomScale="90" zoomScaleNormal="90" workbookViewId="0">
      <selection activeCell="J9" sqref="J9"/>
    </sheetView>
  </sheetViews>
  <sheetFormatPr baseColWidth="10" defaultColWidth="11.54296875" defaultRowHeight="13.5" x14ac:dyDescent="0.25"/>
  <cols>
    <col min="1" max="1" width="46.54296875" style="20" customWidth="1"/>
    <col min="2" max="2" width="16.453125" style="20" hidden="1" customWidth="1"/>
    <col min="3" max="3" width="16.453125" style="20" customWidth="1"/>
    <col min="4" max="4" width="29.6328125" style="20" customWidth="1"/>
    <col min="5" max="5" width="11.453125" style="19" customWidth="1"/>
    <col min="6" max="6" width="27.6328125" style="20" customWidth="1"/>
    <col min="7" max="7" width="11.6328125" style="19" customWidth="1"/>
    <col min="8" max="8" width="28.36328125" style="20" customWidth="1"/>
    <col min="9" max="9" width="11.6328125" style="19" customWidth="1"/>
    <col min="10" max="10" width="31.81640625" style="48" customWidth="1"/>
    <col min="11" max="11" width="11.6328125" style="19" customWidth="1"/>
    <col min="12" max="12" width="24.08984375" style="20" customWidth="1"/>
    <col min="13" max="13" width="11.6328125" style="19" customWidth="1"/>
    <col min="14" max="14" width="5" style="19" customWidth="1"/>
    <col min="15" max="16" width="11.453125" style="19" hidden="1" customWidth="1"/>
    <col min="17" max="44" width="11.453125" style="19" customWidth="1"/>
    <col min="45" max="16384" width="11.54296875" style="20"/>
  </cols>
  <sheetData>
    <row r="1" spans="1:16" ht="17.5" x14ac:dyDescent="0.25">
      <c r="A1" s="148" t="s">
        <v>60</v>
      </c>
      <c r="B1" s="148"/>
      <c r="C1" s="148"/>
      <c r="D1" s="148"/>
      <c r="F1" s="19" t="s">
        <v>54</v>
      </c>
      <c r="H1" s="19"/>
      <c r="J1" s="47" t="s">
        <v>54</v>
      </c>
      <c r="L1" s="19"/>
    </row>
    <row r="2" spans="1:16" ht="17.5" x14ac:dyDescent="0.25">
      <c r="A2" s="149"/>
      <c r="B2" s="149"/>
      <c r="C2" s="149"/>
      <c r="D2" s="149"/>
      <c r="F2" s="19"/>
      <c r="H2" s="19"/>
      <c r="J2" s="47"/>
      <c r="L2" s="19"/>
    </row>
    <row r="3" spans="1:16" ht="27" customHeight="1" x14ac:dyDescent="0.25">
      <c r="A3" s="148" t="s">
        <v>43</v>
      </c>
      <c r="B3" s="148"/>
      <c r="C3" s="148"/>
      <c r="D3" s="148"/>
      <c r="F3" s="19"/>
      <c r="H3" s="19"/>
      <c r="J3" s="47"/>
      <c r="L3" s="19"/>
    </row>
    <row r="4" spans="1:16" ht="27.65" customHeight="1" x14ac:dyDescent="0.25">
      <c r="A4" s="28" t="s">
        <v>3</v>
      </c>
      <c r="B4" s="28" t="s">
        <v>14</v>
      </c>
      <c r="C4" s="28" t="s">
        <v>14</v>
      </c>
      <c r="D4" s="35" t="s">
        <v>51</v>
      </c>
      <c r="E4" s="35" t="s">
        <v>42</v>
      </c>
      <c r="F4" s="39" t="s">
        <v>52</v>
      </c>
      <c r="G4" s="39" t="s">
        <v>42</v>
      </c>
      <c r="H4" s="33" t="s">
        <v>53</v>
      </c>
      <c r="I4" s="33" t="s">
        <v>42</v>
      </c>
      <c r="J4" s="37" t="s">
        <v>55</v>
      </c>
      <c r="K4" s="37" t="s">
        <v>42</v>
      </c>
      <c r="L4" s="32" t="s">
        <v>56</v>
      </c>
      <c r="M4" s="32" t="s">
        <v>42</v>
      </c>
    </row>
    <row r="5" spans="1:16" s="19" customFormat="1" ht="298.75" customHeight="1" x14ac:dyDescent="0.25">
      <c r="A5" s="22" t="s">
        <v>61</v>
      </c>
      <c r="B5" s="29">
        <v>18</v>
      </c>
      <c r="C5" s="53">
        <f>+P5</f>
        <v>133.33333333333331</v>
      </c>
      <c r="D5" s="44" t="s">
        <v>68</v>
      </c>
      <c r="E5" s="52">
        <f>+C5</f>
        <v>133.33333333333331</v>
      </c>
      <c r="F5" s="45" t="s">
        <v>74</v>
      </c>
      <c r="G5" s="50">
        <f>+C5</f>
        <v>133.33333333333331</v>
      </c>
      <c r="H5" s="46" t="s">
        <v>79</v>
      </c>
      <c r="I5" s="50">
        <f>+C5</f>
        <v>133.33333333333331</v>
      </c>
      <c r="J5" s="45" t="s">
        <v>90</v>
      </c>
      <c r="K5" s="50">
        <f>+C5</f>
        <v>133.33333333333331</v>
      </c>
      <c r="L5" s="45" t="s">
        <v>68</v>
      </c>
      <c r="M5" s="50">
        <f>+C5</f>
        <v>133.33333333333331</v>
      </c>
      <c r="O5" s="41">
        <f>+B5/$B$8</f>
        <v>0.33333333333333331</v>
      </c>
      <c r="P5" s="42">
        <f>+P8*O5</f>
        <v>133.33333333333331</v>
      </c>
    </row>
    <row r="6" spans="1:16" s="19" customFormat="1" ht="388.75" customHeight="1" x14ac:dyDescent="0.25">
      <c r="A6" s="22" t="s">
        <v>49</v>
      </c>
      <c r="B6" s="29">
        <v>18</v>
      </c>
      <c r="C6" s="53">
        <f>+P6</f>
        <v>133.33333333333331</v>
      </c>
      <c r="D6" s="44" t="s">
        <v>69</v>
      </c>
      <c r="E6" s="52">
        <f>10000000*C6/17059500</f>
        <v>78.157820178395227</v>
      </c>
      <c r="F6" s="45" t="s">
        <v>75</v>
      </c>
      <c r="G6" s="50">
        <f>15000000*C6/17059500</f>
        <v>117.23673026759282</v>
      </c>
      <c r="H6" s="46" t="s">
        <v>80</v>
      </c>
      <c r="I6" s="50">
        <f>10000000*C6/17059500</f>
        <v>78.157820178395227</v>
      </c>
      <c r="J6" s="45" t="s">
        <v>91</v>
      </c>
      <c r="K6" s="50">
        <f>7000000*C6/17059500</f>
        <v>54.710474124876654</v>
      </c>
      <c r="L6" s="45" t="s">
        <v>86</v>
      </c>
      <c r="M6" s="50">
        <f>+C6</f>
        <v>133.33333333333331</v>
      </c>
      <c r="O6" s="41">
        <f t="shared" ref="O6:O7" si="0">+B6/$B$8</f>
        <v>0.33333333333333331</v>
      </c>
      <c r="P6" s="42">
        <f>+P8*O6</f>
        <v>133.33333333333331</v>
      </c>
    </row>
    <row r="7" spans="1:16" s="19" customFormat="1" ht="240.65" customHeight="1" x14ac:dyDescent="0.25">
      <c r="A7" s="22" t="s">
        <v>50</v>
      </c>
      <c r="B7" s="29">
        <v>18</v>
      </c>
      <c r="C7" s="29">
        <f>+P7</f>
        <v>133.33333333333331</v>
      </c>
      <c r="D7" s="44" t="s">
        <v>68</v>
      </c>
      <c r="E7" s="51">
        <f>+C7</f>
        <v>133.33333333333331</v>
      </c>
      <c r="F7" s="45" t="s">
        <v>74</v>
      </c>
      <c r="G7" s="50">
        <f>+C7</f>
        <v>133.33333333333331</v>
      </c>
      <c r="H7" s="46" t="s">
        <v>81</v>
      </c>
      <c r="I7" s="50">
        <f>+C7</f>
        <v>133.33333333333331</v>
      </c>
      <c r="J7" s="45" t="s">
        <v>89</v>
      </c>
      <c r="K7" s="50">
        <f>+C7</f>
        <v>133.33333333333331</v>
      </c>
      <c r="L7" s="45" t="s">
        <v>68</v>
      </c>
      <c r="M7" s="50">
        <f>+C7</f>
        <v>133.33333333333331</v>
      </c>
      <c r="O7" s="41">
        <f t="shared" si="0"/>
        <v>0.33333333333333331</v>
      </c>
      <c r="P7" s="42">
        <f>+P8*O7</f>
        <v>133.33333333333331</v>
      </c>
    </row>
    <row r="8" spans="1:16" s="19" customFormat="1" ht="19.25" customHeight="1" x14ac:dyDescent="0.25">
      <c r="A8" s="23" t="s">
        <v>8</v>
      </c>
      <c r="B8" s="31">
        <f>SUM(B5:B7)</f>
        <v>54</v>
      </c>
      <c r="C8" s="31">
        <f>SUM(C5:C7)</f>
        <v>399.99999999999994</v>
      </c>
      <c r="D8" s="36" t="s">
        <v>8</v>
      </c>
      <c r="E8" s="54">
        <f>SUM(E5:E7)</f>
        <v>344.82448684506187</v>
      </c>
      <c r="F8" s="40" t="s">
        <v>8</v>
      </c>
      <c r="G8" s="55">
        <f>SUM(G5:G7)</f>
        <v>383.90339693425943</v>
      </c>
      <c r="H8" s="34" t="s">
        <v>8</v>
      </c>
      <c r="I8" s="56">
        <f>SUM(I5:I7)</f>
        <v>344.82448684506187</v>
      </c>
      <c r="J8" s="38" t="s">
        <v>8</v>
      </c>
      <c r="K8" s="57">
        <f>SUM(K5:K7)</f>
        <v>321.3771407915433</v>
      </c>
      <c r="L8" s="32" t="s">
        <v>8</v>
      </c>
      <c r="M8" s="58">
        <f>SUM(M5:M7)</f>
        <v>399.99999999999994</v>
      </c>
      <c r="P8" s="19">
        <v>400</v>
      </c>
    </row>
  </sheetData>
  <mergeCells count="3">
    <mergeCell ref="A1:D1"/>
    <mergeCell ref="A2:D2"/>
    <mergeCell ref="A3:D3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F8EA-DF78-4559-BF3C-69DF629A9684}">
  <dimension ref="A1:AR8"/>
  <sheetViews>
    <sheetView showGridLines="0" topLeftCell="C6" zoomScale="80" zoomScaleNormal="80" workbookViewId="0">
      <selection activeCell="G8" sqref="G8"/>
    </sheetView>
  </sheetViews>
  <sheetFormatPr baseColWidth="10" defaultColWidth="11.54296875" defaultRowHeight="13.5" x14ac:dyDescent="0.25"/>
  <cols>
    <col min="1" max="1" width="45.6328125" style="20" customWidth="1"/>
    <col min="2" max="2" width="16.453125" style="20" hidden="1" customWidth="1"/>
    <col min="3" max="3" width="16.453125" style="20" customWidth="1"/>
    <col min="4" max="4" width="28.1796875" style="20" customWidth="1"/>
    <col min="5" max="5" width="11.453125" style="19" customWidth="1"/>
    <col min="6" max="6" width="26.36328125" style="19" customWidth="1"/>
    <col min="7" max="7" width="11.453125" style="19" customWidth="1"/>
    <col min="8" max="8" width="29" style="19" customWidth="1"/>
    <col min="9" max="9" width="11.453125" style="19" customWidth="1"/>
    <col min="10" max="10" width="34" style="19" customWidth="1"/>
    <col min="11" max="11" width="11.453125" style="19" customWidth="1"/>
    <col min="12" max="12" width="24.81640625" style="19" customWidth="1"/>
    <col min="13" max="13" width="11.453125" style="19" customWidth="1"/>
    <col min="14" max="14" width="5.36328125" style="19" customWidth="1"/>
    <col min="15" max="16" width="11.453125" style="19" hidden="1" customWidth="1"/>
    <col min="17" max="44" width="11.453125" style="19" customWidth="1"/>
    <col min="45" max="16384" width="11.54296875" style="20"/>
  </cols>
  <sheetData>
    <row r="1" spans="1:44" ht="17.5" x14ac:dyDescent="0.25">
      <c r="A1" s="148" t="s">
        <v>62</v>
      </c>
      <c r="B1" s="148"/>
      <c r="C1" s="148"/>
      <c r="D1" s="148"/>
    </row>
    <row r="2" spans="1:44" ht="17.5" x14ac:dyDescent="0.25">
      <c r="A2" s="149"/>
      <c r="B2" s="149"/>
      <c r="C2" s="149"/>
      <c r="D2" s="149"/>
    </row>
    <row r="3" spans="1:44" ht="17.5" x14ac:dyDescent="0.25">
      <c r="A3" s="148" t="s">
        <v>43</v>
      </c>
      <c r="B3" s="148"/>
      <c r="C3" s="148"/>
      <c r="D3" s="148"/>
    </row>
    <row r="4" spans="1:44" s="77" customFormat="1" ht="29.4" customHeight="1" x14ac:dyDescent="0.25">
      <c r="A4" s="72" t="s">
        <v>3</v>
      </c>
      <c r="B4" s="72" t="s">
        <v>14</v>
      </c>
      <c r="C4" s="72" t="s">
        <v>14</v>
      </c>
      <c r="D4" s="73" t="s">
        <v>51</v>
      </c>
      <c r="E4" s="73" t="s">
        <v>42</v>
      </c>
      <c r="F4" s="74" t="s">
        <v>52</v>
      </c>
      <c r="G4" s="74" t="s">
        <v>42</v>
      </c>
      <c r="H4" s="75" t="s">
        <v>53</v>
      </c>
      <c r="I4" s="75" t="s">
        <v>42</v>
      </c>
      <c r="J4" s="76" t="s">
        <v>55</v>
      </c>
      <c r="K4" s="76" t="s">
        <v>42</v>
      </c>
      <c r="L4" s="69" t="s">
        <v>56</v>
      </c>
      <c r="M4" s="69" t="s">
        <v>42</v>
      </c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</row>
    <row r="5" spans="1:44" s="19" customFormat="1" ht="181.25" customHeight="1" x14ac:dyDescent="0.25">
      <c r="A5" s="21" t="s">
        <v>63</v>
      </c>
      <c r="B5" s="29">
        <v>18</v>
      </c>
      <c r="C5" s="53">
        <f>+P5</f>
        <v>133.33333333333331</v>
      </c>
      <c r="D5" s="44" t="s">
        <v>70</v>
      </c>
      <c r="E5" s="52">
        <f>+C5</f>
        <v>133.33333333333331</v>
      </c>
      <c r="F5" s="45" t="s">
        <v>74</v>
      </c>
      <c r="G5" s="50">
        <f>+C5</f>
        <v>133.33333333333331</v>
      </c>
      <c r="H5" s="46" t="s">
        <v>82</v>
      </c>
      <c r="I5" s="50">
        <f>+C5</f>
        <v>133.33333333333331</v>
      </c>
      <c r="J5" s="46" t="s">
        <v>92</v>
      </c>
      <c r="K5" s="50">
        <f>+C5</f>
        <v>133.33333333333331</v>
      </c>
      <c r="L5" s="45" t="s">
        <v>68</v>
      </c>
      <c r="M5" s="50">
        <f>+C5</f>
        <v>133.33333333333331</v>
      </c>
      <c r="O5" s="43">
        <f>+B5/$B$8</f>
        <v>0.33333333333333331</v>
      </c>
      <c r="P5" s="19">
        <f>+$P$8*O5</f>
        <v>133.33333333333331</v>
      </c>
    </row>
    <row r="6" spans="1:44" s="19" customFormat="1" ht="267.64999999999998" customHeight="1" x14ac:dyDescent="0.25">
      <c r="A6" s="21" t="s">
        <v>64</v>
      </c>
      <c r="B6" s="29">
        <v>18</v>
      </c>
      <c r="C6" s="53">
        <f>+P6</f>
        <v>133.33333333333331</v>
      </c>
      <c r="D6" s="44" t="s">
        <v>71</v>
      </c>
      <c r="E6" s="52">
        <f>+C6</f>
        <v>133.33333333333331</v>
      </c>
      <c r="F6" s="45" t="s">
        <v>74</v>
      </c>
      <c r="G6" s="50">
        <f>+C6</f>
        <v>133.33333333333331</v>
      </c>
      <c r="H6" s="46" t="s">
        <v>83</v>
      </c>
      <c r="I6" s="50">
        <f>+C6</f>
        <v>133.33333333333331</v>
      </c>
      <c r="J6" s="46" t="s">
        <v>93</v>
      </c>
      <c r="K6" s="50">
        <f>+C6</f>
        <v>133.33333333333331</v>
      </c>
      <c r="L6" s="45" t="s">
        <v>68</v>
      </c>
      <c r="M6" s="50">
        <f>+C6</f>
        <v>133.33333333333331</v>
      </c>
      <c r="O6" s="43">
        <f t="shared" ref="O6:O7" si="0">+B6/$B$8</f>
        <v>0.33333333333333331</v>
      </c>
      <c r="P6" s="19">
        <f t="shared" ref="P6:P7" si="1">+$P$8*O6</f>
        <v>133.33333333333331</v>
      </c>
    </row>
    <row r="7" spans="1:44" s="19" customFormat="1" ht="208.25" customHeight="1" x14ac:dyDescent="0.25">
      <c r="A7" s="21" t="s">
        <v>65</v>
      </c>
      <c r="B7" s="29">
        <v>18</v>
      </c>
      <c r="C7" s="53">
        <f>+P7</f>
        <v>133.33333333333331</v>
      </c>
      <c r="D7" s="44" t="s">
        <v>72</v>
      </c>
      <c r="E7" s="52">
        <f>+C7</f>
        <v>133.33333333333331</v>
      </c>
      <c r="F7" s="45" t="s">
        <v>76</v>
      </c>
      <c r="G7" s="50">
        <f>6600*C7/10000</f>
        <v>87.999999999999986</v>
      </c>
      <c r="H7" s="46" t="s">
        <v>84</v>
      </c>
      <c r="I7" s="50">
        <f>1800*C7/10000</f>
        <v>23.999999999999996</v>
      </c>
      <c r="J7" s="45" t="s">
        <v>94</v>
      </c>
      <c r="K7" s="50">
        <f>400000*C7/10000000</f>
        <v>5.333333333333333</v>
      </c>
      <c r="L7" s="45" t="s">
        <v>87</v>
      </c>
      <c r="M7" s="50">
        <f>+C7</f>
        <v>133.33333333333331</v>
      </c>
      <c r="O7" s="43">
        <f t="shared" si="0"/>
        <v>0.33333333333333331</v>
      </c>
      <c r="P7" s="19">
        <f t="shared" si="1"/>
        <v>133.33333333333331</v>
      </c>
    </row>
    <row r="8" spans="1:44" s="71" customFormat="1" ht="16.75" customHeight="1" x14ac:dyDescent="0.25">
      <c r="A8" s="59" t="s">
        <v>8</v>
      </c>
      <c r="B8" s="60">
        <f>SUM(B5:B7)</f>
        <v>54</v>
      </c>
      <c r="C8" s="60">
        <f>SUM(C5:C7)</f>
        <v>399.99999999999994</v>
      </c>
      <c r="D8" s="61" t="s">
        <v>8</v>
      </c>
      <c r="E8" s="62">
        <f>SUM(E5:E7)</f>
        <v>399.99999999999994</v>
      </c>
      <c r="F8" s="63" t="s">
        <v>8</v>
      </c>
      <c r="G8" s="64">
        <f>SUM(G5:G7)</f>
        <v>354.66666666666663</v>
      </c>
      <c r="H8" s="65" t="s">
        <v>8</v>
      </c>
      <c r="I8" s="66">
        <f>SUM(I5:I7)</f>
        <v>290.66666666666663</v>
      </c>
      <c r="J8" s="67" t="s">
        <v>8</v>
      </c>
      <c r="K8" s="68">
        <f>SUM(K5:K7)</f>
        <v>271.99999999999994</v>
      </c>
      <c r="L8" s="69" t="s">
        <v>8</v>
      </c>
      <c r="M8" s="70">
        <f>SUM(M5:M7)</f>
        <v>399.99999999999994</v>
      </c>
      <c r="P8" s="71">
        <v>400</v>
      </c>
    </row>
  </sheetData>
  <mergeCells count="3">
    <mergeCell ref="A1:D1"/>
    <mergeCell ref="A2:D2"/>
    <mergeCell ref="A3:D3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F227-49D1-4DCF-A2F8-614F247B043D}">
  <dimension ref="A2:E48"/>
  <sheetViews>
    <sheetView showGridLines="0" zoomScaleNormal="100" workbookViewId="0">
      <selection activeCell="E32" sqref="E32"/>
    </sheetView>
  </sheetViews>
  <sheetFormatPr baseColWidth="10" defaultRowHeight="12.5" x14ac:dyDescent="0.25"/>
  <cols>
    <col min="1" max="1" width="33.81640625" customWidth="1"/>
    <col min="2" max="2" width="42.1796875" bestFit="1" customWidth="1"/>
    <col min="3" max="3" width="23.81640625" customWidth="1"/>
    <col min="4" max="4" width="13" customWidth="1"/>
    <col min="5" max="5" width="11.08984375" customWidth="1"/>
  </cols>
  <sheetData>
    <row r="2" spans="1:5" ht="38.25" customHeight="1" x14ac:dyDescent="0.25">
      <c r="A2" s="156" t="s">
        <v>44</v>
      </c>
      <c r="B2" s="156"/>
      <c r="C2" s="156"/>
      <c r="D2" s="156"/>
      <c r="E2" s="156"/>
    </row>
    <row r="3" spans="1:5" ht="25.5" customHeight="1" x14ac:dyDescent="0.25">
      <c r="A3" s="152" t="s">
        <v>95</v>
      </c>
      <c r="B3" s="152"/>
      <c r="C3" s="152"/>
      <c r="D3" s="152"/>
      <c r="E3" s="152"/>
    </row>
    <row r="4" spans="1:5" x14ac:dyDescent="0.25">
      <c r="A4" s="153" t="s">
        <v>9</v>
      </c>
      <c r="B4" s="153" t="s">
        <v>10</v>
      </c>
      <c r="C4" s="154" t="s">
        <v>11</v>
      </c>
      <c r="D4" s="154" t="s">
        <v>12</v>
      </c>
      <c r="E4" s="155" t="s">
        <v>13</v>
      </c>
    </row>
    <row r="5" spans="1:5" x14ac:dyDescent="0.25">
      <c r="A5" s="153"/>
      <c r="B5" s="153"/>
      <c r="C5" s="154"/>
      <c r="D5" s="154"/>
      <c r="E5" s="155"/>
    </row>
    <row r="6" spans="1:5" ht="15.65" customHeight="1" x14ac:dyDescent="0.3">
      <c r="A6" s="150" t="s">
        <v>51</v>
      </c>
      <c r="B6" s="3" t="s">
        <v>57</v>
      </c>
      <c r="C6" s="89">
        <f>+VGD!E7</f>
        <v>300</v>
      </c>
      <c r="D6" s="4">
        <v>0.1</v>
      </c>
      <c r="E6" s="89">
        <f>+C6*D6</f>
        <v>30</v>
      </c>
    </row>
    <row r="7" spans="1:5" ht="15.65" customHeight="1" x14ac:dyDescent="0.3">
      <c r="A7" s="150"/>
      <c r="B7" s="3" t="s">
        <v>58</v>
      </c>
      <c r="C7" s="89">
        <f>+'VG EMP. CONVENCIONADOS'!E8</f>
        <v>344.82448684506187</v>
      </c>
      <c r="D7" s="4">
        <v>0.75</v>
      </c>
      <c r="E7" s="89">
        <f t="shared" ref="E7:E8" si="0">+C7*D7</f>
        <v>258.61836513379637</v>
      </c>
    </row>
    <row r="8" spans="1:5" ht="15.65" customHeight="1" x14ac:dyDescent="0.3">
      <c r="A8" s="150"/>
      <c r="B8" s="3" t="s">
        <v>59</v>
      </c>
      <c r="C8" s="89">
        <f>+'VG DIRECTIVOS'!E8</f>
        <v>399.99999999999994</v>
      </c>
      <c r="D8" s="4">
        <v>0.15</v>
      </c>
      <c r="E8" s="89">
        <f t="shared" si="0"/>
        <v>59.999999999999986</v>
      </c>
    </row>
    <row r="9" spans="1:5" ht="15.65" customHeight="1" x14ac:dyDescent="0.25">
      <c r="A9" s="151" t="s">
        <v>8</v>
      </c>
      <c r="B9" s="151"/>
      <c r="C9" s="151"/>
      <c r="D9" s="151"/>
      <c r="E9" s="90">
        <f>SUM(E6:E8)</f>
        <v>348.61836513379637</v>
      </c>
    </row>
    <row r="13" spans="1:5" ht="25.5" customHeight="1" x14ac:dyDescent="0.25">
      <c r="A13" s="152" t="s">
        <v>95</v>
      </c>
      <c r="B13" s="152"/>
      <c r="C13" s="152"/>
      <c r="D13" s="152"/>
      <c r="E13" s="152"/>
    </row>
    <row r="14" spans="1:5" x14ac:dyDescent="0.25">
      <c r="A14" s="153" t="s">
        <v>9</v>
      </c>
      <c r="B14" s="153" t="s">
        <v>10</v>
      </c>
      <c r="C14" s="154" t="s">
        <v>11</v>
      </c>
      <c r="D14" s="154" t="s">
        <v>12</v>
      </c>
      <c r="E14" s="155" t="s">
        <v>13</v>
      </c>
    </row>
    <row r="15" spans="1:5" x14ac:dyDescent="0.25">
      <c r="A15" s="153"/>
      <c r="B15" s="153"/>
      <c r="C15" s="154"/>
      <c r="D15" s="154"/>
      <c r="E15" s="155"/>
    </row>
    <row r="16" spans="1:5" ht="15.65" customHeight="1" x14ac:dyDescent="0.3">
      <c r="A16" s="150" t="s">
        <v>52</v>
      </c>
      <c r="B16" s="3" t="s">
        <v>57</v>
      </c>
      <c r="C16" s="89">
        <f>+VGD!G7</f>
        <v>400</v>
      </c>
      <c r="D16" s="4">
        <v>0.1</v>
      </c>
      <c r="E16" s="89">
        <f>+C16*D16</f>
        <v>40</v>
      </c>
    </row>
    <row r="17" spans="1:5" ht="15.65" customHeight="1" x14ac:dyDescent="0.3">
      <c r="A17" s="150"/>
      <c r="B17" s="3" t="s">
        <v>58</v>
      </c>
      <c r="C17" s="89">
        <f>+'VG EMP. CONVENCIONADOS'!G8</f>
        <v>383.90339693425943</v>
      </c>
      <c r="D17" s="4">
        <v>0.75</v>
      </c>
      <c r="E17" s="89">
        <f>+C17*D17</f>
        <v>287.92754770069456</v>
      </c>
    </row>
    <row r="18" spans="1:5" ht="15.65" customHeight="1" x14ac:dyDescent="0.3">
      <c r="A18" s="150"/>
      <c r="B18" s="3" t="s">
        <v>59</v>
      </c>
      <c r="C18" s="89">
        <f>+'VG DIRECTIVOS'!G8</f>
        <v>354.66666666666663</v>
      </c>
      <c r="D18" s="4">
        <v>0.15</v>
      </c>
      <c r="E18" s="89">
        <f>+C18*D18</f>
        <v>53.199999999999996</v>
      </c>
    </row>
    <row r="19" spans="1:5" ht="15.65" customHeight="1" x14ac:dyDescent="0.25">
      <c r="A19" s="151" t="s">
        <v>8</v>
      </c>
      <c r="B19" s="151"/>
      <c r="C19" s="151"/>
      <c r="D19" s="151"/>
      <c r="E19" s="90">
        <f>SUM(E16:E18)</f>
        <v>381.12754770069455</v>
      </c>
    </row>
    <row r="23" spans="1:5" ht="25.5" customHeight="1" x14ac:dyDescent="0.25">
      <c r="A23" s="152" t="s">
        <v>95</v>
      </c>
      <c r="B23" s="152"/>
      <c r="C23" s="152"/>
      <c r="D23" s="152"/>
      <c r="E23" s="152"/>
    </row>
    <row r="24" spans="1:5" x14ac:dyDescent="0.25">
      <c r="A24" s="153" t="s">
        <v>9</v>
      </c>
      <c r="B24" s="153" t="s">
        <v>10</v>
      </c>
      <c r="C24" s="154" t="s">
        <v>11</v>
      </c>
      <c r="D24" s="154" t="s">
        <v>12</v>
      </c>
      <c r="E24" s="155" t="s">
        <v>13</v>
      </c>
    </row>
    <row r="25" spans="1:5" x14ac:dyDescent="0.25">
      <c r="A25" s="153"/>
      <c r="B25" s="153"/>
      <c r="C25" s="154"/>
      <c r="D25" s="154"/>
      <c r="E25" s="155"/>
    </row>
    <row r="26" spans="1:5" ht="15.65" customHeight="1" x14ac:dyDescent="0.3">
      <c r="A26" s="150" t="s">
        <v>53</v>
      </c>
      <c r="B26" s="3" t="s">
        <v>57</v>
      </c>
      <c r="C26" s="89">
        <f>+VGD!I7</f>
        <v>300</v>
      </c>
      <c r="D26" s="4">
        <v>0.1</v>
      </c>
      <c r="E26" s="89">
        <f>+C26*D26</f>
        <v>30</v>
      </c>
    </row>
    <row r="27" spans="1:5" ht="15.65" customHeight="1" x14ac:dyDescent="0.3">
      <c r="A27" s="150"/>
      <c r="B27" s="3" t="s">
        <v>58</v>
      </c>
      <c r="C27" s="89">
        <f>+'VG EMP. CONVENCIONADOS'!I8</f>
        <v>344.82448684506187</v>
      </c>
      <c r="D27" s="4">
        <v>0.75</v>
      </c>
      <c r="E27" s="89">
        <f t="shared" ref="E27:E28" si="1">+C27*D27</f>
        <v>258.61836513379637</v>
      </c>
    </row>
    <row r="28" spans="1:5" ht="15.65" customHeight="1" x14ac:dyDescent="0.3">
      <c r="A28" s="150"/>
      <c r="B28" s="3" t="s">
        <v>59</v>
      </c>
      <c r="C28" s="89">
        <f>+'VG DIRECTIVOS'!I8</f>
        <v>290.66666666666663</v>
      </c>
      <c r="D28" s="4">
        <v>0.15</v>
      </c>
      <c r="E28" s="89">
        <f t="shared" si="1"/>
        <v>43.599999999999994</v>
      </c>
    </row>
    <row r="29" spans="1:5" ht="15.65" customHeight="1" x14ac:dyDescent="0.25">
      <c r="A29" s="151" t="s">
        <v>8</v>
      </c>
      <c r="B29" s="151"/>
      <c r="C29" s="151"/>
      <c r="D29" s="151"/>
      <c r="E29" s="90">
        <f>SUM(E26:E28)</f>
        <v>332.2183651337964</v>
      </c>
    </row>
    <row r="33" spans="1:5" ht="15.5" x14ac:dyDescent="0.25">
      <c r="A33" s="152" t="s">
        <v>95</v>
      </c>
      <c r="B33" s="152"/>
      <c r="C33" s="152"/>
      <c r="D33" s="152"/>
      <c r="E33" s="152"/>
    </row>
    <row r="34" spans="1:5" x14ac:dyDescent="0.25">
      <c r="A34" s="153" t="s">
        <v>9</v>
      </c>
      <c r="B34" s="153" t="s">
        <v>10</v>
      </c>
      <c r="C34" s="154" t="s">
        <v>11</v>
      </c>
      <c r="D34" s="154" t="s">
        <v>12</v>
      </c>
      <c r="E34" s="155" t="s">
        <v>13</v>
      </c>
    </row>
    <row r="35" spans="1:5" x14ac:dyDescent="0.25">
      <c r="A35" s="153"/>
      <c r="B35" s="153"/>
      <c r="C35" s="154"/>
      <c r="D35" s="154"/>
      <c r="E35" s="155"/>
    </row>
    <row r="36" spans="1:5" ht="14" x14ac:dyDescent="0.3">
      <c r="A36" s="150" t="s">
        <v>56</v>
      </c>
      <c r="B36" s="3" t="s">
        <v>57</v>
      </c>
      <c r="C36" s="89">
        <f>+VGD!M7</f>
        <v>336.476</v>
      </c>
      <c r="D36" s="4">
        <v>0.1</v>
      </c>
      <c r="E36" s="89">
        <f>+C36*D36</f>
        <v>33.647600000000004</v>
      </c>
    </row>
    <row r="37" spans="1:5" ht="14" x14ac:dyDescent="0.3">
      <c r="A37" s="150"/>
      <c r="B37" s="3" t="s">
        <v>58</v>
      </c>
      <c r="C37" s="89">
        <f>+'VG EMP. CONVENCIONADOS'!M8</f>
        <v>399.99999999999994</v>
      </c>
      <c r="D37" s="4">
        <v>0.75</v>
      </c>
      <c r="E37" s="89">
        <f t="shared" ref="E37:E38" si="2">+C37*D37</f>
        <v>299.99999999999994</v>
      </c>
    </row>
    <row r="38" spans="1:5" ht="14" x14ac:dyDescent="0.3">
      <c r="A38" s="150"/>
      <c r="B38" s="3" t="s">
        <v>59</v>
      </c>
      <c r="C38" s="89">
        <f>+'VG DIRECTIVOS'!M8</f>
        <v>399.99999999999994</v>
      </c>
      <c r="D38" s="4">
        <v>0.15</v>
      </c>
      <c r="E38" s="89">
        <f t="shared" si="2"/>
        <v>59.999999999999986</v>
      </c>
    </row>
    <row r="39" spans="1:5" ht="15.5" x14ac:dyDescent="0.25">
      <c r="A39" s="151" t="s">
        <v>8</v>
      </c>
      <c r="B39" s="151"/>
      <c r="C39" s="151"/>
      <c r="D39" s="151"/>
      <c r="E39" s="90">
        <f>SUM(E36:E38)</f>
        <v>393.64759999999995</v>
      </c>
    </row>
    <row r="42" spans="1:5" ht="15.5" x14ac:dyDescent="0.25">
      <c r="A42" s="152" t="s">
        <v>95</v>
      </c>
      <c r="B42" s="152"/>
      <c r="C42" s="152"/>
      <c r="D42" s="152"/>
      <c r="E42" s="152"/>
    </row>
    <row r="43" spans="1:5" x14ac:dyDescent="0.25">
      <c r="A43" s="153" t="s">
        <v>9</v>
      </c>
      <c r="B43" s="153" t="s">
        <v>10</v>
      </c>
      <c r="C43" s="154" t="s">
        <v>11</v>
      </c>
      <c r="D43" s="154" t="s">
        <v>12</v>
      </c>
      <c r="E43" s="155" t="s">
        <v>13</v>
      </c>
    </row>
    <row r="44" spans="1:5" x14ac:dyDescent="0.25">
      <c r="A44" s="153"/>
      <c r="B44" s="153"/>
      <c r="C44" s="154"/>
      <c r="D44" s="154"/>
      <c r="E44" s="155"/>
    </row>
    <row r="45" spans="1:5" ht="14" x14ac:dyDescent="0.3">
      <c r="A45" s="150" t="s">
        <v>55</v>
      </c>
      <c r="B45" s="3" t="s">
        <v>57</v>
      </c>
      <c r="C45" s="89">
        <f>+VGD!K7</f>
        <v>233.33333333333334</v>
      </c>
      <c r="D45" s="4">
        <v>0.1</v>
      </c>
      <c r="E45" s="89">
        <f>+C45*D45</f>
        <v>23.333333333333336</v>
      </c>
    </row>
    <row r="46" spans="1:5" ht="14" x14ac:dyDescent="0.3">
      <c r="A46" s="150"/>
      <c r="B46" s="3" t="s">
        <v>58</v>
      </c>
      <c r="C46" s="89">
        <f>+'VG EMP. CONVENCIONADOS'!K8</f>
        <v>321.3771407915433</v>
      </c>
      <c r="D46" s="4">
        <v>0.75</v>
      </c>
      <c r="E46" s="89">
        <f t="shared" ref="E46:E47" si="3">+C46*D46</f>
        <v>241.03285559365747</v>
      </c>
    </row>
    <row r="47" spans="1:5" ht="14" x14ac:dyDescent="0.3">
      <c r="A47" s="150"/>
      <c r="B47" s="3" t="s">
        <v>59</v>
      </c>
      <c r="C47" s="89">
        <f>+'VG DIRECTIVOS'!K8</f>
        <v>271.99999999999994</v>
      </c>
      <c r="D47" s="4">
        <v>0.15</v>
      </c>
      <c r="E47" s="89">
        <f t="shared" si="3"/>
        <v>40.79999999999999</v>
      </c>
    </row>
    <row r="48" spans="1:5" ht="15.5" x14ac:dyDescent="0.25">
      <c r="A48" s="151" t="s">
        <v>8</v>
      </c>
      <c r="B48" s="151"/>
      <c r="C48" s="151"/>
      <c r="D48" s="151"/>
      <c r="E48" s="90">
        <f>SUM(E45:E47)</f>
        <v>305.1661889269908</v>
      </c>
    </row>
  </sheetData>
  <mergeCells count="41">
    <mergeCell ref="A9:D9"/>
    <mergeCell ref="A2:E2"/>
    <mergeCell ref="A3:E3"/>
    <mergeCell ref="A4:A5"/>
    <mergeCell ref="B4:B5"/>
    <mergeCell ref="C4:C5"/>
    <mergeCell ref="D4:D5"/>
    <mergeCell ref="E4:E5"/>
    <mergeCell ref="A6:A8"/>
    <mergeCell ref="A13:E13"/>
    <mergeCell ref="A14:A15"/>
    <mergeCell ref="B14:B15"/>
    <mergeCell ref="C14:C15"/>
    <mergeCell ref="D14:D15"/>
    <mergeCell ref="E14:E15"/>
    <mergeCell ref="A16:A18"/>
    <mergeCell ref="A19:D19"/>
    <mergeCell ref="A23:E23"/>
    <mergeCell ref="A24:A25"/>
    <mergeCell ref="B24:B25"/>
    <mergeCell ref="C24:C25"/>
    <mergeCell ref="D24:D25"/>
    <mergeCell ref="E24:E25"/>
    <mergeCell ref="A26:A28"/>
    <mergeCell ref="A29:D29"/>
    <mergeCell ref="A33:E33"/>
    <mergeCell ref="A34:A35"/>
    <mergeCell ref="B34:B35"/>
    <mergeCell ref="C34:C35"/>
    <mergeCell ref="D34:D35"/>
    <mergeCell ref="E34:E35"/>
    <mergeCell ref="A45:A47"/>
    <mergeCell ref="A48:D48"/>
    <mergeCell ref="A36:A38"/>
    <mergeCell ref="A39:D39"/>
    <mergeCell ref="A42:E42"/>
    <mergeCell ref="A43:A44"/>
    <mergeCell ref="B43:B44"/>
    <mergeCell ref="C43:C44"/>
    <mergeCell ref="D43:D44"/>
    <mergeCell ref="E43:E44"/>
  </mergeCells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5"/>
  <sheetViews>
    <sheetView showGridLines="0" topLeftCell="A3" workbookViewId="0">
      <selection activeCell="E28" sqref="E28"/>
    </sheetView>
  </sheetViews>
  <sheetFormatPr baseColWidth="10" defaultColWidth="11.54296875" defaultRowHeight="12.5" x14ac:dyDescent="0.25"/>
  <cols>
    <col min="1" max="1" width="5.54296875" style="91" customWidth="1"/>
    <col min="2" max="2" width="2" style="91" customWidth="1"/>
    <col min="3" max="3" width="3.1796875" style="91" customWidth="1"/>
    <col min="4" max="4" width="25.453125" style="91" customWidth="1"/>
    <col min="5" max="5" width="21.36328125" style="91" customWidth="1"/>
    <col min="6" max="6" width="9.54296875" style="91" bestFit="1" customWidth="1"/>
    <col min="7" max="7" width="17.08984375" style="91" customWidth="1"/>
    <col min="8" max="8" width="2" style="91" customWidth="1"/>
    <col min="9" max="9" width="7.08984375" style="91" customWidth="1"/>
    <col min="10" max="16384" width="11.54296875" style="91"/>
  </cols>
  <sheetData>
    <row r="1" spans="2:8" ht="13" thickBot="1" x14ac:dyDescent="0.3"/>
    <row r="2" spans="2:8" ht="18" customHeight="1" x14ac:dyDescent="0.25">
      <c r="B2" s="160" t="s">
        <v>47</v>
      </c>
      <c r="C2" s="161"/>
      <c r="D2" s="161"/>
      <c r="E2" s="161"/>
      <c r="F2" s="161"/>
      <c r="G2" s="161"/>
      <c r="H2" s="162"/>
    </row>
    <row r="3" spans="2:8" ht="24" customHeight="1" x14ac:dyDescent="0.25">
      <c r="B3" s="168" t="s">
        <v>46</v>
      </c>
      <c r="C3" s="169"/>
      <c r="D3" s="169"/>
      <c r="E3" s="169"/>
      <c r="F3" s="169"/>
      <c r="G3" s="169"/>
      <c r="H3" s="170"/>
    </row>
    <row r="4" spans="2:8" ht="9" customHeight="1" x14ac:dyDescent="0.25">
      <c r="B4" s="92"/>
      <c r="C4" s="5"/>
      <c r="D4" s="5"/>
      <c r="E4" s="5"/>
      <c r="F4" s="5"/>
      <c r="G4" s="5"/>
      <c r="H4" s="93"/>
    </row>
    <row r="5" spans="2:8" ht="9.75" customHeight="1" x14ac:dyDescent="0.25">
      <c r="B5" s="92"/>
      <c r="C5" s="5"/>
      <c r="D5" s="5"/>
      <c r="E5" s="5"/>
      <c r="F5" s="5"/>
      <c r="G5" s="5"/>
      <c r="H5" s="93"/>
    </row>
    <row r="6" spans="2:8" ht="15.65" customHeight="1" x14ac:dyDescent="0.25">
      <c r="B6" s="92"/>
      <c r="C6" s="163" t="s">
        <v>15</v>
      </c>
      <c r="D6" s="163"/>
      <c r="H6" s="93"/>
    </row>
    <row r="7" spans="2:8" ht="15.5" x14ac:dyDescent="0.25">
      <c r="B7" s="92"/>
      <c r="C7" s="164" t="s">
        <v>21</v>
      </c>
      <c r="D7" s="164"/>
      <c r="H7" s="93"/>
    </row>
    <row r="8" spans="2:8" ht="15.5" x14ac:dyDescent="0.25">
      <c r="B8" s="92"/>
      <c r="C8" s="94"/>
      <c r="D8" s="94"/>
      <c r="E8" s="94"/>
      <c r="F8" s="94"/>
      <c r="G8" s="94"/>
      <c r="H8" s="93"/>
    </row>
    <row r="9" spans="2:8" ht="15.5" x14ac:dyDescent="0.25">
      <c r="B9" s="92"/>
      <c r="C9" s="165" t="s">
        <v>96</v>
      </c>
      <c r="D9" s="166"/>
      <c r="E9" s="166"/>
      <c r="F9" s="166"/>
      <c r="G9" s="167"/>
      <c r="H9" s="93"/>
    </row>
    <row r="10" spans="2:8" ht="15.5" x14ac:dyDescent="0.25">
      <c r="B10" s="92"/>
      <c r="C10" s="95"/>
      <c r="D10" s="96"/>
      <c r="E10" s="97"/>
      <c r="G10" s="97"/>
      <c r="H10" s="93"/>
    </row>
    <row r="11" spans="2:8" ht="15.5" x14ac:dyDescent="0.25">
      <c r="B11" s="92"/>
      <c r="C11" s="172" t="s">
        <v>16</v>
      </c>
      <c r="D11" s="172"/>
      <c r="E11" s="95"/>
      <c r="F11" s="164" t="str">
        <f>C7</f>
        <v>MENOR VALOR</v>
      </c>
      <c r="G11" s="164"/>
      <c r="H11" s="93"/>
    </row>
    <row r="12" spans="2:8" ht="15.5" x14ac:dyDescent="0.25">
      <c r="B12" s="92"/>
      <c r="C12" s="173">
        <v>1929538036</v>
      </c>
      <c r="D12" s="173"/>
      <c r="E12" s="95"/>
      <c r="F12" s="171">
        <f>MIN(E16:E20)</f>
        <v>1319266990</v>
      </c>
      <c r="G12" s="171"/>
      <c r="H12" s="93"/>
    </row>
    <row r="13" spans="2:8" ht="15.5" x14ac:dyDescent="0.25">
      <c r="B13" s="92"/>
      <c r="C13" s="97"/>
      <c r="D13" s="97"/>
      <c r="E13" s="97"/>
      <c r="F13" s="97"/>
      <c r="G13" s="97"/>
      <c r="H13" s="93"/>
    </row>
    <row r="14" spans="2:8" ht="15.5" x14ac:dyDescent="0.25">
      <c r="B14" s="92"/>
      <c r="C14" s="165" t="s">
        <v>17</v>
      </c>
      <c r="D14" s="166"/>
      <c r="E14" s="166"/>
      <c r="F14" s="166"/>
      <c r="G14" s="167"/>
      <c r="H14" s="93"/>
    </row>
    <row r="15" spans="2:8" ht="31" x14ac:dyDescent="0.25">
      <c r="B15" s="92"/>
      <c r="C15" s="8" t="s">
        <v>18</v>
      </c>
      <c r="D15" s="10" t="s">
        <v>19</v>
      </c>
      <c r="E15" s="7" t="s">
        <v>6</v>
      </c>
      <c r="F15" s="7" t="s">
        <v>20</v>
      </c>
      <c r="G15" s="6" t="s">
        <v>7</v>
      </c>
      <c r="H15" s="93"/>
    </row>
    <row r="16" spans="2:8" ht="15.5" x14ac:dyDescent="0.25">
      <c r="B16" s="92"/>
      <c r="C16" s="9">
        <v>1</v>
      </c>
      <c r="D16" s="98" t="s">
        <v>66</v>
      </c>
      <c r="E16" s="99">
        <v>1545420747</v>
      </c>
      <c r="F16" s="157">
        <v>427.5</v>
      </c>
      <c r="G16" s="78">
        <f>+F12*F16/E16</f>
        <v>364.94051171489804</v>
      </c>
      <c r="H16" s="93"/>
    </row>
    <row r="17" spans="2:8" ht="15.5" x14ac:dyDescent="0.25">
      <c r="B17" s="92"/>
      <c r="C17" s="9">
        <v>2</v>
      </c>
      <c r="D17" s="98" t="s">
        <v>52</v>
      </c>
      <c r="E17" s="99">
        <v>1319266990</v>
      </c>
      <c r="F17" s="158"/>
      <c r="G17" s="78">
        <f>+F12*F16/E17</f>
        <v>427.5</v>
      </c>
      <c r="H17" s="93"/>
    </row>
    <row r="18" spans="2:8" ht="15.5" x14ac:dyDescent="0.25">
      <c r="B18" s="92"/>
      <c r="C18" s="9">
        <v>3</v>
      </c>
      <c r="D18" s="98" t="s">
        <v>53</v>
      </c>
      <c r="E18" s="99">
        <v>1566280410</v>
      </c>
      <c r="F18" s="158"/>
      <c r="G18" s="78">
        <f>+F12*F16/E18</f>
        <v>360.08024784336033</v>
      </c>
      <c r="H18" s="93"/>
    </row>
    <row r="19" spans="2:8" ht="15.5" x14ac:dyDescent="0.25">
      <c r="B19" s="92"/>
      <c r="C19" s="9">
        <v>4</v>
      </c>
      <c r="D19" s="98" t="s">
        <v>55</v>
      </c>
      <c r="E19" s="106">
        <v>1379837301.3441401</v>
      </c>
      <c r="F19" s="158"/>
      <c r="G19" s="78">
        <f>+F12*F16/E19</f>
        <v>408.73415849506608</v>
      </c>
      <c r="H19" s="93"/>
    </row>
    <row r="20" spans="2:8" ht="15.5" x14ac:dyDescent="0.25">
      <c r="B20" s="92"/>
      <c r="C20" s="9">
        <v>5</v>
      </c>
      <c r="D20" s="98" t="s">
        <v>56</v>
      </c>
      <c r="E20" s="99">
        <v>1461528700</v>
      </c>
      <c r="F20" s="159"/>
      <c r="G20" s="78">
        <f>+F12*F16/E20</f>
        <v>385.8881719017902</v>
      </c>
      <c r="H20" s="93"/>
    </row>
    <row r="21" spans="2:8" ht="16" thickBot="1" x14ac:dyDescent="0.3">
      <c r="B21" s="100"/>
      <c r="C21" s="101"/>
      <c r="D21" s="101"/>
      <c r="E21" s="101"/>
      <c r="F21" s="101"/>
      <c r="G21" s="101"/>
      <c r="H21" s="102"/>
    </row>
    <row r="24" spans="2:8" ht="12.75" customHeight="1" x14ac:dyDescent="0.25">
      <c r="E24" s="107"/>
    </row>
    <row r="25" spans="2:8" x14ac:dyDescent="0.25">
      <c r="E25" s="107"/>
    </row>
  </sheetData>
  <mergeCells count="11">
    <mergeCell ref="F16:F20"/>
    <mergeCell ref="B2:H2"/>
    <mergeCell ref="C6:D6"/>
    <mergeCell ref="C7:D7"/>
    <mergeCell ref="C14:G14"/>
    <mergeCell ref="C9:G9"/>
    <mergeCell ref="B3:H3"/>
    <mergeCell ref="F11:G11"/>
    <mergeCell ref="F12:G12"/>
    <mergeCell ref="C11:D11"/>
    <mergeCell ref="C12:D12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G13"/>
  <sheetViews>
    <sheetView showGridLines="0" tabSelected="1" workbookViewId="0">
      <selection activeCell="E16" sqref="E16"/>
    </sheetView>
  </sheetViews>
  <sheetFormatPr baseColWidth="10" defaultRowHeight="12.5" x14ac:dyDescent="0.25"/>
  <cols>
    <col min="1" max="1" width="76" customWidth="1"/>
    <col min="2" max="2" width="9.54296875" bestFit="1" customWidth="1"/>
    <col min="3" max="7" width="22.6328125" customWidth="1"/>
  </cols>
  <sheetData>
    <row r="2" spans="1:7" ht="31.5" customHeight="1" x14ac:dyDescent="0.25">
      <c r="A2" s="14" t="s">
        <v>29</v>
      </c>
      <c r="B2" s="14" t="s">
        <v>22</v>
      </c>
      <c r="C2" s="79" t="s">
        <v>51</v>
      </c>
      <c r="D2" s="80" t="s">
        <v>52</v>
      </c>
      <c r="E2" s="81" t="s">
        <v>53</v>
      </c>
      <c r="F2" s="82" t="s">
        <v>55</v>
      </c>
      <c r="G2" s="83" t="s">
        <v>56</v>
      </c>
    </row>
    <row r="3" spans="1:7" ht="21.65" customHeight="1" x14ac:dyDescent="0.35">
      <c r="A3" s="15" t="s">
        <v>23</v>
      </c>
      <c r="B3" s="24">
        <v>427.5</v>
      </c>
      <c r="C3" s="24">
        <f>+ECONOMICA!G16</f>
        <v>364.94051171489804</v>
      </c>
      <c r="D3" s="24">
        <f>+ECONOMICA!G17</f>
        <v>427.5</v>
      </c>
      <c r="E3" s="24"/>
      <c r="F3" s="24">
        <f>+ECONOMICA!G19</f>
        <v>408.73415849506608</v>
      </c>
      <c r="G3" s="24">
        <f>+ECONOMICA!G20</f>
        <v>385.8881719017902</v>
      </c>
    </row>
    <row r="4" spans="1:7" ht="54" customHeight="1" x14ac:dyDescent="0.25">
      <c r="A4" s="12" t="s">
        <v>24</v>
      </c>
      <c r="B4" s="25">
        <v>400</v>
      </c>
      <c r="C4" s="27">
        <f>+PONDERACION!E9</f>
        <v>348.61836513379637</v>
      </c>
      <c r="D4" s="27">
        <f>+PONDERACION!E19</f>
        <v>381.12754770069455</v>
      </c>
      <c r="E4" s="27"/>
      <c r="F4" s="27">
        <f>+PONDERACION!E48</f>
        <v>305.1661889269908</v>
      </c>
      <c r="G4" s="27">
        <f>+PONDERACION!E39</f>
        <v>393.64759999999995</v>
      </c>
    </row>
    <row r="5" spans="1:7" ht="15.5" x14ac:dyDescent="0.25">
      <c r="A5" s="13" t="s">
        <v>25</v>
      </c>
      <c r="B5" s="108"/>
      <c r="C5" s="109"/>
      <c r="D5" s="109"/>
      <c r="E5" s="109"/>
      <c r="F5" s="109"/>
      <c r="G5" s="110"/>
    </row>
    <row r="6" spans="1:7" ht="23.25" customHeight="1" x14ac:dyDescent="0.25">
      <c r="A6" s="12" t="s">
        <v>26</v>
      </c>
      <c r="B6" s="24">
        <v>100</v>
      </c>
      <c r="C6" s="24">
        <v>100</v>
      </c>
      <c r="D6" s="24">
        <v>100</v>
      </c>
      <c r="E6" s="24"/>
      <c r="F6" s="24">
        <v>100</v>
      </c>
      <c r="G6" s="24">
        <v>100</v>
      </c>
    </row>
    <row r="7" spans="1:7" ht="30.75" customHeight="1" x14ac:dyDescent="0.25">
      <c r="A7" s="12" t="s">
        <v>28</v>
      </c>
      <c r="B7" s="24">
        <v>2.5</v>
      </c>
      <c r="C7" s="24">
        <v>0</v>
      </c>
      <c r="D7" s="24">
        <v>0</v>
      </c>
      <c r="E7" s="24"/>
      <c r="F7" s="24">
        <v>0</v>
      </c>
      <c r="G7" s="24">
        <v>0</v>
      </c>
    </row>
    <row r="8" spans="1:7" ht="23.25" customHeight="1" x14ac:dyDescent="0.25">
      <c r="A8" s="12" t="s">
        <v>27</v>
      </c>
      <c r="B8" s="24">
        <v>20</v>
      </c>
      <c r="C8" s="24">
        <v>0</v>
      </c>
      <c r="D8" s="24">
        <v>0</v>
      </c>
      <c r="E8" s="24"/>
      <c r="F8" s="24">
        <v>0</v>
      </c>
      <c r="G8" s="24">
        <v>0</v>
      </c>
    </row>
    <row r="9" spans="1:7" ht="23.25" customHeight="1" x14ac:dyDescent="0.25">
      <c r="A9" s="12" t="s">
        <v>45</v>
      </c>
      <c r="B9" s="24">
        <v>50</v>
      </c>
      <c r="C9" s="103">
        <v>40</v>
      </c>
      <c r="D9" s="103">
        <v>0</v>
      </c>
      <c r="E9" s="103"/>
      <c r="F9" s="103">
        <v>0</v>
      </c>
      <c r="G9" s="103">
        <v>0</v>
      </c>
    </row>
    <row r="10" spans="1:7" ht="23.25" customHeight="1" x14ac:dyDescent="0.25">
      <c r="A10" s="11" t="s">
        <v>8</v>
      </c>
      <c r="B10" s="26">
        <f t="shared" ref="B10:G10" si="0">SUM(B3:B9)</f>
        <v>1000</v>
      </c>
      <c r="C10" s="84">
        <f t="shared" si="0"/>
        <v>853.55887684869435</v>
      </c>
      <c r="D10" s="85">
        <f t="shared" si="0"/>
        <v>908.62754770069455</v>
      </c>
      <c r="E10" s="86">
        <f t="shared" si="0"/>
        <v>0</v>
      </c>
      <c r="F10" s="87">
        <f t="shared" si="0"/>
        <v>813.90034742205694</v>
      </c>
      <c r="G10" s="88">
        <f t="shared" si="0"/>
        <v>879.53577190179021</v>
      </c>
    </row>
    <row r="12" spans="1:7" ht="37.5" x14ac:dyDescent="0.25">
      <c r="E12" s="174" t="s">
        <v>97</v>
      </c>
    </row>
    <row r="13" spans="1:7" x14ac:dyDescent="0.25">
      <c r="C13" s="105"/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Props1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GENERALIDADES</vt:lpstr>
      <vt:lpstr>VGD</vt:lpstr>
      <vt:lpstr>VG EMP. CONVENCIONADOS</vt:lpstr>
      <vt:lpstr>VG DIRECTIVOS</vt:lpstr>
      <vt:lpstr>PONDERACION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2026-06-24T20:35:08Z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2026-06-24T15:10:21Z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3a194e79-a34c-40a5-ac62-3cf166b3da43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